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PCREF Module 3" sheetId="7" r:id="rId1"/>
    <sheet name="Comparative Lease Analysis" sheetId="13" r:id="rId2"/>
    <sheet name="Lease Offer #1 Analysis" sheetId="14" r:id="rId3"/>
    <sheet name="Lease Offer #2 Analysis" sheetId="15" r:id="rId4"/>
    <sheet name="Lease Offer #3 Analysis" sheetId="16" r:id="rId5"/>
  </sheets>
  <definedNames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sdf2" hidden="1">{#N/A,#N/A,FALSE,"OperatingAssumptions"}</definedName>
    <definedName name="asdf3" hidden="1">{#N/A,#N/A,FALSE,"LoanAssumptions"}</definedName>
    <definedName name="asdf5" hidden="1">{"MonthlyRentRoll",#N/A,FALSE,"RentRoll"}</definedName>
    <definedName name="asdf7" hidden="1">{#N/A,#N/A,TRUE,"Summary";"AnnualRentRoll",#N/A,TRUE,"RentRoll";#N/A,#N/A,TRUE,"ExitStratigy";#N/A,#N/A,TRUE,"OperatingAssumptions"}</definedName>
    <definedName name="HTML_CodePage" hidden="1">1252</definedName>
    <definedName name="HTML_Control" hidden="1">{"'Cash Requirements 5F '!$A$1:$AC$48"}</definedName>
    <definedName name="HTML_Description" hidden="1">""</definedName>
    <definedName name="HTML_Email" hidden="1">""</definedName>
    <definedName name="HTML_Header" hidden="1">"Cash Requirements 5F"</definedName>
    <definedName name="HTML_LastUpdate" hidden="1">"7/10/00"</definedName>
    <definedName name="HTML_LineAfter" hidden="1">FALSE</definedName>
    <definedName name="HTML_LineBefore" hidden="1">FALSE</definedName>
    <definedName name="HTML_Name" hidden="1">"ERICK"</definedName>
    <definedName name="HTML_OBDlg2" hidden="1">TRUE</definedName>
    <definedName name="HTML_OBDlg4" hidden="1">TRUE</definedName>
    <definedName name="HTML_OS" hidden="1">0</definedName>
    <definedName name="HTML_PathFile" hidden="1">"C:\xldata\july2000cash.htm"</definedName>
    <definedName name="HTML_Title" hidden="1">"Discover July 2000 Cashflow"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ast_Row" localSheetId="1">IF('Comparative Lease Analysis'!Values_Entered,[0]!Header_Row+'Comparative Lease Analysis'!Number_of_Payments,[0]!Header_Row)</definedName>
    <definedName name="Last_Row" localSheetId="2">IF('Lease Offer #1 Analysis'!Values_Entered,[0]!Header_Row+'Lease Offer #1 Analysis'!Number_of_Payments,[0]!Header_Row)</definedName>
    <definedName name="Last_Row" localSheetId="3">IF('Lease Offer #2 Analysis'!Values_Entered,[0]!Header_Row+'Lease Offer #2 Analysis'!Number_of_Payments,[0]!Header_Row)</definedName>
    <definedName name="Last_Row" localSheetId="4">IF('Lease Offer #3 Analysis'!Values_Entered,[0]!Header_Row+'Lease Offer #3 Analysis'!Number_of_Payments,[0]!Header_Row)</definedName>
    <definedName name="Last_Row" localSheetId="0">IF('PCREF Module 3'!Values_Entered,Header_Row+'PCREF Module 3'!Number_of_Payments,Header_Row)</definedName>
    <definedName name="Last_Row">IF(Values_Entered,Header_Row+Number_of_Payments,Header_Row)</definedName>
    <definedName name="Number_of_Payments" localSheetId="1">MATCH(0.01,[0]!End_Bal,-1)+1</definedName>
    <definedName name="Number_of_Payments" localSheetId="2">MATCH(0.01,[0]!End_Bal,-1)+1</definedName>
    <definedName name="Number_of_Payments" localSheetId="3">MATCH(0.01,[0]!End_Bal,-1)+1</definedName>
    <definedName name="Number_of_Payments" localSheetId="4">MATCH(0.01,[0]!End_Bal,-1)+1</definedName>
    <definedName name="Number_of_Payments" localSheetId="0">MATCH(0.01,End_Bal,-1)+1</definedName>
    <definedName name="Number_of_Payments">MATCH(0.01,End_Bal,-1)+1</definedName>
    <definedName name="Payment_Date" localSheetId="1">DATE(YEAR([0]!Loan_Start),MONTH([0]!Loan_Start)+Payment_Number,DAY([0]!Loan_Start))</definedName>
    <definedName name="Payment_Date" localSheetId="2">DATE(YEAR([0]!Loan_Start),MONTH([0]!Loan_Start)+Payment_Number,DAY([0]!Loan_Start))</definedName>
    <definedName name="Payment_Date" localSheetId="3">DATE(YEAR([0]!Loan_Start),MONTH([0]!Loan_Start)+Payment_Number,DAY([0]!Loan_Start))</definedName>
    <definedName name="Payment_Date" localSheetId="4">DATE(YEAR([0]!Loan_Start),MONTH([0]!Loan_Start)+Payment_Number,DAY([0]!Loan_Start))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_xlnm.Print_Area" localSheetId="1">'Comparative Lease Analysis'!$B$2:$O$43</definedName>
    <definedName name="_xlnm.Print_Area" localSheetId="2">'Lease Offer #1 Analysis'!$B$2:$H$42</definedName>
    <definedName name="_xlnm.Print_Area" localSheetId="3">'Lease Offer #2 Analysis'!$B$2:$H$42</definedName>
    <definedName name="_xlnm.Print_Area" localSheetId="4">'Lease Offer #3 Analysis'!$B$2:$H$42</definedName>
    <definedName name="Print_Area_Reset" localSheetId="1">OFFSET([0]!Full_Print,0,0,'Comparative Lease Analysis'!Last_Row)</definedName>
    <definedName name="Print_Area_Reset" localSheetId="2">OFFSET([0]!Full_Print,0,0,'Lease Offer #1 Analysis'!Last_Row)</definedName>
    <definedName name="Print_Area_Reset" localSheetId="3">OFFSET([0]!Full_Print,0,0,'Lease Offer #2 Analysis'!Last_Row)</definedName>
    <definedName name="Print_Area_Reset" localSheetId="4">OFFSET([0]!Full_Print,0,0,'Lease Offer #3 Analysis'!Last_Row)</definedName>
    <definedName name="Print_Area_Reset" localSheetId="0">OFFSET(Full_Print,0,0,'PCREF Module 3'!Last_Row)</definedName>
    <definedName name="Print_Area_Reset">OFFSET(Full_Print,0,0,Last_Row)</definedName>
    <definedName name="Residu" hidden="1">{#N/A,#N/A,TRUE,"Summary";"AnnualRentRoll",#N/A,TRUE,"RentRoll";#N/A,#N/A,TRUE,"ExitStratigy";#N/A,#N/A,TRUE,"OperatingAssumptions"}</definedName>
    <definedName name="sadd" hidden="1">{"MonthlyRentRoll",#N/A,FALSE,"RentRoll"}</definedName>
    <definedName name="sadd1" hidden="1">{"MonthlyRentRoll",#N/A,FALSE,"RentRoll"}</definedName>
    <definedName name="sadd2" hidden="1">{"MonthlyRentRoll",#N/A,FALSE,"RentRoll"}</definedName>
    <definedName name="saddd" hidden="1">{"AnnualRentRoll",#N/A,FALSE,"RentRoll"}</definedName>
    <definedName name="saddd2" hidden="1">{"AnnualRentRoll",#N/A,FALSE,"RentRoll"}</definedName>
    <definedName name="sadddd2" hidden="1">{"AnnualRentRoll",#N/A,FALSE,"RentRoll"}</definedName>
    <definedName name="saddddd" hidden="1">{"AnnualRentRoll",#N/A,FALSE,"RentRoll"}</definedName>
    <definedName name="saddddddd2" hidden="1">{#N/A,#N/A,FALSE,"ExitStratigy"}</definedName>
    <definedName name="sadddddddd" hidden="1">{#N/A,#N/A,FALSE,"ExitStratigy"}</definedName>
    <definedName name="saddddddddd2" hidden="1">{#N/A,#N/A,FALSE,"LoanAssumptions"}</definedName>
    <definedName name="sadddddddddd" hidden="1">{#N/A,#N/A,FALSE,"LoanAssumptions"}</definedName>
    <definedName name="saddddddddddd2" hidden="1">{#N/A,#N/A,FALSE,"OperatingAssumptions"}</definedName>
    <definedName name="saddddddddddddd" hidden="1">{#N/A,#N/A,FALSE,"OperatingAssumptions"}</definedName>
    <definedName name="Total_Payment" localSheetId="0">Scheduled_Payment+Extra_Payment</definedName>
    <definedName name="Total_Payment">Scheduled_Payment+Extra_Payment</definedName>
    <definedName name="Type" localSheetId="3">'Lease Offer #2 Analysis'!$L$13:$L$15</definedName>
    <definedName name="Type" localSheetId="4">'Lease Offer #3 Analysis'!$L$13:$L$15</definedName>
    <definedName name="Type">'Lease Offer #1 Analysis'!$L$13:$L$15</definedName>
    <definedName name="Values_Entered" localSheetId="1">IF([0]!Loan_Amount*[0]!Interest_Rate*[0]!Loan_Years*[0]!Loan_Start&gt;0,1,0)</definedName>
    <definedName name="Values_Entered" localSheetId="2">IF([0]!Loan_Amount*[0]!Interest_Rate*[0]!Loan_Years*[0]!Loan_Start&gt;0,1,0)</definedName>
    <definedName name="Values_Entered" localSheetId="3">IF([0]!Loan_Amount*[0]!Interest_Rate*[0]!Loan_Years*[0]!Loan_Start&gt;0,1,0)</definedName>
    <definedName name="Values_Entered" localSheetId="4">IF([0]!Loan_Amount*[0]!Interest_Rate*[0]!Loan_Years*[0]!Loan_Start&gt;0,1,0)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what_asdf2" hidden="1">{#N/A,#N/A,FALSE,"OperatingAssumptions"}</definedName>
    <definedName name="wrn.2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AnnualRentRoll" hidden="1">{"AnnualRentRoll",#N/A,FALSE,"RentRoll"}</definedName>
    <definedName name="wrn.AnnualRentRoll." hidden="1">{"AnnualRentRoll",#N/A,FALSE,"RentRoll"}</definedName>
    <definedName name="wrn.annualrentroll2" hidden="1">{"AnnualRentRoll",#N/A,FALSE,"RentRoll"}</definedName>
    <definedName name="wrn.CF._.Print." hidden="1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ExitAndSalesAssumptions." hidden="1">{#N/A,#N/A,FALSE,"ExitStratigy"}</definedName>
    <definedName name="wrn.FCG." hidden="1">{#N/A,#N/A,TRUE,"Title Page";#N/A,#N/A,TRUE,"Executive Summary";#N/A,#N/A,TRUE,"Cash Flow";#N/A,#N/A,TRUE,"Exp Detail";#N/A,#N/A,TRUE,"Pricing Matrix";#N/A,#N/A,TRUE,"Value Matrix";#N/A,#N/A,TRUE,"Assumptions";#N/A,#N/A,TRUE,"Vacant Space";#N/A,#N/A,TRUE,"2nd Generation";#N/A,#N/A,TRUE,"Existing vs Mkt";#N/A,#N/A,TRUE,"Expiration Schedule";#N/A,#N/A,TRUE,"Expiration Graph ";#N/A,#N/A,TRUE,"Residual - Marketing";#N/A,#N/A,TRUE,"Vacancy Detail"}</definedName>
    <definedName name="wrn.Full_Template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Schedule";#N/A,#N/A,FALSE,"13Residual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Hold._.Sell." hidden="1">{#N/A,#N/A,FALSE,"13Residual 2007";#N/A,#N/A,FALSE,"14Residual 2008";#N/A,#N/A,FALSE,"15Residual 2009";#N/A,#N/A,FALSE,"16Residual 2010";#N/A,#N/A,FALSE,"17Residual 2011";#N/A,#N/A,FALSE,"18Hold Disposition Matrix";#N/A,#N/A,FALSE,"19Other Disposition Matrix"}</definedName>
    <definedName name="wrn.Leasing._.Variance." hidden="1">{#N/A,#N/A,FALSE,"Leasing 6A"}</definedName>
    <definedName name="wrn.LoanInformation." hidden="1">{#N/A,#N/A,FALSE,"LoanAssumptions"}</definedName>
    <definedName name="wrn.Marketing." hidden="1">{#N/A,#N/A,FALSE,"2Assumptions";#N/A,#N/A,FALSE,"3Cash Flow";#N/A,#N/A,FALSE,"I&amp;E";#N/A,#N/A,FALSE,"I&amp;E (2)";#N/A,#N/A,FALSE,"10Vacancy Matrix";#N/A,#N/A,FALSE,"11Expiration Schedule"}</definedName>
    <definedName name="wrn.monthly._.financial." hidden="1">{#N/A,#N/A,FALSE,"SUMMARY 4a";#N/A,#N/A,FALSE,"GBA 4b";#N/A,#N/A,FALSE,"TENANT 4c";#N/A,#N/A,FALSE,"BUDGET DETAIL";#N/A,#N/A,FALSE,"PRO FORMA"}</definedName>
    <definedName name="wrn.MonthlyRentRoll." hidden="1">{"MonthlyRentRoll",#N/A,FALSE,"RentRoll"}</definedName>
    <definedName name="wrn.ontario." hidden="1">{"page1",#N/A,FALSE,"sheet 1";"Page2",#N/A,FALSE,"sheet 1";"page3",#N/A,FALSE,"sheet 1";"page4",#N/A,FALSE,"sheet 1"}</definedName>
    <definedName name="wrn.OperatingAssumtions." hidden="1">{#N/A,#N/A,FALSE,"OperatingAssumptions"}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ackage." hidden="1">{#N/A,#N/A,FALSE,"Executive Summary";#N/A,#N/A,FALSE,"Assumptions";#N/A,#N/A,FALSE,"Cash Flow";#N/A,#N/A,FALSE,"I&amp;E ";#N/A,#N/A,FALSE,"Occupancy Cost";#N/A,#N/A,FALSE,"Vacancy (Mall)";#N/A,#N/A,FALSE,"Expiration Schedule";#N/A,#N/A,FALSE,"Expiration Graph ";#N/A,#N/A,FALSE,"sales graph";#N/A,#N/A,FALSE,"Vacant rents";#N/A,#N/A,FALSE,"Hist Sales";#N/A,#N/A,FALSE,"Monthly Sales";#N/A,#N/A,FALSE,"Rent Roll"}</definedName>
    <definedName name="wrn.Partial." hidden="1">{#N/A,#N/A,FALSE,"Assumptions";#N/A,#N/A,FALSE,"Year One Pro Forma";#N/A,#N/A,FALSE,"Rent Roll Summary";#N/A,#N/A,FALSE,"Market Rent Detail";#N/A,#N/A,FALSE,"Rent Roll Summary";#N/A,#N/A,FALSE,"Market Rent Increases";#N/A,#N/A,FALSE,"Exec Sum 10Yr";#N/A,#N/A,FALSE,"Cash Flow Projections";#N/A,#N/A,FALSE,"Net Residual Value";#N/A,#N/A,FALSE,"Effective Rental Income Detail";#N/A,#N/A,FALSE,"Turnovers";#N/A,#N/A,FALSE,"Matrices"}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esentation." hidden="1">{#N/A,#N/A,TRUE,"Summary";"AnnualRentRoll",#N/A,TRUE,"RentRoll";#N/A,#N/A,TRUE,"ExitStratigy";#N/A,#N/A,TRUE,"OperatingAssumptions"}</definedName>
    <definedName name="wrn.Pricing._.Strategy." hidden="1">{#N/A,#N/A,FALSE,"1Summary";#N/A,#N/A,FALSE,"2Assumptions";#N/A,#N/A,FALSE,"3Cash Flow";#N/A,#N/A,FALSE,"4Year 1 Reconciliation";#N/A,#N/A,FALSE,"5Residual";#N/A,#N/A,FALSE,"6Residual (Year 20)";#N/A,#N/A,FALSE,"7Financing Sensitivity";#N/A,#N/A,FALSE,"8Residual Sensitivity";#N/A,#N/A,FALSE,"9Pricing Matrix";#N/A,#N/A,FALSE,"10Vacancy Matrix";#N/A,#N/A,FALSE,"11Expiration Schedule";#N/A,#N/A,FALSE,"12Lease-up Schedule"}</definedName>
    <definedName name="wrn.Print." localSheetId="1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localSheetId="2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localSheetId="3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localSheetId="4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localSheetId="0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All." hidden="1">{#N/A,#N/A,FALSE,"Broker Sheet";#N/A,#N/A,FALSE,"Exec.Summary";#N/A,#N/A,FALSE,"Argus Cash Flow";#N/A,#N/A,FALSE,"SPF";#N/A,#N/A,FALSE,"RentRoll"}</definedName>
    <definedName name="wrn.Proforma." hidden="1">{#N/A,#N/A,TRUE,"Summary";#N/A,#N/A,TRUE,"InPlace";#N/A,#N/A,TRUE,"Stable";#N/A,#N/A,TRUE,"RentRoll";#N/A,#N/A,TRUE,"I&amp;E";#N/A,#N/A,TRUE,"Expense Detail";#N/A,#N/A,TRUE,"CAM Recov(InPlace)";#N/A,#N/A,TRUE,"CAM Recov(Stable)";#N/A,#N/A,TRUE,"Tax Recov";#N/A,#N/A,TRUE,"Expiration";#N/A,#N/A,TRUE,"Sales";#N/A,#N/A,TRUE,"Tax"}</definedName>
    <definedName name="wrn.PropertyInformation." hidden="1">{#N/A,#N/A,FALSE,"PropertyInfo"}</definedName>
    <definedName name="wrn.Report." hidden="1">{#N/A,#N/A,FALSE,"Summary";#N/A,#N/A,FALSE,"Assumptions";#N/A,#N/A,FALSE,"Notes";#N/A,#N/A,FALSE,"Cash Flow";#N/A,#N/A,FALSE,"Eff. Rent Detail";#N/A,#N/A,FALSE,"Residual";#N/A,#N/A,FALSE,"Value Matrix";#N/A,#N/A,FALSE,"Pro Forma";#N/A,#N/A,FALSE,"Historical Op";#N/A,#N/A,FALSE,"Value Comp";#N/A,#N/A,FALSE,"Matrices"}</definedName>
    <definedName name="wrn.Short._.Print." localSheetId="1" hidden="1">{#N/A,#N/A,FALSE,"Cover";#N/A,#N/A,FALSE,"Stack";#N/A,#N/A,FALSE,"Cost S";#N/A,#N/A,FALSE," CF";#N/A,#N/A,FALSE,"Investor"}</definedName>
    <definedName name="wrn.Short._.Print." localSheetId="2" hidden="1">{#N/A,#N/A,FALSE,"Cover";#N/A,#N/A,FALSE,"Stack";#N/A,#N/A,FALSE,"Cost S";#N/A,#N/A,FALSE," CF";#N/A,#N/A,FALSE,"Investor"}</definedName>
    <definedName name="wrn.Short._.Print." localSheetId="3" hidden="1">{#N/A,#N/A,FALSE,"Cover";#N/A,#N/A,FALSE,"Stack";#N/A,#N/A,FALSE,"Cost S";#N/A,#N/A,FALSE," CF";#N/A,#N/A,FALSE,"Investor"}</definedName>
    <definedName name="wrn.Short._.Print." localSheetId="4" hidden="1">{#N/A,#N/A,FALSE,"Cover";#N/A,#N/A,FALSE,"Stack";#N/A,#N/A,FALSE,"Cost S";#N/A,#N/A,FALSE," CF";#N/A,#N/A,FALSE,"Investor"}</definedName>
    <definedName name="wrn.Short._.Print." localSheetId="0" hidden="1">{#N/A,#N/A,FALSE,"Cover";#N/A,#N/A,FALSE,"Stack";#N/A,#N/A,FALSE,"Cost S";#N/A,#N/A,FALSE," CF";#N/A,#N/A,FALSE,"Investor"}</definedName>
    <definedName name="wrn.Short._.Print." hidden="1">{#N/A,#N/A,FALSE,"Cover";#N/A,#N/A,FALSE,"Stack";#N/A,#N/A,FALSE,"Cost S";#N/A,#N/A,FALSE," CF";#N/A,#N/A,FALSE,"Investor"}</definedName>
    <definedName name="wrn.Summary." hidden="1">{#N/A,#N/A,FALSE,"Summary"}</definedName>
    <definedName name="wrn.Template." hidden="1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wrn.USSC_Reports." hidden="1">{#N/A,#N/A,FALSE,"9Pricing Matrix";#N/A,#N/A,FALSE,"1Summary";#N/A,#N/A,FALSE,"2Assumptions";#N/A,#N/A,FALSE,"3Cash Flow";#N/A,#N/A,FALSE,"5Residual";#N/A,#N/A,FALSE,"Occupancy Cost";#N/A,#N/A,FALSE,"7Financing Sensitivity";#N/A,#N/A,FALSE,"8Residual Sensitivity";#N/A,#N/A,FALSE,"10Vacancy Matrix";#N/A,#N/A,FALSE,"11Expiration Schedule";#N/A,#N/A,FALSE,"12Lease-up Schedule";#N/A,#N/A,FALSE,"OFS-Lease-up Schedule";#N/A,#N/A,FALSE,"Short Holds"}</definedName>
    <definedName name="xxx3" hidden="1">{"AnnualRentRoll",#N/A,FALSE,"RentRoll"}</definedName>
    <definedName name="xxx4" hidden="1">{#N/A,#N/A,FALSE,"ExitStratigy"}</definedName>
  </definedNames>
  <calcPr calcId="145621"/>
</workbook>
</file>

<file path=xl/calcChain.xml><?xml version="1.0" encoding="utf-8"?>
<calcChain xmlns="http://schemas.openxmlformats.org/spreadsheetml/2006/main">
  <c r="H18" i="16" l="1"/>
  <c r="H18" i="15"/>
  <c r="H18" i="14"/>
  <c r="N44" i="16" l="1"/>
  <c r="N42" i="16"/>
  <c r="N36" i="16"/>
  <c r="N35" i="16"/>
  <c r="H34" i="16"/>
  <c r="N38" i="16" s="1"/>
  <c r="H33" i="16"/>
  <c r="O34" i="13" s="1"/>
  <c r="W26" i="16"/>
  <c r="V26" i="16"/>
  <c r="U26" i="16"/>
  <c r="T26" i="16"/>
  <c r="S26" i="16"/>
  <c r="R26" i="16"/>
  <c r="Q26" i="16"/>
  <c r="P26" i="16"/>
  <c r="O26" i="16"/>
  <c r="N26" i="16"/>
  <c r="D25" i="16"/>
  <c r="M26" i="13" s="1"/>
  <c r="W24" i="16"/>
  <c r="V24" i="16"/>
  <c r="U24" i="16"/>
  <c r="T24" i="16"/>
  <c r="S24" i="16"/>
  <c r="R24" i="16"/>
  <c r="Q24" i="16"/>
  <c r="P24" i="16"/>
  <c r="O24" i="16"/>
  <c r="N24" i="16"/>
  <c r="W23" i="16"/>
  <c r="V23" i="16"/>
  <c r="U23" i="16"/>
  <c r="T23" i="16"/>
  <c r="S23" i="16"/>
  <c r="R23" i="16"/>
  <c r="Q23" i="16"/>
  <c r="P23" i="16"/>
  <c r="O23" i="16"/>
  <c r="N23" i="16"/>
  <c r="H23" i="16" s="1"/>
  <c r="O24" i="13" s="1"/>
  <c r="H11" i="16"/>
  <c r="D28" i="16" s="1"/>
  <c r="C4" i="16"/>
  <c r="N44" i="15"/>
  <c r="N43" i="15"/>
  <c r="N36" i="15"/>
  <c r="N35" i="15"/>
  <c r="H40" i="15" s="1"/>
  <c r="K41" i="13" s="1"/>
  <c r="H34" i="15"/>
  <c r="K35" i="13" s="1"/>
  <c r="H33" i="15"/>
  <c r="K34" i="13" s="1"/>
  <c r="H32" i="15"/>
  <c r="N37" i="15" s="1"/>
  <c r="W26" i="15"/>
  <c r="V26" i="15"/>
  <c r="U26" i="15"/>
  <c r="T26" i="15"/>
  <c r="S26" i="15"/>
  <c r="R26" i="15"/>
  <c r="Q26" i="15"/>
  <c r="P26" i="15"/>
  <c r="O26" i="15"/>
  <c r="N26" i="15"/>
  <c r="D25" i="15"/>
  <c r="D27" i="15" s="1"/>
  <c r="W24" i="15"/>
  <c r="W25" i="15" s="1"/>
  <c r="V24" i="15"/>
  <c r="U24" i="15"/>
  <c r="T24" i="15"/>
  <c r="S24" i="15"/>
  <c r="R24" i="15"/>
  <c r="Q24" i="15"/>
  <c r="P24" i="15"/>
  <c r="O24" i="15"/>
  <c r="N24" i="15"/>
  <c r="W23" i="15"/>
  <c r="V23" i="15"/>
  <c r="U23" i="15"/>
  <c r="T23" i="15"/>
  <c r="S23" i="15"/>
  <c r="R23" i="15"/>
  <c r="Q23" i="15"/>
  <c r="P23" i="15"/>
  <c r="O23" i="15"/>
  <c r="N23" i="15"/>
  <c r="H11" i="15"/>
  <c r="D28" i="15" s="1"/>
  <c r="C4" i="15"/>
  <c r="N36" i="14"/>
  <c r="H40" i="14" s="1"/>
  <c r="G41" i="13" s="1"/>
  <c r="N35" i="14"/>
  <c r="H34" i="14"/>
  <c r="G35" i="13" s="1"/>
  <c r="H33" i="14"/>
  <c r="G34" i="13" s="1"/>
  <c r="W26" i="14"/>
  <c r="V26" i="14"/>
  <c r="U26" i="14"/>
  <c r="T26" i="14"/>
  <c r="S26" i="14"/>
  <c r="R26" i="14"/>
  <c r="Q26" i="14"/>
  <c r="P26" i="14"/>
  <c r="O26" i="14"/>
  <c r="N26" i="14"/>
  <c r="D25" i="14"/>
  <c r="D27" i="14" s="1"/>
  <c r="W24" i="14"/>
  <c r="V24" i="14"/>
  <c r="U24" i="14"/>
  <c r="T24" i="14"/>
  <c r="S24" i="14"/>
  <c r="R24" i="14"/>
  <c r="Q24" i="14"/>
  <c r="P24" i="14"/>
  <c r="O24" i="14"/>
  <c r="N24" i="14"/>
  <c r="W23" i="14"/>
  <c r="V23" i="14"/>
  <c r="U23" i="14"/>
  <c r="T23" i="14"/>
  <c r="S23" i="14"/>
  <c r="R23" i="14"/>
  <c r="Q23" i="14"/>
  <c r="P23" i="14"/>
  <c r="O23" i="14"/>
  <c r="N23" i="14"/>
  <c r="H11" i="14"/>
  <c r="D28" i="14" s="1"/>
  <c r="C4" i="14"/>
  <c r="K33" i="13"/>
  <c r="N29" i="13"/>
  <c r="J29" i="13"/>
  <c r="F29" i="13"/>
  <c r="E28" i="13"/>
  <c r="N27" i="13"/>
  <c r="M27" i="13"/>
  <c r="J27" i="13"/>
  <c r="I27" i="13"/>
  <c r="F27" i="13"/>
  <c r="E27" i="13"/>
  <c r="I26" i="13"/>
  <c r="E26" i="13"/>
  <c r="N25" i="13"/>
  <c r="M25" i="13"/>
  <c r="J25" i="13"/>
  <c r="I25" i="13"/>
  <c r="F25" i="13"/>
  <c r="E25" i="13"/>
  <c r="N24" i="13"/>
  <c r="M24" i="13"/>
  <c r="J24" i="13"/>
  <c r="I24" i="13"/>
  <c r="F24" i="13"/>
  <c r="E24" i="13"/>
  <c r="O19" i="13"/>
  <c r="K19" i="13"/>
  <c r="G19" i="13"/>
  <c r="O18" i="13"/>
  <c r="K18" i="13"/>
  <c r="G18" i="13"/>
  <c r="O17" i="13"/>
  <c r="K17" i="13"/>
  <c r="G17" i="13"/>
  <c r="O16" i="13"/>
  <c r="K16" i="13"/>
  <c r="G16" i="13"/>
  <c r="O15" i="13"/>
  <c r="K15" i="13"/>
  <c r="G15" i="13"/>
  <c r="O14" i="13"/>
  <c r="K14" i="13"/>
  <c r="G14" i="13"/>
  <c r="O13" i="13"/>
  <c r="K13" i="13"/>
  <c r="G13" i="13"/>
  <c r="O12" i="13"/>
  <c r="N12" i="13"/>
  <c r="J12" i="13"/>
  <c r="F12" i="13"/>
  <c r="O11" i="13"/>
  <c r="K11" i="13"/>
  <c r="G11" i="13"/>
  <c r="O10" i="13"/>
  <c r="K10" i="13"/>
  <c r="G10" i="13"/>
  <c r="M7" i="13"/>
  <c r="I7" i="13"/>
  <c r="E7" i="13"/>
  <c r="M6" i="13"/>
  <c r="I6" i="13"/>
  <c r="E6" i="13"/>
  <c r="M5" i="13"/>
  <c r="I5" i="13"/>
  <c r="E5" i="13"/>
  <c r="P25" i="14" l="1"/>
  <c r="T25" i="14"/>
  <c r="O25" i="15"/>
  <c r="O27" i="15" s="1"/>
  <c r="Q25" i="15"/>
  <c r="S25" i="15"/>
  <c r="S27" i="15" s="1"/>
  <c r="W27" i="15"/>
  <c r="P25" i="16"/>
  <c r="P27" i="16" s="1"/>
  <c r="T25" i="16"/>
  <c r="K12" i="13"/>
  <c r="S25" i="14"/>
  <c r="U25" i="14"/>
  <c r="W25" i="14"/>
  <c r="N25" i="15"/>
  <c r="N27" i="15" s="1"/>
  <c r="R25" i="15"/>
  <c r="V25" i="15"/>
  <c r="D29" i="15"/>
  <c r="I30" i="13" s="1"/>
  <c r="Q25" i="16"/>
  <c r="Q27" i="16" s="1"/>
  <c r="U25" i="16"/>
  <c r="U27" i="16" s="1"/>
  <c r="U27" i="14"/>
  <c r="Q25" i="14"/>
  <c r="Q27" i="14" s="1"/>
  <c r="H24" i="14"/>
  <c r="G25" i="13" s="1"/>
  <c r="P27" i="14"/>
  <c r="T27" i="14"/>
  <c r="R28" i="16"/>
  <c r="T28" i="16"/>
  <c r="P28" i="16"/>
  <c r="P29" i="16" s="1"/>
  <c r="N28" i="16"/>
  <c r="M29" i="13"/>
  <c r="U28" i="16"/>
  <c r="U29" i="16" s="1"/>
  <c r="U31" i="16" s="1"/>
  <c r="R27" i="15"/>
  <c r="O25" i="14"/>
  <c r="O27" i="14" s="1"/>
  <c r="H26" i="16"/>
  <c r="T27" i="16"/>
  <c r="H40" i="16"/>
  <c r="O41" i="13" s="1"/>
  <c r="N25" i="14"/>
  <c r="R25" i="14"/>
  <c r="R27" i="14" s="1"/>
  <c r="V25" i="14"/>
  <c r="V27" i="14" s="1"/>
  <c r="H26" i="14"/>
  <c r="G27" i="13" s="1"/>
  <c r="P25" i="15"/>
  <c r="P27" i="15" s="1"/>
  <c r="T25" i="15"/>
  <c r="T27" i="15"/>
  <c r="O25" i="16"/>
  <c r="S25" i="16"/>
  <c r="W25" i="16"/>
  <c r="H32" i="16"/>
  <c r="O33" i="13" s="1"/>
  <c r="H23" i="15"/>
  <c r="K24" i="13" s="1"/>
  <c r="H24" i="15"/>
  <c r="K25" i="13" s="1"/>
  <c r="U25" i="15"/>
  <c r="H23" i="14"/>
  <c r="G24" i="13" s="1"/>
  <c r="V27" i="15"/>
  <c r="O27" i="13"/>
  <c r="U32" i="16"/>
  <c r="W28" i="14"/>
  <c r="S28" i="14"/>
  <c r="O28" i="14"/>
  <c r="E29" i="13"/>
  <c r="V28" i="14"/>
  <c r="Q28" i="14"/>
  <c r="U28" i="14"/>
  <c r="U29" i="14" s="1"/>
  <c r="P28" i="14"/>
  <c r="T28" i="14"/>
  <c r="N28" i="14"/>
  <c r="R28" i="14"/>
  <c r="P32" i="16"/>
  <c r="P31" i="16"/>
  <c r="P33" i="16" s="1"/>
  <c r="P40" i="16" s="1"/>
  <c r="H32" i="14"/>
  <c r="D29" i="14"/>
  <c r="E30" i="13" s="1"/>
  <c r="U28" i="15"/>
  <c r="Q28" i="15"/>
  <c r="N28" i="15"/>
  <c r="R28" i="15"/>
  <c r="R29" i="15" s="1"/>
  <c r="V28" i="15"/>
  <c r="V29" i="15" s="1"/>
  <c r="T28" i="15"/>
  <c r="T29" i="15" s="1"/>
  <c r="O28" i="15"/>
  <c r="O29" i="15" s="1"/>
  <c r="S28" i="15"/>
  <c r="S29" i="15" s="1"/>
  <c r="W28" i="15"/>
  <c r="W29" i="15" s="1"/>
  <c r="P28" i="15"/>
  <c r="I29" i="13"/>
  <c r="T29" i="16"/>
  <c r="N38" i="15"/>
  <c r="S27" i="16"/>
  <c r="W27" i="14"/>
  <c r="H25" i="15"/>
  <c r="K26" i="13" s="1"/>
  <c r="U27" i="15"/>
  <c r="D27" i="16"/>
  <c r="G12" i="13"/>
  <c r="H26" i="15"/>
  <c r="H24" i="16"/>
  <c r="O35" i="13"/>
  <c r="N38" i="14"/>
  <c r="N25" i="16"/>
  <c r="N43" i="16" s="1"/>
  <c r="H41" i="16" s="1"/>
  <c r="O42" i="13" s="1"/>
  <c r="R25" i="16"/>
  <c r="R27" i="16" s="1"/>
  <c r="V25" i="16"/>
  <c r="V27" i="16" s="1"/>
  <c r="O27" i="16"/>
  <c r="W27" i="16"/>
  <c r="N37" i="16"/>
  <c r="S27" i="14"/>
  <c r="Q27" i="15"/>
  <c r="I28" i="13"/>
  <c r="W28" i="16"/>
  <c r="S28" i="16"/>
  <c r="O28" i="16"/>
  <c r="O29" i="16" s="1"/>
  <c r="Q28" i="16"/>
  <c r="Q29" i="16" s="1"/>
  <c r="V28" i="16"/>
  <c r="R29" i="16" l="1"/>
  <c r="H25" i="14"/>
  <c r="G26" i="13" s="1"/>
  <c r="N27" i="14"/>
  <c r="T29" i="14"/>
  <c r="T32" i="14" s="1"/>
  <c r="P29" i="14"/>
  <c r="P32" i="14" s="1"/>
  <c r="Q29" i="14"/>
  <c r="Q32" i="14" s="1"/>
  <c r="S29" i="14"/>
  <c r="S31" i="14" s="1"/>
  <c r="V29" i="14"/>
  <c r="V32" i="14" s="1"/>
  <c r="W29" i="14"/>
  <c r="W32" i="14" s="1"/>
  <c r="P29" i="15"/>
  <c r="R29" i="14"/>
  <c r="U33" i="16"/>
  <c r="U40" i="16" s="1"/>
  <c r="Q31" i="16"/>
  <c r="Q32" i="16"/>
  <c r="Q33" i="16" s="1"/>
  <c r="Q40" i="16" s="1"/>
  <c r="H27" i="15"/>
  <c r="K27" i="13"/>
  <c r="O31" i="15"/>
  <c r="O32" i="15"/>
  <c r="O33" i="15" s="1"/>
  <c r="O40" i="15" s="1"/>
  <c r="H28" i="15"/>
  <c r="K29" i="13" s="1"/>
  <c r="N29" i="15"/>
  <c r="N37" i="14"/>
  <c r="N43" i="14" s="1"/>
  <c r="G33" i="13"/>
  <c r="N27" i="16"/>
  <c r="N29" i="16" s="1"/>
  <c r="N29" i="14"/>
  <c r="H28" i="14"/>
  <c r="G29" i="13" s="1"/>
  <c r="S32" i="14"/>
  <c r="R32" i="16"/>
  <c r="R31" i="16"/>
  <c r="R33" i="16" s="1"/>
  <c r="R40" i="16" s="1"/>
  <c r="O32" i="16"/>
  <c r="O31" i="16"/>
  <c r="P32" i="15"/>
  <c r="P31" i="15"/>
  <c r="P33" i="15" s="1"/>
  <c r="P40" i="15" s="1"/>
  <c r="T32" i="15"/>
  <c r="T31" i="15"/>
  <c r="Q29" i="15"/>
  <c r="S29" i="16"/>
  <c r="W31" i="15"/>
  <c r="W32" i="15"/>
  <c r="V32" i="15"/>
  <c r="V31" i="15"/>
  <c r="U29" i="15"/>
  <c r="P31" i="14"/>
  <c r="H28" i="16"/>
  <c r="O29" i="13" s="1"/>
  <c r="V29" i="16"/>
  <c r="W29" i="16"/>
  <c r="H25" i="16"/>
  <c r="O25" i="13"/>
  <c r="D29" i="16"/>
  <c r="M30" i="13" s="1"/>
  <c r="M28" i="13"/>
  <c r="T32" i="16"/>
  <c r="T31" i="16"/>
  <c r="T33" i="16" s="1"/>
  <c r="T40" i="16" s="1"/>
  <c r="S31" i="15"/>
  <c r="S33" i="15"/>
  <c r="S40" i="15" s="1"/>
  <c r="S32" i="15"/>
  <c r="R31" i="15"/>
  <c r="R32" i="15"/>
  <c r="R32" i="14"/>
  <c r="R31" i="14"/>
  <c r="U31" i="14"/>
  <c r="U32" i="14"/>
  <c r="O29" i="14"/>
  <c r="N42" i="15"/>
  <c r="H41" i="15" s="1"/>
  <c r="K42" i="13" s="1"/>
  <c r="W33" i="15" l="1"/>
  <c r="W40" i="15" s="1"/>
  <c r="T33" i="15"/>
  <c r="T40" i="15" s="1"/>
  <c r="H27" i="14"/>
  <c r="H29" i="14" s="1"/>
  <c r="T31" i="14"/>
  <c r="T33" i="14" s="1"/>
  <c r="T40" i="14" s="1"/>
  <c r="S33" i="14"/>
  <c r="S40" i="14" s="1"/>
  <c r="Q31" i="14"/>
  <c r="P33" i="14"/>
  <c r="P40" i="14" s="1"/>
  <c r="W31" i="14"/>
  <c r="N44" i="14"/>
  <c r="N42" i="14"/>
  <c r="V31" i="14"/>
  <c r="V33" i="14" s="1"/>
  <c r="V40" i="14" s="1"/>
  <c r="R33" i="14"/>
  <c r="R40" i="14" s="1"/>
  <c r="O33" i="16"/>
  <c r="O40" i="16" s="1"/>
  <c r="Q33" i="14"/>
  <c r="Q40" i="14" s="1"/>
  <c r="V33" i="15"/>
  <c r="V40" i="15" s="1"/>
  <c r="U33" i="14"/>
  <c r="U40" i="14" s="1"/>
  <c r="R33" i="15"/>
  <c r="R40" i="15" s="1"/>
  <c r="W33" i="14"/>
  <c r="W40" i="14" s="1"/>
  <c r="Q32" i="15"/>
  <c r="Q31" i="15"/>
  <c r="Q33" i="15" s="1"/>
  <c r="Q40" i="15" s="1"/>
  <c r="N32" i="14"/>
  <c r="N31" i="14"/>
  <c r="N32" i="15"/>
  <c r="N31" i="15"/>
  <c r="V32" i="16"/>
  <c r="V31" i="16"/>
  <c r="V33" i="16"/>
  <c r="V40" i="16" s="1"/>
  <c r="N32" i="16"/>
  <c r="N31" i="16"/>
  <c r="U32" i="15"/>
  <c r="U31" i="15"/>
  <c r="S31" i="16"/>
  <c r="S32" i="16"/>
  <c r="H29" i="15"/>
  <c r="K28" i="13"/>
  <c r="O26" i="13"/>
  <c r="H27" i="16"/>
  <c r="O32" i="14"/>
  <c r="O31" i="14"/>
  <c r="W32" i="16"/>
  <c r="W31" i="16"/>
  <c r="W33" i="16" s="1"/>
  <c r="W40" i="16" s="1"/>
  <c r="S33" i="16" l="1"/>
  <c r="S40" i="16" s="1"/>
  <c r="N33" i="16"/>
  <c r="N40" i="16" s="1"/>
  <c r="N33" i="15"/>
  <c r="N40" i="15" s="1"/>
  <c r="G28" i="13"/>
  <c r="N33" i="14"/>
  <c r="N40" i="14" s="1"/>
  <c r="H41" i="14"/>
  <c r="G42" i="13" s="1"/>
  <c r="O33" i="14"/>
  <c r="O40" i="14" s="1"/>
  <c r="U33" i="15"/>
  <c r="U40" i="15" s="1"/>
  <c r="H39" i="16"/>
  <c r="O40" i="13" s="1"/>
  <c r="H38" i="16"/>
  <c r="O39" i="13" s="1"/>
  <c r="H29" i="16"/>
  <c r="O28" i="13"/>
  <c r="H35" i="15"/>
  <c r="K36" i="13" s="1"/>
  <c r="K30" i="13"/>
  <c r="G30" i="13"/>
  <c r="H35" i="14"/>
  <c r="G36" i="13" s="1"/>
  <c r="H38" i="15"/>
  <c r="K39" i="13" s="1"/>
  <c r="H39" i="15"/>
  <c r="K40" i="13" s="1"/>
  <c r="H38" i="14" l="1"/>
  <c r="G39" i="13" s="1"/>
  <c r="H39" i="14"/>
  <c r="G40" i="13" s="1"/>
  <c r="H35" i="16"/>
  <c r="O36" i="13" s="1"/>
  <c r="O30" i="13"/>
</calcChain>
</file>

<file path=xl/sharedStrings.xml><?xml version="1.0" encoding="utf-8"?>
<sst xmlns="http://schemas.openxmlformats.org/spreadsheetml/2006/main" count="260" uniqueCount="71">
  <si>
    <t>Space Address</t>
  </si>
  <si>
    <t>Suite Number</t>
  </si>
  <si>
    <t>Basic Lease Terms:</t>
  </si>
  <si>
    <t>Lease Rentable Area</t>
  </si>
  <si>
    <t>Lease Term (Full Lease Years Only / 10-Years Maximum Term)</t>
  </si>
  <si>
    <t>Parking per 1,000 RSF / Total Parking</t>
  </si>
  <si>
    <t>Initial Monthly Parking Rent per Spot</t>
  </si>
  <si>
    <t>Lease Deal Type (Net, Gross, Full Service)</t>
  </si>
  <si>
    <t>Free Rent (Matches Deal Type)</t>
  </si>
  <si>
    <t>Initial Project Costs (TI, FF&amp;E, IT, A&amp;E)</t>
  </si>
  <si>
    <t>Tenant Improvement Allowance</t>
  </si>
  <si>
    <t>Other Landlord Concession</t>
  </si>
  <si>
    <t>Discount Rate</t>
  </si>
  <si>
    <t>Average</t>
  </si>
  <si>
    <t>Initial &amp; Average Rental Rates:</t>
  </si>
  <si>
    <t>Initial</t>
  </si>
  <si>
    <t>Annual</t>
  </si>
  <si>
    <t>Rental Rate</t>
  </si>
  <si>
    <t>Escalation</t>
  </si>
  <si>
    <r>
      <t>Rent PSF,</t>
    </r>
    <r>
      <rPr>
        <b/>
        <sz val="12"/>
        <rFont val="Garamond"/>
        <family val="1"/>
      </rPr>
      <t xml:space="preserve"> Net</t>
    </r>
    <r>
      <rPr>
        <sz val="12"/>
        <rFont val="Garamond"/>
        <family val="1"/>
      </rPr>
      <t xml:space="preserve"> (or Equivalent)</t>
    </r>
  </si>
  <si>
    <t>Tax &amp; Operating, PSF (Base Year Amount)</t>
  </si>
  <si>
    <r>
      <t xml:space="preserve">Rent PSF, </t>
    </r>
    <r>
      <rPr>
        <b/>
        <sz val="12"/>
        <rFont val="Garamond"/>
        <family val="1"/>
      </rPr>
      <t>Gross</t>
    </r>
    <r>
      <rPr>
        <sz val="12"/>
        <rFont val="Garamond"/>
        <family val="1"/>
      </rPr>
      <t xml:space="preserve"> (or Equivalent)</t>
    </r>
  </si>
  <si>
    <t>Electricity, PSF (Base Year Amount)</t>
  </si>
  <si>
    <r>
      <t xml:space="preserve">Rent PSF, </t>
    </r>
    <r>
      <rPr>
        <b/>
        <sz val="12"/>
        <rFont val="Garamond"/>
        <family val="1"/>
      </rPr>
      <t>Full Service</t>
    </r>
    <r>
      <rPr>
        <sz val="12"/>
        <rFont val="Garamond"/>
        <family val="1"/>
      </rPr>
      <t xml:space="preserve"> (or Equivalent)</t>
    </r>
  </si>
  <si>
    <t>Parking Rent, PSF</t>
  </si>
  <si>
    <t>Annual Occupancy Costs PSF (Expense Only)</t>
  </si>
  <si>
    <t>Landlord Concession Impact:</t>
  </si>
  <si>
    <t>Free Rent Impact</t>
  </si>
  <si>
    <t>Tenant Improvement Allowance Impact</t>
  </si>
  <si>
    <t>Other Landlord Concession Impact</t>
  </si>
  <si>
    <t>Net Effective Rent</t>
  </si>
  <si>
    <t>Net Effective Rent and other Deal Cost Measures:</t>
  </si>
  <si>
    <t>Total Cash Flow</t>
  </si>
  <si>
    <t>NPV Cash Flow</t>
  </si>
  <si>
    <t>Initial Tenant Capital Requirement</t>
  </si>
  <si>
    <t>Initial Year P&amp;L (All Project Costs / Lease Term)</t>
  </si>
  <si>
    <t>Lease Offer #1</t>
  </si>
  <si>
    <t>Today's Date</t>
  </si>
  <si>
    <t>User Inputs Are In Bold Blue Type</t>
  </si>
  <si>
    <t>123 Main</t>
  </si>
  <si>
    <t>Parking per 1,000 RSF &amp; Total</t>
  </si>
  <si>
    <t>Do Not Erase</t>
  </si>
  <si>
    <t>Full Service</t>
  </si>
  <si>
    <t>Net</t>
  </si>
  <si>
    <t>Gross</t>
  </si>
  <si>
    <t>RENT DEAL CALCULATION</t>
  </si>
  <si>
    <t>Rent PSF, Net</t>
  </si>
  <si>
    <t>Tax &amp; Operating, PSF</t>
  </si>
  <si>
    <t>Rent PSF, Gross</t>
  </si>
  <si>
    <t>Electricity, PSF</t>
  </si>
  <si>
    <t>Rent PSF, Full Service</t>
  </si>
  <si>
    <t>Annual Occupancy Costs PSF</t>
  </si>
  <si>
    <t>Gross Adjustment</t>
  </si>
  <si>
    <t>Full Service Adjustment</t>
  </si>
  <si>
    <t>Full Service Rent PSF</t>
  </si>
  <si>
    <t>Project Costs</t>
  </si>
  <si>
    <t>TI Allowance</t>
  </si>
  <si>
    <t>Free Rent</t>
  </si>
  <si>
    <t>Concessions</t>
  </si>
  <si>
    <t>Cash Flow PSF</t>
  </si>
  <si>
    <t>Net P&amp;L PSF</t>
  </si>
  <si>
    <t>Gross P&amp;L PSF</t>
  </si>
  <si>
    <t>Full Service P&amp;L PSF</t>
  </si>
  <si>
    <t>Lease Offer #2</t>
  </si>
  <si>
    <t>225 Park</t>
  </si>
  <si>
    <t>Lease Offer #3</t>
  </si>
  <si>
    <t>675 Madison</t>
  </si>
  <si>
    <t>Comparative Office/Industrial Net Effective Rent Lease Analysis - Tenant Perspective</t>
  </si>
  <si>
    <t>Comparative Office/Industrial Net Effective Rent - Tenant Perspective</t>
  </si>
  <si>
    <t>Profile</t>
  </si>
  <si>
    <t>Data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</si>
</sst>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;#,##0.0_);@_)"/>
    <numFmt numFmtId="166" formatCode="&quot;$&quot;_(#,##0.00_);&quot;$&quot;\(#,##0.00\);&quot;$&quot;_(0.00_);@_)"/>
    <numFmt numFmtId="167" formatCode="#,##0_)\x;\(#,##0\)\x;0_)\x;@_)_x"/>
    <numFmt numFmtId="168" formatCode="m\-d\-yy"/>
    <numFmt numFmtId="169" formatCode="_-* #,##0.0_-;\-* #,##0.0_-;_-* &quot;-&quot;??_-;_-@_-"/>
    <numFmt numFmtId="170" formatCode="#,##0.00&quot; $&quot;;\-#,##0.00&quot; $&quot;"/>
    <numFmt numFmtId="171" formatCode="0.00_);[Red]\(0.00\)"/>
    <numFmt numFmtId="172" formatCode="0.00_)"/>
    <numFmt numFmtId="173" formatCode="&quot;Ste.&quot;\ ###0"/>
    <numFmt numFmtId="174" formatCode="#,##0\ &quot;SF&quot;"/>
    <numFmt numFmtId="175" formatCode="0.00\ &quot;years&quot;"/>
    <numFmt numFmtId="176" formatCode="0.00\ &quot;spots&quot;"/>
    <numFmt numFmtId="177" formatCode="#,##0\ &quot;spots&quot;"/>
    <numFmt numFmtId="178" formatCode="0\ &quot;months&quot;"/>
    <numFmt numFmtId="179" formatCode="&quot;$&quot;#,##0.00\ &quot;PSF&quot;"/>
    <numFmt numFmtId="180" formatCode="&quot;$&quot;#,##0.00_);[Red]\(&quot;$&quot;#,##0.00\)\ &quot;PSF&quot;"/>
    <numFmt numFmtId="181" formatCode="&quot;$&quot;#,##0.00_)\ &quot;PSF&quot;;[Red]\(&quot;$&quot;#,##0.00\)\ &quot;PSF&quot;"/>
    <numFmt numFmtId="182" formatCode="&quot;$&quot;#,##0_);[Red]\(&quot;$&quot;#,##0\)\ &quot;PSF&quot;"/>
    <numFmt numFmtId="183" formatCode="&quot;$&quot;#,##0.00"/>
  </numFmts>
  <fonts count="37" x14ac:knownFonts="1">
    <font>
      <sz val="14"/>
      <color theme="1"/>
      <name val="Garamond"/>
      <family val="2"/>
    </font>
    <font>
      <b/>
      <sz val="14"/>
      <name val="Garamond"/>
      <family val="1"/>
    </font>
    <font>
      <sz val="14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Helv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2"/>
      <color indexed="9"/>
      <name val="Helv"/>
    </font>
    <font>
      <sz val="10"/>
      <color indexed="12"/>
      <name val="Arial"/>
      <family val="2"/>
    </font>
    <font>
      <sz val="12"/>
      <color indexed="13"/>
      <name val="Helv"/>
    </font>
    <font>
      <b/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name val="Verdana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2"/>
      <color indexed="17"/>
      <name val="Helv"/>
    </font>
    <font>
      <b/>
      <sz val="11"/>
      <name val="Arial"/>
      <family val="2"/>
    </font>
    <font>
      <sz val="8"/>
      <color indexed="12"/>
      <name val="Arial"/>
      <family val="2"/>
    </font>
    <font>
      <sz val="14"/>
      <color theme="1"/>
      <name val="Garamond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2"/>
      <color rgb="FF0000FF"/>
      <name val="Garamond"/>
      <family val="1"/>
    </font>
    <font>
      <i/>
      <sz val="12"/>
      <name val="Garamond"/>
      <family val="1"/>
    </font>
    <font>
      <b/>
      <sz val="12"/>
      <color rgb="FFFF0000"/>
      <name val="Garamond"/>
      <family val="1"/>
    </font>
    <font>
      <b/>
      <sz val="12"/>
      <color theme="0"/>
      <name val="Garamond"/>
      <family val="1"/>
    </font>
    <font>
      <sz val="10"/>
      <color theme="0"/>
      <name val="Garamond"/>
      <family val="1"/>
    </font>
    <font>
      <sz val="12"/>
      <color theme="0"/>
      <name val="Garamond"/>
      <family val="1"/>
    </font>
    <font>
      <u/>
      <sz val="12"/>
      <color theme="10"/>
      <name val="Garamond"/>
      <family val="1"/>
    </font>
    <font>
      <u/>
      <sz val="12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4" fillId="2" borderId="1">
      <alignment horizontal="center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8" fontId="6" fillId="0" borderId="0" applyFont="0" applyFill="0" applyBorder="0" applyAlignment="0" applyProtection="0"/>
    <xf numFmtId="15" fontId="7" fillId="0" borderId="2" applyFont="0" applyFill="0" applyBorder="0" applyProtection="0">
      <alignment horizontal="center"/>
      <protection locked="0"/>
    </xf>
    <xf numFmtId="169" fontId="3" fillId="0" borderId="0">
      <protection locked="0"/>
    </xf>
    <xf numFmtId="38" fontId="7" fillId="0" borderId="0" applyFill="0" applyBorder="0" applyAlignment="0" applyProtection="0"/>
    <xf numFmtId="38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170" fontId="3" fillId="0" borderId="0">
      <protection locked="0"/>
    </xf>
    <xf numFmtId="170" fontId="3" fillId="0" borderId="0">
      <protection locked="0"/>
    </xf>
    <xf numFmtId="171" fontId="10" fillId="0" borderId="0" applyFill="0" applyBorder="0" applyAlignment="0" applyProtection="0">
      <alignment horizontal="right"/>
    </xf>
    <xf numFmtId="0" fontId="11" fillId="0" borderId="3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0" fontId="8" fillId="4" borderId="4" applyNumberFormat="0" applyBorder="0" applyAlignment="0" applyProtection="0"/>
    <xf numFmtId="37" fontId="12" fillId="0" borderId="2" applyNumberFormat="0" applyFont="0" applyFill="0" applyAlignment="0" applyProtection="0">
      <alignment horizontal="center" vertical="center"/>
    </xf>
    <xf numFmtId="38" fontId="6" fillId="0" borderId="0"/>
    <xf numFmtId="38" fontId="13" fillId="1" borderId="5"/>
    <xf numFmtId="37" fontId="14" fillId="0" borderId="0"/>
    <xf numFmtId="0" fontId="3" fillId="0" borderId="0"/>
    <xf numFmtId="172" fontId="15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9" fillId="0" borderId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6" fillId="0" borderId="6"/>
    <xf numFmtId="0" fontId="3" fillId="0" borderId="7" applyNumberFormat="0" applyProtection="0">
      <alignment horizontal="left" vertical="center"/>
    </xf>
    <xf numFmtId="0" fontId="3" fillId="0" borderId="0" applyNumberFormat="0" applyFill="0" applyBorder="0" applyProtection="0">
      <alignment horizontal="left" vertical="top" wrapText="1" indent="1"/>
    </xf>
    <xf numFmtId="0" fontId="20" fillId="0" borderId="8" applyNumberFormat="0" applyProtection="0">
      <alignment horizontal="centerContinuous" vertical="center"/>
    </xf>
    <xf numFmtId="37" fontId="8" fillId="5" borderId="0" applyNumberFormat="0" applyBorder="0" applyAlignment="0" applyProtection="0"/>
    <xf numFmtId="37" fontId="8" fillId="0" borderId="0"/>
    <xf numFmtId="3" fontId="21" fillId="0" borderId="3" applyProtection="0"/>
  </cellStyleXfs>
  <cellXfs count="141">
    <xf numFmtId="0" fontId="0" fillId="0" borderId="0" xfId="0"/>
    <xf numFmtId="0" fontId="2" fillId="6" borderId="0" xfId="32" applyFont="1" applyFill="1" applyAlignment="1"/>
    <xf numFmtId="0" fontId="25" fillId="8" borderId="0" xfId="24" applyFont="1" applyFill="1" applyAlignment="1" applyProtection="1"/>
    <xf numFmtId="0" fontId="26" fillId="6" borderId="0" xfId="32" applyFont="1" applyFill="1"/>
    <xf numFmtId="0" fontId="27" fillId="6" borderId="0" xfId="32" applyFont="1" applyFill="1"/>
    <xf numFmtId="0" fontId="1" fillId="6" borderId="0" xfId="32" applyFont="1" applyFill="1" applyAlignment="1"/>
    <xf numFmtId="0" fontId="28" fillId="6" borderId="0" xfId="32" applyFont="1" applyFill="1" applyAlignment="1"/>
    <xf numFmtId="0" fontId="28" fillId="6" borderId="0" xfId="32" applyFont="1" applyFill="1" applyAlignment="1">
      <alignment horizontal="center"/>
    </xf>
    <xf numFmtId="0" fontId="26" fillId="6" borderId="0" xfId="32" applyFont="1" applyFill="1" applyBorder="1" applyAlignment="1">
      <alignment horizontal="center"/>
    </xf>
    <xf numFmtId="0" fontId="26" fillId="6" borderId="0" xfId="32" applyFont="1" applyFill="1" applyAlignment="1">
      <alignment horizontal="center"/>
    </xf>
    <xf numFmtId="14" fontId="28" fillId="6" borderId="0" xfId="32" applyNumberFormat="1" applyFont="1" applyFill="1" applyBorder="1" applyAlignment="1">
      <alignment horizontal="left"/>
    </xf>
    <xf numFmtId="0" fontId="29" fillId="6" borderId="0" xfId="32" applyFont="1" applyFill="1" applyBorder="1" applyAlignment="1"/>
    <xf numFmtId="0" fontId="29" fillId="6" borderId="0" xfId="32" applyFont="1" applyFill="1" applyBorder="1" applyAlignment="1">
      <alignment horizontal="right"/>
    </xf>
    <xf numFmtId="0" fontId="28" fillId="6" borderId="0" xfId="32" applyFont="1" applyFill="1"/>
    <xf numFmtId="0" fontId="29" fillId="6" borderId="0" xfId="32" applyFont="1" applyFill="1" applyBorder="1" applyAlignment="1">
      <alignment horizontal="center"/>
    </xf>
    <xf numFmtId="0" fontId="27" fillId="6" borderId="0" xfId="32" applyFont="1" applyFill="1" applyBorder="1"/>
    <xf numFmtId="0" fontId="26" fillId="6" borderId="0" xfId="32" applyFont="1" applyFill="1" applyBorder="1" applyAlignment="1">
      <alignment horizontal="right"/>
    </xf>
    <xf numFmtId="0" fontId="30" fillId="6" borderId="0" xfId="32" applyFont="1" applyFill="1" applyAlignment="1"/>
    <xf numFmtId="0" fontId="26" fillId="9" borderId="0" xfId="32" applyFont="1" applyFill="1" applyBorder="1" applyAlignment="1">
      <alignment horizontal="right"/>
    </xf>
    <xf numFmtId="0" fontId="28" fillId="6" borderId="0" xfId="32" applyFont="1" applyFill="1" applyBorder="1"/>
    <xf numFmtId="0" fontId="26" fillId="6" borderId="0" xfId="32" applyFont="1" applyFill="1" applyBorder="1"/>
    <xf numFmtId="174" fontId="26" fillId="6" borderId="0" xfId="32" applyNumberFormat="1" applyFont="1" applyFill="1" applyBorder="1"/>
    <xf numFmtId="174" fontId="26" fillId="9" borderId="0" xfId="32" applyNumberFormat="1" applyFont="1" applyFill="1" applyBorder="1"/>
    <xf numFmtId="0" fontId="27" fillId="6" borderId="0" xfId="32" applyFont="1" applyFill="1" applyBorder="1" applyAlignment="1">
      <alignment horizontal="center"/>
    </xf>
    <xf numFmtId="9" fontId="29" fillId="6" borderId="0" xfId="32" applyNumberFormat="1" applyFont="1" applyFill="1" applyBorder="1" applyAlignment="1">
      <alignment horizontal="right"/>
    </xf>
    <xf numFmtId="175" fontId="26" fillId="6" borderId="0" xfId="32" applyNumberFormat="1" applyFont="1" applyFill="1" applyBorder="1" applyAlignment="1">
      <alignment horizontal="right"/>
    </xf>
    <xf numFmtId="175" fontId="26" fillId="9" borderId="0" xfId="32" applyNumberFormat="1" applyFont="1" applyFill="1" applyBorder="1" applyAlignment="1">
      <alignment horizontal="right"/>
    </xf>
    <xf numFmtId="176" fontId="29" fillId="6" borderId="0" xfId="32" applyNumberFormat="1" applyFont="1" applyFill="1" applyBorder="1" applyAlignment="1">
      <alignment horizontal="right"/>
    </xf>
    <xf numFmtId="176" fontId="26" fillId="6" borderId="0" xfId="32" applyNumberFormat="1" applyFont="1" applyFill="1" applyBorder="1" applyAlignment="1">
      <alignment horizontal="right"/>
    </xf>
    <xf numFmtId="177" fontId="26" fillId="6" borderId="0" xfId="32" applyNumberFormat="1" applyFont="1" applyFill="1" applyBorder="1"/>
    <xf numFmtId="176" fontId="26" fillId="9" borderId="0" xfId="32" applyNumberFormat="1" applyFont="1" applyFill="1" applyBorder="1" applyAlignment="1">
      <alignment horizontal="right"/>
    </xf>
    <xf numFmtId="177" fontId="26" fillId="9" borderId="0" xfId="32" applyNumberFormat="1" applyFont="1" applyFill="1" applyBorder="1"/>
    <xf numFmtId="8" fontId="26" fillId="6" borderId="0" xfId="32" applyNumberFormat="1" applyFont="1" applyFill="1" applyBorder="1"/>
    <xf numFmtId="8" fontId="26" fillId="9" borderId="0" xfId="32" applyNumberFormat="1" applyFont="1" applyFill="1" applyBorder="1"/>
    <xf numFmtId="0" fontId="26" fillId="0" borderId="0" xfId="32" applyFont="1" applyFill="1" applyBorder="1"/>
    <xf numFmtId="0" fontId="26" fillId="0" borderId="0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178" fontId="26" fillId="6" borderId="0" xfId="32" applyNumberFormat="1" applyFont="1" applyFill="1" applyBorder="1" applyAlignment="1">
      <alignment horizontal="right"/>
    </xf>
    <xf numFmtId="178" fontId="26" fillId="9" borderId="0" xfId="32" applyNumberFormat="1" applyFont="1" applyFill="1" applyBorder="1" applyAlignment="1">
      <alignment horizontal="right"/>
    </xf>
    <xf numFmtId="179" fontId="26" fillId="6" borderId="0" xfId="32" applyNumberFormat="1" applyFont="1" applyFill="1" applyBorder="1" applyAlignment="1">
      <alignment horizontal="right"/>
    </xf>
    <xf numFmtId="179" fontId="26" fillId="9" borderId="0" xfId="32" applyNumberFormat="1" applyFont="1" applyFill="1" applyBorder="1" applyAlignment="1">
      <alignment horizontal="right"/>
    </xf>
    <xf numFmtId="10" fontId="26" fillId="6" borderId="0" xfId="57" applyNumberFormat="1" applyFont="1" applyFill="1" applyBorder="1" applyAlignment="1">
      <alignment horizontal="right"/>
    </xf>
    <xf numFmtId="10" fontId="26" fillId="9" borderId="0" xfId="57" applyNumberFormat="1" applyFont="1" applyFill="1" applyBorder="1" applyAlignment="1">
      <alignment horizontal="right"/>
    </xf>
    <xf numFmtId="179" fontId="29" fillId="6" borderId="0" xfId="32" applyNumberFormat="1" applyFont="1" applyFill="1" applyBorder="1" applyAlignment="1">
      <alignment horizontal="right"/>
    </xf>
    <xf numFmtId="179" fontId="29" fillId="9" borderId="0" xfId="32" applyNumberFormat="1" applyFont="1" applyFill="1" applyBorder="1" applyAlignment="1">
      <alignment horizontal="right"/>
    </xf>
    <xf numFmtId="0" fontId="28" fillId="0" borderId="0" xfId="32" applyFont="1" applyFill="1" applyBorder="1" applyAlignment="1">
      <alignment horizontal="right"/>
    </xf>
    <xf numFmtId="0" fontId="27" fillId="6" borderId="0" xfId="32" applyFont="1" applyFill="1" applyAlignment="1">
      <alignment horizontal="center"/>
    </xf>
    <xf numFmtId="178" fontId="28" fillId="0" borderId="0" xfId="32" applyNumberFormat="1" applyFont="1" applyFill="1" applyBorder="1" applyAlignment="1">
      <alignment horizontal="right"/>
    </xf>
    <xf numFmtId="0" fontId="27" fillId="9" borderId="0" xfId="32" applyFont="1" applyFill="1"/>
    <xf numFmtId="0" fontId="28" fillId="9" borderId="0" xfId="32" applyFont="1" applyFill="1" applyBorder="1" applyAlignment="1">
      <alignment horizontal="right"/>
    </xf>
    <xf numFmtId="178" fontId="28" fillId="9" borderId="0" xfId="32" applyNumberFormat="1" applyFont="1" applyFill="1" applyBorder="1" applyAlignment="1">
      <alignment horizontal="right"/>
    </xf>
    <xf numFmtId="9" fontId="29" fillId="0" borderId="0" xfId="32" applyNumberFormat="1" applyFont="1" applyFill="1" applyBorder="1" applyAlignment="1">
      <alignment horizontal="right"/>
    </xf>
    <xf numFmtId="179" fontId="26" fillId="6" borderId="6" xfId="32" applyNumberFormat="1" applyFont="1" applyFill="1" applyBorder="1" applyAlignment="1">
      <alignment horizontal="right"/>
    </xf>
    <xf numFmtId="10" fontId="26" fillId="6" borderId="6" xfId="57" applyNumberFormat="1" applyFont="1" applyFill="1" applyBorder="1" applyAlignment="1">
      <alignment horizontal="right"/>
    </xf>
    <xf numFmtId="179" fontId="26" fillId="9" borderId="6" xfId="32" applyNumberFormat="1" applyFont="1" applyFill="1" applyBorder="1" applyAlignment="1">
      <alignment horizontal="right"/>
    </xf>
    <xf numFmtId="10" fontId="26" fillId="9" borderId="6" xfId="57" applyNumberFormat="1" applyFont="1" applyFill="1" applyBorder="1" applyAlignment="1">
      <alignment horizontal="right"/>
    </xf>
    <xf numFmtId="179" fontId="28" fillId="6" borderId="0" xfId="32" applyNumberFormat="1" applyFont="1" applyFill="1" applyBorder="1" applyAlignment="1">
      <alignment horizontal="right"/>
    </xf>
    <xf numFmtId="9" fontId="28" fillId="0" borderId="0" xfId="32" applyNumberFormat="1" applyFont="1" applyFill="1" applyBorder="1" applyAlignment="1">
      <alignment horizontal="right"/>
    </xf>
    <xf numFmtId="179" fontId="26" fillId="6" borderId="5" xfId="32" applyNumberFormat="1" applyFont="1" applyFill="1" applyBorder="1" applyAlignment="1">
      <alignment horizontal="right"/>
    </xf>
    <xf numFmtId="10" fontId="26" fillId="6" borderId="5" xfId="57" applyNumberFormat="1" applyFont="1" applyFill="1" applyBorder="1" applyAlignment="1">
      <alignment horizontal="right"/>
    </xf>
    <xf numFmtId="179" fontId="26" fillId="9" borderId="5" xfId="32" applyNumberFormat="1" applyFont="1" applyFill="1" applyBorder="1" applyAlignment="1">
      <alignment horizontal="right"/>
    </xf>
    <xf numFmtId="10" fontId="26" fillId="9" borderId="5" xfId="57" applyNumberFormat="1" applyFont="1" applyFill="1" applyBorder="1" applyAlignment="1">
      <alignment horizontal="right"/>
    </xf>
    <xf numFmtId="179" fontId="28" fillId="9" borderId="0" xfId="32" applyNumberFormat="1" applyFont="1" applyFill="1" applyBorder="1" applyAlignment="1">
      <alignment horizontal="right"/>
    </xf>
    <xf numFmtId="10" fontId="28" fillId="9" borderId="0" xfId="57" applyNumberFormat="1" applyFont="1" applyFill="1" applyBorder="1" applyAlignment="1">
      <alignment horizontal="right"/>
    </xf>
    <xf numFmtId="0" fontId="27" fillId="9" borderId="0" xfId="32" applyFont="1" applyFill="1" applyBorder="1"/>
    <xf numFmtId="180" fontId="31" fillId="6" borderId="0" xfId="32" applyNumberFormat="1" applyFont="1" applyFill="1" applyBorder="1" applyAlignment="1">
      <alignment horizontal="right"/>
    </xf>
    <xf numFmtId="180" fontId="31" fillId="9" borderId="0" xfId="32" applyNumberFormat="1" applyFont="1" applyFill="1" applyBorder="1" applyAlignment="1">
      <alignment horizontal="right"/>
    </xf>
    <xf numFmtId="0" fontId="32" fillId="7" borderId="0" xfId="32" applyFont="1" applyFill="1" applyBorder="1" applyAlignment="1">
      <alignment vertical="center"/>
    </xf>
    <xf numFmtId="0" fontId="33" fillId="7" borderId="0" xfId="32" applyFont="1" applyFill="1" applyBorder="1" applyAlignment="1">
      <alignment vertical="center"/>
    </xf>
    <xf numFmtId="179" fontId="32" fillId="7" borderId="0" xfId="32" applyNumberFormat="1" applyFont="1" applyFill="1" applyBorder="1" applyAlignment="1">
      <alignment horizontal="right" vertical="center"/>
    </xf>
    <xf numFmtId="181" fontId="32" fillId="7" borderId="0" xfId="32" applyNumberFormat="1" applyFont="1" applyFill="1" applyBorder="1" applyAlignment="1">
      <alignment horizontal="right"/>
    </xf>
    <xf numFmtId="0" fontId="34" fillId="7" borderId="0" xfId="32" applyFont="1" applyFill="1" applyAlignment="1">
      <alignment vertical="center"/>
    </xf>
    <xf numFmtId="0" fontId="33" fillId="7" borderId="0" xfId="32" applyFont="1" applyFill="1" applyAlignment="1">
      <alignment vertical="center"/>
    </xf>
    <xf numFmtId="0" fontId="27" fillId="6" borderId="0" xfId="32" applyFont="1" applyFill="1" applyAlignment="1">
      <alignment vertical="center"/>
    </xf>
    <xf numFmtId="6" fontId="28" fillId="6" borderId="0" xfId="32" applyNumberFormat="1" applyFont="1" applyFill="1" applyBorder="1" applyAlignment="1">
      <alignment horizontal="right"/>
    </xf>
    <xf numFmtId="182" fontId="28" fillId="6" borderId="0" xfId="32" applyNumberFormat="1" applyFont="1" applyFill="1" applyBorder="1" applyAlignment="1">
      <alignment horizontal="right"/>
    </xf>
    <xf numFmtId="6" fontId="28" fillId="9" borderId="0" xfId="32" applyNumberFormat="1" applyFont="1" applyFill="1" applyBorder="1" applyAlignment="1">
      <alignment horizontal="right"/>
    </xf>
    <xf numFmtId="182" fontId="28" fillId="9" borderId="0" xfId="32" applyNumberFormat="1" applyFont="1" applyFill="1" applyBorder="1" applyAlignment="1">
      <alignment horizontal="right"/>
    </xf>
    <xf numFmtId="14" fontId="28" fillId="6" borderId="9" xfId="32" applyNumberFormat="1" applyFont="1" applyFill="1" applyBorder="1" applyAlignment="1">
      <alignment horizontal="left"/>
    </xf>
    <xf numFmtId="14" fontId="26" fillId="6" borderId="6" xfId="32" applyNumberFormat="1" applyFont="1" applyFill="1" applyBorder="1" applyAlignment="1">
      <alignment horizontal="left"/>
    </xf>
    <xf numFmtId="0" fontId="29" fillId="6" borderId="6" xfId="32" applyFont="1" applyFill="1" applyBorder="1" applyAlignment="1"/>
    <xf numFmtId="0" fontId="29" fillId="6" borderId="10" xfId="32" applyFont="1" applyFill="1" applyBorder="1" applyAlignment="1">
      <alignment horizontal="right"/>
    </xf>
    <xf numFmtId="14" fontId="28" fillId="6" borderId="11" xfId="32" applyNumberFormat="1" applyFont="1" applyFill="1" applyBorder="1" applyAlignment="1">
      <alignment horizontal="left"/>
    </xf>
    <xf numFmtId="0" fontId="29" fillId="6" borderId="0" xfId="32" applyFont="1" applyFill="1" applyBorder="1" applyAlignment="1">
      <alignment horizontal="left"/>
    </xf>
    <xf numFmtId="0" fontId="29" fillId="6" borderId="12" xfId="32" applyFont="1" applyFill="1" applyBorder="1" applyAlignment="1">
      <alignment horizontal="center"/>
    </xf>
    <xf numFmtId="0" fontId="27" fillId="6" borderId="11" xfId="32" applyFont="1" applyFill="1" applyBorder="1"/>
    <xf numFmtId="0" fontId="30" fillId="6" borderId="0" xfId="32" applyFont="1" applyFill="1" applyBorder="1"/>
    <xf numFmtId="0" fontId="26" fillId="6" borderId="12" xfId="32" applyFont="1" applyFill="1" applyBorder="1" applyAlignment="1">
      <alignment horizontal="right"/>
    </xf>
    <xf numFmtId="0" fontId="28" fillId="6" borderId="11" xfId="32" applyFont="1" applyFill="1" applyBorder="1"/>
    <xf numFmtId="0" fontId="26" fillId="6" borderId="11" xfId="32" applyFont="1" applyFill="1" applyBorder="1"/>
    <xf numFmtId="174" fontId="29" fillId="6" borderId="12" xfId="32" applyNumberFormat="1" applyFont="1" applyFill="1" applyBorder="1"/>
    <xf numFmtId="175" fontId="29" fillId="6" borderId="12" xfId="32" applyNumberFormat="1" applyFont="1" applyFill="1" applyBorder="1" applyAlignment="1">
      <alignment horizontal="right"/>
    </xf>
    <xf numFmtId="10" fontId="27" fillId="6" borderId="0" xfId="32" applyNumberFormat="1" applyFont="1" applyFill="1"/>
    <xf numFmtId="177" fontId="28" fillId="6" borderId="12" xfId="32" applyNumberFormat="1" applyFont="1" applyFill="1" applyBorder="1"/>
    <xf numFmtId="8" fontId="29" fillId="6" borderId="12" xfId="32" applyNumberFormat="1" applyFont="1" applyFill="1" applyBorder="1"/>
    <xf numFmtId="10" fontId="31" fillId="6" borderId="0" xfId="32" applyNumberFormat="1" applyFont="1" applyFill="1" applyAlignment="1">
      <alignment horizontal="center"/>
    </xf>
    <xf numFmtId="0" fontId="26" fillId="0" borderId="11" xfId="32" applyFont="1" applyFill="1" applyBorder="1"/>
    <xf numFmtId="178" fontId="29" fillId="0" borderId="12" xfId="32" applyNumberFormat="1" applyFont="1" applyFill="1" applyBorder="1" applyAlignment="1">
      <alignment horizontal="right"/>
    </xf>
    <xf numFmtId="183" fontId="26" fillId="6" borderId="15" xfId="32" applyNumberFormat="1" applyFont="1" applyFill="1" applyBorder="1" applyAlignment="1">
      <alignment horizontal="left" indent="1"/>
    </xf>
    <xf numFmtId="178" fontId="29" fillId="6" borderId="12" xfId="32" applyNumberFormat="1" applyFont="1" applyFill="1" applyBorder="1" applyAlignment="1">
      <alignment horizontal="right"/>
    </xf>
    <xf numFmtId="0" fontId="26" fillId="6" borderId="16" xfId="32" applyFont="1" applyFill="1" applyBorder="1" applyAlignment="1">
      <alignment horizontal="left" indent="1"/>
    </xf>
    <xf numFmtId="179" fontId="29" fillId="6" borderId="12" xfId="32" applyNumberFormat="1" applyFont="1" applyFill="1" applyBorder="1" applyAlignment="1">
      <alignment horizontal="right"/>
    </xf>
    <xf numFmtId="0" fontId="26" fillId="6" borderId="17" xfId="32" applyFont="1" applyFill="1" applyBorder="1" applyAlignment="1">
      <alignment horizontal="left" indent="1"/>
    </xf>
    <xf numFmtId="178" fontId="28" fillId="0" borderId="12" xfId="32" applyNumberFormat="1" applyFont="1" applyFill="1" applyBorder="1" applyAlignment="1">
      <alignment horizontal="right"/>
    </xf>
    <xf numFmtId="0" fontId="28" fillId="0" borderId="5" xfId="32" applyFont="1" applyFill="1" applyBorder="1" applyAlignment="1">
      <alignment horizontal="right"/>
    </xf>
    <xf numFmtId="178" fontId="28" fillId="0" borderId="14" xfId="32" applyNumberFormat="1" applyFont="1" applyFill="1" applyBorder="1" applyAlignment="1">
      <alignment horizontal="right"/>
    </xf>
    <xf numFmtId="0" fontId="36" fillId="6" borderId="0" xfId="32" applyFont="1" applyFill="1" applyAlignment="1">
      <alignment horizontal="center"/>
    </xf>
    <xf numFmtId="10" fontId="29" fillId="0" borderId="0" xfId="32" applyNumberFormat="1" applyFont="1" applyFill="1" applyBorder="1" applyAlignment="1">
      <alignment horizontal="right"/>
    </xf>
    <xf numFmtId="179" fontId="28" fillId="6" borderId="12" xfId="32" applyNumberFormat="1" applyFont="1" applyFill="1" applyBorder="1" applyAlignment="1">
      <alignment horizontal="right"/>
    </xf>
    <xf numFmtId="40" fontId="26" fillId="6" borderId="0" xfId="32" applyNumberFormat="1" applyFont="1" applyFill="1"/>
    <xf numFmtId="179" fontId="29" fillId="6" borderId="5" xfId="32" applyNumberFormat="1" applyFont="1" applyFill="1" applyBorder="1" applyAlignment="1">
      <alignment horizontal="right"/>
    </xf>
    <xf numFmtId="10" fontId="29" fillId="0" borderId="5" xfId="32" applyNumberFormat="1" applyFont="1" applyFill="1" applyBorder="1" applyAlignment="1">
      <alignment horizontal="right"/>
    </xf>
    <xf numFmtId="179" fontId="28" fillId="6" borderId="14" xfId="32" applyNumberFormat="1" applyFont="1" applyFill="1" applyBorder="1" applyAlignment="1">
      <alignment horizontal="right"/>
    </xf>
    <xf numFmtId="40" fontId="36" fillId="6" borderId="0" xfId="32" applyNumberFormat="1" applyFont="1" applyFill="1"/>
    <xf numFmtId="10" fontId="28" fillId="0" borderId="0" xfId="32" applyNumberFormat="1" applyFont="1" applyFill="1" applyBorder="1" applyAlignment="1">
      <alignment horizontal="right"/>
    </xf>
    <xf numFmtId="0" fontId="27" fillId="6" borderId="12" xfId="32" applyFont="1" applyFill="1" applyBorder="1"/>
    <xf numFmtId="40" fontId="27" fillId="6" borderId="0" xfId="32" applyNumberFormat="1" applyFont="1" applyFill="1"/>
    <xf numFmtId="180" fontId="31" fillId="6" borderId="12" xfId="32" applyNumberFormat="1" applyFont="1" applyFill="1" applyBorder="1" applyAlignment="1">
      <alignment horizontal="right"/>
    </xf>
    <xf numFmtId="0" fontId="32" fillId="7" borderId="11" xfId="32" applyFont="1" applyFill="1" applyBorder="1" applyAlignment="1">
      <alignment vertical="center"/>
    </xf>
    <xf numFmtId="179" fontId="32" fillId="7" borderId="12" xfId="32" applyNumberFormat="1" applyFont="1" applyFill="1" applyBorder="1" applyAlignment="1">
      <alignment horizontal="right" vertical="center"/>
    </xf>
    <xf numFmtId="0" fontId="26" fillId="6" borderId="0" xfId="32" applyFont="1" applyFill="1" applyAlignment="1">
      <alignment vertical="center"/>
    </xf>
    <xf numFmtId="40" fontId="26" fillId="6" borderId="0" xfId="32" applyNumberFormat="1" applyFont="1" applyFill="1" applyAlignment="1">
      <alignment vertical="center"/>
    </xf>
    <xf numFmtId="40" fontId="27" fillId="6" borderId="0" xfId="32" applyNumberFormat="1" applyFont="1" applyFill="1" applyAlignment="1">
      <alignment vertical="center"/>
    </xf>
    <xf numFmtId="6" fontId="28" fillId="6" borderId="12" xfId="32" applyNumberFormat="1" applyFont="1" applyFill="1" applyBorder="1" applyAlignment="1">
      <alignment horizontal="right"/>
    </xf>
    <xf numFmtId="40" fontId="28" fillId="6" borderId="0" xfId="32" applyNumberFormat="1" applyFont="1" applyFill="1"/>
    <xf numFmtId="8" fontId="28" fillId="6" borderId="0" xfId="32" applyNumberFormat="1" applyFont="1" applyFill="1"/>
    <xf numFmtId="0" fontId="26" fillId="6" borderId="13" xfId="32" applyFont="1" applyFill="1" applyBorder="1"/>
    <xf numFmtId="0" fontId="27" fillId="6" borderId="5" xfId="32" applyFont="1" applyFill="1" applyBorder="1"/>
    <xf numFmtId="6" fontId="28" fillId="6" borderId="14" xfId="32" applyNumberFormat="1" applyFont="1" applyFill="1" applyBorder="1" applyAlignment="1">
      <alignment horizontal="right"/>
    </xf>
    <xf numFmtId="8" fontId="28" fillId="6" borderId="0" xfId="32" applyNumberFormat="1" applyFont="1" applyFill="1" applyAlignment="1">
      <alignment horizontal="right"/>
    </xf>
    <xf numFmtId="0" fontId="28" fillId="6" borderId="0" xfId="32" applyFont="1" applyFill="1" applyAlignment="1">
      <alignment horizontal="center"/>
    </xf>
    <xf numFmtId="10" fontId="29" fillId="0" borderId="0" xfId="32" applyNumberFormat="1" applyFont="1" applyFill="1" applyBorder="1" applyAlignment="1">
      <alignment horizontal="center"/>
    </xf>
    <xf numFmtId="10" fontId="26" fillId="0" borderId="12" xfId="32" applyNumberFormat="1" applyFont="1" applyFill="1" applyBorder="1" applyAlignment="1">
      <alignment horizontal="right"/>
    </xf>
    <xf numFmtId="0" fontId="26" fillId="7" borderId="0" xfId="32" applyFont="1" applyFill="1"/>
    <xf numFmtId="173" fontId="28" fillId="6" borderId="0" xfId="32" applyNumberFormat="1" applyFont="1" applyFill="1" applyBorder="1" applyAlignment="1">
      <alignment horizontal="center"/>
    </xf>
    <xf numFmtId="173" fontId="28" fillId="9" borderId="0" xfId="32" applyNumberFormat="1" applyFont="1" applyFill="1" applyBorder="1" applyAlignment="1">
      <alignment horizontal="center"/>
    </xf>
    <xf numFmtId="0" fontId="35" fillId="6" borderId="0" xfId="24" applyFont="1" applyFill="1" applyBorder="1" applyAlignment="1" applyProtection="1">
      <alignment horizontal="center"/>
    </xf>
    <xf numFmtId="0" fontId="28" fillId="6" borderId="5" xfId="32" applyFont="1" applyFill="1" applyBorder="1" applyAlignment="1">
      <alignment horizontal="center"/>
    </xf>
    <xf numFmtId="0" fontId="28" fillId="6" borderId="6" xfId="32" applyFont="1" applyFill="1" applyBorder="1" applyAlignment="1">
      <alignment horizontal="center"/>
    </xf>
    <xf numFmtId="0" fontId="28" fillId="9" borderId="6" xfId="32" applyFont="1" applyFill="1" applyBorder="1" applyAlignment="1">
      <alignment horizontal="center"/>
    </xf>
    <xf numFmtId="0" fontId="28" fillId="6" borderId="0" xfId="32" applyFont="1" applyFill="1" applyAlignment="1">
      <alignment horizontal="center"/>
    </xf>
  </cellXfs>
  <cellStyles count="76">
    <cellStyle name="_Comma" xfId="1"/>
    <cellStyle name="_Currency" xfId="2"/>
    <cellStyle name="_Multiple" xfId="3"/>
    <cellStyle name="Actual Date" xfId="4"/>
    <cellStyle name="Comma 10" xfId="5"/>
    <cellStyle name="Comma 12" xfId="6"/>
    <cellStyle name="Comma 2" xfId="7"/>
    <cellStyle name="Comma 2 2" xfId="8"/>
    <cellStyle name="Comma 3" xfId="9"/>
    <cellStyle name="Curr?ncy [0]_Sheet1_1" xfId="10"/>
    <cellStyle name="Currency 2" xfId="11"/>
    <cellStyle name="Currency 3" xfId="12"/>
    <cellStyle name="Currency 4" xfId="13"/>
    <cellStyle name="Currency 5" xfId="14"/>
    <cellStyle name="DATE" xfId="15"/>
    <cellStyle name="Fixed" xfId="16"/>
    <cellStyle name="FORMULA" xfId="17"/>
    <cellStyle name="Grey" xfId="18"/>
    <cellStyle name="HEADER" xfId="19"/>
    <cellStyle name="Heading1" xfId="20"/>
    <cellStyle name="Heading2" xfId="21"/>
    <cellStyle name="HIDE" xfId="22"/>
    <cellStyle name="HIGHLIGHT" xfId="23"/>
    <cellStyle name="Hyperlink 2" xfId="24"/>
    <cellStyle name="Input [yellow]" xfId="25"/>
    <cellStyle name="LINK" xfId="26"/>
    <cellStyle name="MainData" xfId="27"/>
    <cellStyle name="MajorTotal" xfId="28"/>
    <cellStyle name="no dec" xfId="29"/>
    <cellStyle name="Nor@„l_IRRSENS" xfId="30"/>
    <cellStyle name="Normal" xfId="0" builtinId="0"/>
    <cellStyle name="Normal - Style1" xfId="31"/>
    <cellStyle name="Normal 10" xfId="32"/>
    <cellStyle name="Normal 11" xfId="33"/>
    <cellStyle name="Normal 12" xfId="34"/>
    <cellStyle name="Normal 2" xfId="35"/>
    <cellStyle name="Normal 2 2" xfId="36"/>
    <cellStyle name="Normal 2 3" xfId="37"/>
    <cellStyle name="Normal 2_Clark Comparison (2)" xfId="38"/>
    <cellStyle name="Normal 28" xfId="39"/>
    <cellStyle name="Normal 3" xfId="40"/>
    <cellStyle name="Normal 3 2" xfId="41"/>
    <cellStyle name="Normal 4" xfId="42"/>
    <cellStyle name="Normal 4 2" xfId="43"/>
    <cellStyle name="Normal 4 3" xfId="44"/>
    <cellStyle name="Normal 4 4" xfId="45"/>
    <cellStyle name="Normal 4 5" xfId="46"/>
    <cellStyle name="Normal 4 6" xfId="47"/>
    <cellStyle name="Normal 4 7" xfId="48"/>
    <cellStyle name="Normal 5" xfId="49"/>
    <cellStyle name="Normal 6" xfId="50"/>
    <cellStyle name="Normal 7" xfId="51"/>
    <cellStyle name="Normal 8" xfId="52"/>
    <cellStyle name="Normal 9" xfId="53"/>
    <cellStyle name="NormalOPrint_Module_E (2)" xfId="54"/>
    <cellStyle name="OVERWRITE" xfId="55"/>
    <cellStyle name="Percent [2]" xfId="56"/>
    <cellStyle name="Percent 2" xfId="57"/>
    <cellStyle name="Percent 2 2" xfId="58"/>
    <cellStyle name="Percent 3" xfId="59"/>
    <cellStyle name="Percent 3 2" xfId="60"/>
    <cellStyle name="Percent 4" xfId="61"/>
    <cellStyle name="Percent 4 2" xfId="62"/>
    <cellStyle name="Percent 4 3" xfId="63"/>
    <cellStyle name="Percent 4 4" xfId="64"/>
    <cellStyle name="Percent 4 5" xfId="65"/>
    <cellStyle name="Percent 4 6" xfId="66"/>
    <cellStyle name="Percent 4 7" xfId="67"/>
    <cellStyle name="Percent 5" xfId="68"/>
    <cellStyle name="SubTotal" xfId="69"/>
    <cellStyle name="TableFooter" xfId="70"/>
    <cellStyle name="TableIndent" xfId="71"/>
    <cellStyle name="TableTitle" xfId="72"/>
    <cellStyle name="Unprot" xfId="73"/>
    <cellStyle name="Unprot$" xfId="74"/>
    <cellStyle name="Unprotect" xfId="7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696231</xdr:colOff>
      <xdr:row>46</xdr:row>
      <xdr:rowOff>145296</xdr:rowOff>
    </xdr:to>
    <xdr:sp macro="" textlink="">
      <xdr:nvSpPr>
        <xdr:cNvPr id="3" name="TextBox 2"/>
        <xdr:cNvSpPr txBox="1"/>
      </xdr:nvSpPr>
      <xdr:spPr>
        <a:xfrm>
          <a:off x="0" y="0"/>
          <a:ext cx="7278006" cy="1112762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algn="ctr"/>
          <a:endParaRPr lang="en-US" sz="1800" b="1">
            <a:solidFill>
              <a:schemeClr val="tx2">
                <a:lumMod val="75000"/>
              </a:schemeClr>
            </a:solidFill>
          </a:endParaRPr>
        </a:p>
        <a:p>
          <a:pPr algn="ctr"/>
          <a:endParaRPr lang="en-US" sz="1800" b="1">
            <a:solidFill>
              <a:schemeClr val="tx2">
                <a:lumMod val="75000"/>
              </a:schemeClr>
            </a:solidFill>
          </a:endParaRPr>
        </a:p>
        <a:p>
          <a:pPr algn="ctr"/>
          <a:endParaRPr lang="en-US" sz="1800" b="1">
            <a:solidFill>
              <a:schemeClr val="tx2">
                <a:lumMod val="75000"/>
              </a:schemeClr>
            </a:solidFill>
          </a:endParaRPr>
        </a:p>
        <a:p>
          <a:pPr algn="ctr"/>
          <a:endParaRPr lang="en-US" sz="1800" b="1">
            <a:solidFill>
              <a:schemeClr val="tx2">
                <a:lumMod val="75000"/>
              </a:schemeClr>
            </a:solidFill>
          </a:endParaRPr>
        </a:p>
        <a:p>
          <a:pPr lvl="1" algn="ctr"/>
          <a:endParaRPr lang="en-US" sz="3600" b="1" u="sng">
            <a:solidFill>
              <a:schemeClr val="tx2">
                <a:lumMod val="75000"/>
              </a:schemeClr>
            </a:solidFill>
          </a:endParaRPr>
        </a:p>
        <a:p>
          <a:pPr lvl="1" algn="ctr"/>
          <a:endParaRPr lang="en-US" sz="3600" b="1" u="sng">
            <a:solidFill>
              <a:schemeClr val="tx2">
                <a:lumMod val="75000"/>
              </a:schemeClr>
            </a:solidFill>
          </a:endParaRPr>
        </a:p>
        <a:p>
          <a:pPr lvl="1" algn="ctr"/>
          <a:r>
            <a:rPr lang="en-US" sz="3600" b="1" u="sng">
              <a:solidFill>
                <a:schemeClr val="tx2">
                  <a:lumMod val="75000"/>
                </a:schemeClr>
              </a:solidFill>
            </a:rPr>
            <a:t>Principles</a:t>
          </a:r>
          <a:r>
            <a:rPr lang="en-US" sz="3600" b="1" u="sng" baseline="0">
              <a:solidFill>
                <a:schemeClr val="tx2">
                  <a:lumMod val="75000"/>
                </a:schemeClr>
              </a:solidFill>
            </a:rPr>
            <a:t> of Commercial</a:t>
          </a:r>
        </a:p>
        <a:p>
          <a:pPr lvl="1" algn="ctr"/>
          <a:r>
            <a:rPr lang="en-US" sz="3600" b="1" u="sng" baseline="0">
              <a:solidFill>
                <a:schemeClr val="tx2">
                  <a:lumMod val="75000"/>
                </a:schemeClr>
              </a:solidFill>
            </a:rPr>
            <a:t>Real Estate Finance</a:t>
          </a:r>
        </a:p>
        <a:p>
          <a:pPr algn="ctr"/>
          <a:endParaRPr lang="en-US" sz="3600" b="1" baseline="0">
            <a:solidFill>
              <a:schemeClr val="tx2">
                <a:lumMod val="75000"/>
              </a:schemeClr>
            </a:solidFill>
          </a:endParaRPr>
        </a:p>
        <a:p>
          <a:pPr lvl="1" algn="ctr"/>
          <a:r>
            <a:rPr lang="en-US" sz="3600" b="0" baseline="0">
              <a:solidFill>
                <a:schemeClr val="tx2">
                  <a:lumMod val="75000"/>
                </a:schemeClr>
              </a:solidFill>
            </a:rPr>
            <a:t>Module 3 Exhibits </a:t>
          </a:r>
        </a:p>
        <a:p>
          <a:pPr lvl="1" algn="ctr"/>
          <a:endParaRPr lang="en-US" sz="3600" b="0" baseline="0">
            <a:solidFill>
              <a:schemeClr val="tx2">
                <a:lumMod val="75000"/>
              </a:schemeClr>
            </a:solidFill>
          </a:endParaRPr>
        </a:p>
        <a:p>
          <a:pPr lvl="1" algn="ctr"/>
          <a:r>
            <a:rPr lang="en-US" sz="3600" b="0" baseline="0">
              <a:solidFill>
                <a:schemeClr val="tx2">
                  <a:lumMod val="75000"/>
                </a:schemeClr>
              </a:solidFill>
            </a:rPr>
            <a:t>Topic: Comparative Commercial Lease Analysis</a:t>
          </a:r>
        </a:p>
        <a:p>
          <a:pPr marL="45720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600" b="0" baseline="0">
            <a:solidFill>
              <a:schemeClr val="tx2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457200" marR="0" lvl="1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600" b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Associated Reading: Chapter 3</a:t>
          </a:r>
        </a:p>
        <a:p>
          <a:pPr lvl="1" algn="ctr"/>
          <a:endParaRPr lang="en-US" sz="3600" b="0" baseline="0">
            <a:solidFill>
              <a:schemeClr val="tx2">
                <a:lumMod val="75000"/>
              </a:schemeClr>
            </a:solidFill>
          </a:endParaRPr>
        </a:p>
        <a:p>
          <a:pPr algn="ctr"/>
          <a:r>
            <a:rPr lang="en-US" sz="1600" b="0" baseline="0">
              <a:solidFill>
                <a:schemeClr val="tx2">
                  <a:lumMod val="75000"/>
                </a:schemeClr>
              </a:solidFill>
            </a:rPr>
            <a:t>Copyright (c) 2012 by Real Estate Financial Modeling, LLC. All rights reserved.</a:t>
          </a:r>
        </a:p>
      </xdr:txBody>
    </xdr:sp>
    <xdr:clientData/>
  </xdr:twoCellAnchor>
  <xdr:twoCellAnchor editAs="oneCell">
    <xdr:from>
      <xdr:col>3</xdr:col>
      <xdr:colOff>657225</xdr:colOff>
      <xdr:row>1</xdr:row>
      <xdr:rowOff>180975</xdr:rowOff>
    </xdr:from>
    <xdr:to>
      <xdr:col>7</xdr:col>
      <xdr:colOff>76544</xdr:colOff>
      <xdr:row>8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9100"/>
          <a:ext cx="2467319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"/>
  <sheetViews>
    <sheetView tabSelected="1" zoomScaleNormal="100" workbookViewId="0"/>
  </sheetViews>
  <sheetFormatPr defaultColWidth="8.88671875" defaultRowHeight="18.75" x14ac:dyDescent="0.3"/>
  <cols>
    <col min="1" max="1" width="5.6640625" style="1" customWidth="1"/>
    <col min="2" max="16384" width="8.88671875" style="1"/>
  </cols>
  <sheetData>
    <row r="3" ht="21" customHeight="1" x14ac:dyDescent="0.3"/>
  </sheetData>
  <printOptions horizontalCentered="1" verticalCentered="1"/>
  <pageMargins left="0.7" right="0.7" top="0.75" bottom="0.75" header="0.3" footer="0.3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showGridLines="0" zoomScaleNormal="100" workbookViewId="0"/>
  </sheetViews>
  <sheetFormatPr defaultColWidth="7.109375" defaultRowHeight="15.75" x14ac:dyDescent="0.25"/>
  <cols>
    <col min="1" max="1" width="4.44140625" style="4" customWidth="1"/>
    <col min="2" max="2" width="35" style="4" customWidth="1"/>
    <col min="3" max="3" width="6.33203125" style="46" customWidth="1"/>
    <col min="4" max="4" width="2.109375" style="46" customWidth="1"/>
    <col min="5" max="7" width="10.6640625" style="4" customWidth="1"/>
    <col min="8" max="8" width="2.109375" style="3" customWidth="1"/>
    <col min="9" max="11" width="10.6640625" style="4" customWidth="1"/>
    <col min="12" max="12" width="2.109375" style="4" customWidth="1"/>
    <col min="13" max="15" width="10.6640625" style="4" customWidth="1"/>
    <col min="16" max="16384" width="7.109375" style="4"/>
  </cols>
  <sheetData>
    <row r="1" spans="2:15" x14ac:dyDescent="0.25">
      <c r="B1" s="2"/>
      <c r="C1" s="2"/>
      <c r="D1" s="2"/>
      <c r="E1" s="2"/>
      <c r="F1" s="2"/>
      <c r="G1" s="2"/>
      <c r="I1" s="2"/>
      <c r="J1" s="2"/>
      <c r="K1" s="2"/>
      <c r="M1" s="2"/>
      <c r="N1" s="2"/>
      <c r="O1" s="2"/>
    </row>
    <row r="2" spans="2:15" ht="18.75" x14ac:dyDescent="0.3">
      <c r="B2" s="5" t="s">
        <v>67</v>
      </c>
      <c r="C2" s="6"/>
      <c r="D2" s="6"/>
      <c r="E2" s="6"/>
      <c r="F2" s="7"/>
      <c r="G2" s="7"/>
      <c r="I2" s="3"/>
      <c r="J2" s="7"/>
      <c r="K2" s="7"/>
      <c r="M2" s="6"/>
      <c r="N2" s="7"/>
      <c r="O2" s="7"/>
    </row>
    <row r="3" spans="2:15" ht="3" customHeight="1" x14ac:dyDescent="0.25">
      <c r="B3" s="3"/>
      <c r="C3" s="8"/>
      <c r="D3" s="9"/>
      <c r="E3" s="9"/>
      <c r="F3" s="9"/>
      <c r="G3" s="9"/>
      <c r="I3" s="9"/>
      <c r="J3" s="9"/>
      <c r="K3" s="9"/>
      <c r="M3" s="9"/>
      <c r="N3" s="9"/>
      <c r="O3" s="9"/>
    </row>
    <row r="4" spans="2:15" x14ac:dyDescent="0.25">
      <c r="B4" s="10"/>
      <c r="C4" s="11"/>
      <c r="D4" s="11"/>
      <c r="E4" s="12"/>
      <c r="F4" s="12"/>
      <c r="G4" s="12"/>
      <c r="I4" s="12"/>
      <c r="J4" s="12"/>
      <c r="K4" s="12"/>
      <c r="M4" s="12"/>
      <c r="N4" s="12"/>
      <c r="O4" s="12"/>
    </row>
    <row r="5" spans="2:15" x14ac:dyDescent="0.25">
      <c r="B5" s="10"/>
      <c r="C5" s="11"/>
      <c r="D5" s="11"/>
      <c r="E5" s="137" t="str">
        <f>'Lease Offer #1 Analysis'!B3</f>
        <v>Lease Offer #1</v>
      </c>
      <c r="F5" s="137"/>
      <c r="G5" s="137"/>
      <c r="H5" s="13"/>
      <c r="I5" s="137" t="str">
        <f>'Lease Offer #2 Analysis'!B3</f>
        <v>Lease Offer #2</v>
      </c>
      <c r="J5" s="137"/>
      <c r="K5" s="137"/>
      <c r="M5" s="137" t="str">
        <f>'Lease Offer #3 Analysis'!B3</f>
        <v>Lease Offer #3</v>
      </c>
      <c r="N5" s="137"/>
      <c r="O5" s="137"/>
    </row>
    <row r="6" spans="2:15" ht="18.75" customHeight="1" x14ac:dyDescent="0.25">
      <c r="B6" s="10" t="s">
        <v>0</v>
      </c>
      <c r="C6" s="14"/>
      <c r="D6" s="14"/>
      <c r="E6" s="138" t="str">
        <f>'Lease Offer #1 Analysis'!C5</f>
        <v>123 Main</v>
      </c>
      <c r="F6" s="138"/>
      <c r="G6" s="138"/>
      <c r="I6" s="139" t="str">
        <f>'Lease Offer #2 Analysis'!C5</f>
        <v>225 Park</v>
      </c>
      <c r="J6" s="139"/>
      <c r="K6" s="139"/>
      <c r="M6" s="138" t="str">
        <f>'Lease Offer #3 Analysis'!C5</f>
        <v>675 Madison</v>
      </c>
      <c r="N6" s="138"/>
      <c r="O6" s="138"/>
    </row>
    <row r="7" spans="2:15" x14ac:dyDescent="0.25">
      <c r="B7" s="10" t="s">
        <v>1</v>
      </c>
      <c r="C7" s="14"/>
      <c r="D7" s="14"/>
      <c r="E7" s="134">
        <f>'Lease Offer #1 Analysis'!C6</f>
        <v>300</v>
      </c>
      <c r="F7" s="134"/>
      <c r="G7" s="134"/>
      <c r="I7" s="135">
        <f>'Lease Offer #2 Analysis'!C6</f>
        <v>1400</v>
      </c>
      <c r="J7" s="135"/>
      <c r="K7" s="135"/>
      <c r="M7" s="134">
        <f>'Lease Offer #3 Analysis'!C6</f>
        <v>2200</v>
      </c>
      <c r="N7" s="134"/>
      <c r="O7" s="134"/>
    </row>
    <row r="8" spans="2:15" x14ac:dyDescent="0.25">
      <c r="B8" s="15"/>
      <c r="C8" s="8"/>
      <c r="D8" s="8"/>
      <c r="E8" s="16"/>
      <c r="F8" s="16"/>
      <c r="G8" s="16"/>
      <c r="H8" s="17"/>
      <c r="I8" s="18"/>
      <c r="J8" s="18"/>
      <c r="K8" s="18"/>
      <c r="M8" s="16"/>
      <c r="N8" s="16"/>
      <c r="O8" s="16"/>
    </row>
    <row r="9" spans="2:15" x14ac:dyDescent="0.25">
      <c r="B9" s="19" t="s">
        <v>2</v>
      </c>
      <c r="C9" s="8"/>
      <c r="D9" s="8"/>
      <c r="E9" s="16"/>
      <c r="F9" s="16"/>
      <c r="G9" s="16"/>
      <c r="H9" s="17"/>
      <c r="I9" s="18"/>
      <c r="J9" s="18"/>
      <c r="K9" s="18"/>
      <c r="M9" s="16"/>
      <c r="N9" s="16"/>
      <c r="O9" s="16"/>
    </row>
    <row r="10" spans="2:15" x14ac:dyDescent="0.25">
      <c r="B10" s="20" t="s">
        <v>3</v>
      </c>
      <c r="C10" s="8"/>
      <c r="D10" s="8"/>
      <c r="F10" s="21"/>
      <c r="G10" s="21">
        <f>'Lease Offer #1 Analysis'!H9</f>
        <v>25000</v>
      </c>
      <c r="I10" s="18"/>
      <c r="J10" s="22"/>
      <c r="K10" s="22">
        <f>'Lease Offer #2 Analysis'!H9</f>
        <v>25000</v>
      </c>
      <c r="N10" s="21"/>
      <c r="O10" s="21">
        <f>'Lease Offer #3 Analysis'!H9</f>
        <v>20000</v>
      </c>
    </row>
    <row r="11" spans="2:15" x14ac:dyDescent="0.25">
      <c r="B11" s="20" t="s">
        <v>4</v>
      </c>
      <c r="C11" s="23"/>
      <c r="D11" s="24"/>
      <c r="F11" s="25"/>
      <c r="G11" s="25">
        <f>'Lease Offer #1 Analysis'!H10</f>
        <v>5</v>
      </c>
      <c r="I11" s="18"/>
      <c r="J11" s="26"/>
      <c r="K11" s="26">
        <f>'Lease Offer #2 Analysis'!H10</f>
        <v>7</v>
      </c>
      <c r="N11" s="25"/>
      <c r="O11" s="25">
        <f>'Lease Offer #3 Analysis'!H10</f>
        <v>10</v>
      </c>
    </row>
    <row r="12" spans="2:15" x14ac:dyDescent="0.25">
      <c r="B12" s="20" t="s">
        <v>5</v>
      </c>
      <c r="C12" s="23"/>
      <c r="D12" s="27"/>
      <c r="F12" s="28">
        <f>'Lease Offer #1 Analysis'!F11</f>
        <v>1.2</v>
      </c>
      <c r="G12" s="29">
        <f>'Lease Offer #1 Analysis'!H11</f>
        <v>30</v>
      </c>
      <c r="I12" s="30"/>
      <c r="J12" s="30">
        <f>'Lease Offer #2 Analysis'!F11</f>
        <v>1</v>
      </c>
      <c r="K12" s="31">
        <f>'Lease Offer #2 Analysis'!H11</f>
        <v>25</v>
      </c>
      <c r="N12" s="28">
        <f>'Lease Offer #3 Analysis'!F11</f>
        <v>1.4</v>
      </c>
      <c r="O12" s="29">
        <f>'Lease Offer #3 Analysis'!H11</f>
        <v>28</v>
      </c>
    </row>
    <row r="13" spans="2:15" x14ac:dyDescent="0.25">
      <c r="B13" s="20" t="s">
        <v>6</v>
      </c>
      <c r="C13" s="8"/>
      <c r="D13" s="8"/>
      <c r="F13" s="32"/>
      <c r="G13" s="32">
        <f>'Lease Offer #1 Analysis'!H12</f>
        <v>200</v>
      </c>
      <c r="I13" s="33"/>
      <c r="J13" s="33"/>
      <c r="K13" s="33">
        <f>'Lease Offer #2 Analysis'!H12</f>
        <v>250</v>
      </c>
      <c r="N13" s="32"/>
      <c r="O13" s="32">
        <f>'Lease Offer #3 Analysis'!H12</f>
        <v>250</v>
      </c>
    </row>
    <row r="14" spans="2:15" x14ac:dyDescent="0.25">
      <c r="B14" s="34" t="s">
        <v>7</v>
      </c>
      <c r="C14" s="35"/>
      <c r="D14" s="35"/>
      <c r="F14" s="36"/>
      <c r="G14" s="36" t="str">
        <f>'Lease Offer #1 Analysis'!H13</f>
        <v>Full Service</v>
      </c>
      <c r="I14" s="18"/>
      <c r="J14" s="18"/>
      <c r="K14" s="18" t="str">
        <f>'Lease Offer #2 Analysis'!H13</f>
        <v>Net</v>
      </c>
      <c r="N14" s="36"/>
      <c r="O14" s="36" t="str">
        <f>'Lease Offer #3 Analysis'!H13</f>
        <v>Gross</v>
      </c>
    </row>
    <row r="15" spans="2:15" x14ac:dyDescent="0.25">
      <c r="B15" s="34" t="s">
        <v>8</v>
      </c>
      <c r="C15" s="35"/>
      <c r="D15" s="35"/>
      <c r="F15" s="37"/>
      <c r="G15" s="37">
        <f>'Lease Offer #1 Analysis'!H14</f>
        <v>6</v>
      </c>
      <c r="I15" s="38"/>
      <c r="J15" s="38"/>
      <c r="K15" s="38">
        <f>'Lease Offer #2 Analysis'!H14</f>
        <v>9</v>
      </c>
      <c r="N15" s="37"/>
      <c r="O15" s="37">
        <f>'Lease Offer #3 Analysis'!H14</f>
        <v>12</v>
      </c>
    </row>
    <row r="16" spans="2:15" x14ac:dyDescent="0.25">
      <c r="B16" s="34" t="s">
        <v>9</v>
      </c>
      <c r="C16" s="35"/>
      <c r="D16" s="35"/>
      <c r="F16" s="39"/>
      <c r="G16" s="39">
        <f>'Lease Offer #1 Analysis'!H15</f>
        <v>100</v>
      </c>
      <c r="I16" s="40"/>
      <c r="J16" s="40"/>
      <c r="K16" s="40">
        <f>'Lease Offer #2 Analysis'!H15</f>
        <v>85</v>
      </c>
      <c r="N16" s="39"/>
      <c r="O16" s="39">
        <f>'Lease Offer #3 Analysis'!H15</f>
        <v>125</v>
      </c>
    </row>
    <row r="17" spans="2:15" x14ac:dyDescent="0.25">
      <c r="B17" s="34" t="s">
        <v>10</v>
      </c>
      <c r="C17" s="35"/>
      <c r="D17" s="35"/>
      <c r="F17" s="39"/>
      <c r="G17" s="39">
        <f>'Lease Offer #1 Analysis'!H16</f>
        <v>50</v>
      </c>
      <c r="I17" s="40"/>
      <c r="J17" s="40"/>
      <c r="K17" s="40">
        <f>'Lease Offer #2 Analysis'!H16</f>
        <v>45</v>
      </c>
      <c r="N17" s="39"/>
      <c r="O17" s="39">
        <f>'Lease Offer #3 Analysis'!H16</f>
        <v>65</v>
      </c>
    </row>
    <row r="18" spans="2:15" x14ac:dyDescent="0.25">
      <c r="B18" s="34" t="s">
        <v>11</v>
      </c>
      <c r="C18" s="35"/>
      <c r="D18" s="35"/>
      <c r="F18" s="39"/>
      <c r="G18" s="39">
        <f>'Lease Offer #1 Analysis'!H17</f>
        <v>10</v>
      </c>
      <c r="I18" s="40"/>
      <c r="J18" s="40"/>
      <c r="K18" s="40">
        <f>'Lease Offer #2 Analysis'!H17</f>
        <v>15</v>
      </c>
      <c r="N18" s="39"/>
      <c r="O18" s="39">
        <f>'Lease Offer #3 Analysis'!H17</f>
        <v>2</v>
      </c>
    </row>
    <row r="19" spans="2:15" x14ac:dyDescent="0.25">
      <c r="B19" s="34" t="s">
        <v>12</v>
      </c>
      <c r="C19" s="131">
        <v>0.08</v>
      </c>
      <c r="D19" s="35"/>
      <c r="F19" s="41"/>
      <c r="G19" s="41">
        <f>'Lease Offer #1 Analysis'!H18</f>
        <v>0.08</v>
      </c>
      <c r="I19" s="42"/>
      <c r="J19" s="42"/>
      <c r="K19" s="42">
        <f>'Lease Offer #2 Analysis'!H18</f>
        <v>0.08</v>
      </c>
      <c r="N19" s="41"/>
      <c r="O19" s="41">
        <f>'Lease Offer #3 Analysis'!H18</f>
        <v>0.08</v>
      </c>
    </row>
    <row r="20" spans="2:15" x14ac:dyDescent="0.25">
      <c r="B20" s="34"/>
      <c r="C20" s="35"/>
      <c r="D20" s="35"/>
      <c r="E20" s="43"/>
      <c r="F20" s="43"/>
      <c r="G20" s="43"/>
      <c r="I20" s="44"/>
      <c r="J20" s="44"/>
      <c r="K20" s="44"/>
      <c r="M20" s="43"/>
      <c r="N20" s="43"/>
      <c r="O20" s="43"/>
    </row>
    <row r="21" spans="2:15" x14ac:dyDescent="0.25">
      <c r="B21" s="34"/>
      <c r="C21" s="45"/>
      <c r="F21" s="45"/>
      <c r="G21" s="47" t="s">
        <v>13</v>
      </c>
      <c r="I21" s="48"/>
      <c r="J21" s="49"/>
      <c r="K21" s="50" t="s">
        <v>13</v>
      </c>
      <c r="N21" s="45"/>
      <c r="O21" s="47" t="s">
        <v>13</v>
      </c>
    </row>
    <row r="22" spans="2:15" x14ac:dyDescent="0.25">
      <c r="B22" s="19" t="s">
        <v>14</v>
      </c>
      <c r="C22" s="45"/>
      <c r="E22" s="45" t="s">
        <v>15</v>
      </c>
      <c r="F22" s="45" t="s">
        <v>16</v>
      </c>
      <c r="G22" s="47" t="s">
        <v>16</v>
      </c>
      <c r="I22" s="49" t="s">
        <v>15</v>
      </c>
      <c r="J22" s="49" t="s">
        <v>16</v>
      </c>
      <c r="K22" s="50" t="s">
        <v>16</v>
      </c>
      <c r="M22" s="45" t="s">
        <v>15</v>
      </c>
      <c r="N22" s="45" t="s">
        <v>16</v>
      </c>
      <c r="O22" s="47" t="s">
        <v>16</v>
      </c>
    </row>
    <row r="23" spans="2:15" x14ac:dyDescent="0.25">
      <c r="B23" s="19"/>
      <c r="C23" s="45"/>
      <c r="E23" s="45" t="s">
        <v>17</v>
      </c>
      <c r="F23" s="45" t="s">
        <v>18</v>
      </c>
      <c r="G23" s="47" t="s">
        <v>17</v>
      </c>
      <c r="I23" s="49" t="s">
        <v>17</v>
      </c>
      <c r="J23" s="49" t="s">
        <v>18</v>
      </c>
      <c r="K23" s="50" t="s">
        <v>17</v>
      </c>
      <c r="M23" s="45" t="s">
        <v>17</v>
      </c>
      <c r="N23" s="45" t="s">
        <v>18</v>
      </c>
      <c r="O23" s="47" t="s">
        <v>17</v>
      </c>
    </row>
    <row r="24" spans="2:15" ht="16.5" customHeight="1" x14ac:dyDescent="0.25">
      <c r="B24" s="20" t="s">
        <v>19</v>
      </c>
      <c r="C24" s="43"/>
      <c r="D24" s="51"/>
      <c r="E24" s="52">
        <f>'Lease Offer #1 Analysis'!D23</f>
        <v>39</v>
      </c>
      <c r="F24" s="53">
        <f>'Lease Offer #1 Analysis'!F23</f>
        <v>0.03</v>
      </c>
      <c r="G24" s="52">
        <f>'Lease Offer #1 Analysis'!H23</f>
        <v>41.411259317999999</v>
      </c>
      <c r="I24" s="54">
        <f>'Lease Offer #2 Analysis'!D23</f>
        <v>42</v>
      </c>
      <c r="J24" s="55">
        <f>'Lease Offer #2 Analysis'!F23</f>
        <v>2.5000000000000001E-2</v>
      </c>
      <c r="K24" s="54">
        <f>'Lease Offer #2 Analysis'!H23</f>
        <v>45.284580880371095</v>
      </c>
      <c r="M24" s="52">
        <f>'Lease Offer #3 Analysis'!D23</f>
        <v>55</v>
      </c>
      <c r="N24" s="53">
        <f>'Lease Offer #3 Analysis'!F23</f>
        <v>0.02</v>
      </c>
      <c r="O24" s="52">
        <f>'Lease Offer #3 Analysis'!H23</f>
        <v>60.22346549855822</v>
      </c>
    </row>
    <row r="25" spans="2:15" x14ac:dyDescent="0.25">
      <c r="B25" s="20" t="s">
        <v>20</v>
      </c>
      <c r="C25" s="43"/>
      <c r="D25" s="51"/>
      <c r="E25" s="39">
        <f>'Lease Offer #1 Analysis'!D24</f>
        <v>22</v>
      </c>
      <c r="F25" s="41">
        <f>'Lease Offer #1 Analysis'!F24</f>
        <v>0.03</v>
      </c>
      <c r="G25" s="39">
        <f>'Lease Offer #1 Analysis'!H24</f>
        <v>1.3601975639999999</v>
      </c>
      <c r="I25" s="40">
        <f>'Lease Offer #2 Analysis'!D24</f>
        <v>20</v>
      </c>
      <c r="J25" s="42">
        <f>'Lease Offer #2 Analysis'!F24</f>
        <v>2.5000000000000001E-2</v>
      </c>
      <c r="K25" s="40">
        <f>'Lease Offer #2 Analysis'!H24</f>
        <v>21.564086133510045</v>
      </c>
      <c r="M25" s="39">
        <f>'Lease Offer #3 Analysis'!D24</f>
        <v>19</v>
      </c>
      <c r="N25" s="41">
        <f>'Lease Offer #3 Analysis'!F24</f>
        <v>0.02</v>
      </c>
      <c r="O25" s="39">
        <f>'Lease Offer #3 Analysis'!H24</f>
        <v>1.8044698995019264</v>
      </c>
    </row>
    <row r="26" spans="2:15" x14ac:dyDescent="0.25">
      <c r="B26" s="20" t="s">
        <v>21</v>
      </c>
      <c r="C26" s="56"/>
      <c r="D26" s="57"/>
      <c r="E26" s="52">
        <f>'Lease Offer #1 Analysis'!D25</f>
        <v>61</v>
      </c>
      <c r="F26" s="53"/>
      <c r="G26" s="52">
        <f>'Lease Offer #1 Analysis'!H25</f>
        <v>64.771456881999995</v>
      </c>
      <c r="I26" s="54">
        <f>'Lease Offer #2 Analysis'!D25</f>
        <v>62</v>
      </c>
      <c r="J26" s="55"/>
      <c r="K26" s="54">
        <f>'Lease Offer #2 Analysis'!H25</f>
        <v>66.848667013881141</v>
      </c>
      <c r="M26" s="52">
        <f>'Lease Offer #3 Analysis'!D25</f>
        <v>74</v>
      </c>
      <c r="N26" s="53"/>
      <c r="O26" s="52">
        <f>'Lease Offer #3 Analysis'!H25</f>
        <v>81.027935398060151</v>
      </c>
    </row>
    <row r="27" spans="2:15" x14ac:dyDescent="0.25">
      <c r="B27" s="20" t="s">
        <v>22</v>
      </c>
      <c r="C27" s="43"/>
      <c r="D27" s="51"/>
      <c r="E27" s="58">
        <f>'Lease Offer #1 Analysis'!D26</f>
        <v>4</v>
      </c>
      <c r="F27" s="59">
        <f>'Lease Offer #1 Analysis'!F26</f>
        <v>0.03</v>
      </c>
      <c r="G27" s="58">
        <f>'Lease Offer #1 Analysis'!H26</f>
        <v>0.24730864799999991</v>
      </c>
      <c r="I27" s="60">
        <f>'Lease Offer #2 Analysis'!D26</f>
        <v>5</v>
      </c>
      <c r="J27" s="61">
        <f>'Lease Offer #2 Analysis'!F26</f>
        <v>2.75E-2</v>
      </c>
      <c r="K27" s="60">
        <f>'Lease Offer #2 Analysis'!H26</f>
        <v>5.4319348295330583</v>
      </c>
      <c r="M27" s="58">
        <f>'Lease Offer #3 Analysis'!D26</f>
        <v>3</v>
      </c>
      <c r="N27" s="59">
        <f>'Lease Offer #3 Analysis'!F26</f>
        <v>0.02</v>
      </c>
      <c r="O27" s="58">
        <f>'Lease Offer #3 Analysis'!H26</f>
        <v>0.28491629992135692</v>
      </c>
    </row>
    <row r="28" spans="2:15" x14ac:dyDescent="0.25">
      <c r="B28" s="20" t="s">
        <v>23</v>
      </c>
      <c r="C28" s="56"/>
      <c r="D28" s="57"/>
      <c r="E28" s="39">
        <f>'Lease Offer #1 Analysis'!D27</f>
        <v>65</v>
      </c>
      <c r="F28" s="41"/>
      <c r="G28" s="39">
        <f>'Lease Offer #1 Analysis'!H27</f>
        <v>69.018765529999996</v>
      </c>
      <c r="H28" s="20"/>
      <c r="I28" s="40">
        <f>'Lease Offer #2 Analysis'!D27</f>
        <v>67</v>
      </c>
      <c r="J28" s="42"/>
      <c r="K28" s="40">
        <f>'Lease Offer #2 Analysis'!H27</f>
        <v>72.280601843414203</v>
      </c>
      <c r="L28" s="15"/>
      <c r="M28" s="39">
        <f>'Lease Offer #3 Analysis'!D27</f>
        <v>77</v>
      </c>
      <c r="N28" s="41"/>
      <c r="O28" s="39">
        <f>'Lease Offer #3 Analysis'!H27</f>
        <v>81.312851697981515</v>
      </c>
    </row>
    <row r="29" spans="2:15" x14ac:dyDescent="0.25">
      <c r="B29" s="20" t="s">
        <v>24</v>
      </c>
      <c r="C29" s="56"/>
      <c r="D29" s="51"/>
      <c r="E29" s="58">
        <f>'Lease Offer #1 Analysis'!D28</f>
        <v>2.88</v>
      </c>
      <c r="F29" s="59">
        <f>'Lease Offer #1 Analysis'!F28</f>
        <v>0.03</v>
      </c>
      <c r="G29" s="58">
        <f>'Lease Offer #1 Analysis'!H28</f>
        <v>3.0580622265599997</v>
      </c>
      <c r="I29" s="60">
        <f>'Lease Offer #2 Analysis'!D28</f>
        <v>3</v>
      </c>
      <c r="J29" s="61">
        <f>'Lease Offer #2 Analysis'!F28</f>
        <v>2.75E-2</v>
      </c>
      <c r="K29" s="60">
        <f>'Lease Offer #2 Analysis'!H28</f>
        <v>3.2591608977198345</v>
      </c>
      <c r="M29" s="58">
        <f>'Lease Offer #3 Analysis'!D28</f>
        <v>4.2</v>
      </c>
      <c r="N29" s="59">
        <f>'Lease Offer #3 Analysis'!F28</f>
        <v>0.02</v>
      </c>
      <c r="O29" s="58">
        <f>'Lease Offer #3 Analysis'!H28</f>
        <v>4.5988828198898997</v>
      </c>
    </row>
    <row r="30" spans="2:15" x14ac:dyDescent="0.25">
      <c r="B30" s="19" t="s">
        <v>25</v>
      </c>
      <c r="C30" s="56"/>
      <c r="D30" s="57"/>
      <c r="E30" s="56">
        <f>'Lease Offer #1 Analysis'!D29</f>
        <v>67.88</v>
      </c>
      <c r="F30" s="56"/>
      <c r="G30" s="56">
        <f>'Lease Offer #1 Analysis'!H29</f>
        <v>72.076827756559993</v>
      </c>
      <c r="I30" s="62">
        <f>'Lease Offer #2 Analysis'!D29</f>
        <v>70</v>
      </c>
      <c r="J30" s="63"/>
      <c r="K30" s="62">
        <f>'Lease Offer #2 Analysis'!H29</f>
        <v>75.539762741134041</v>
      </c>
      <c r="M30" s="56">
        <f>'Lease Offer #3 Analysis'!D29</f>
        <v>81.2</v>
      </c>
      <c r="N30" s="56"/>
      <c r="O30" s="56">
        <f>'Lease Offer #3 Analysis'!H29</f>
        <v>85.911734517871409</v>
      </c>
    </row>
    <row r="31" spans="2:15" x14ac:dyDescent="0.25">
      <c r="B31" s="20"/>
      <c r="C31" s="43"/>
      <c r="D31" s="43"/>
      <c r="E31" s="15"/>
      <c r="F31" s="15"/>
      <c r="G31" s="15"/>
      <c r="I31" s="64"/>
      <c r="J31" s="64"/>
      <c r="K31" s="64"/>
      <c r="M31" s="15"/>
      <c r="N31" s="15"/>
      <c r="O31" s="15"/>
    </row>
    <row r="32" spans="2:15" x14ac:dyDescent="0.25">
      <c r="B32" s="19" t="s">
        <v>26</v>
      </c>
      <c r="C32" s="43"/>
      <c r="D32" s="43"/>
      <c r="E32" s="15"/>
      <c r="F32" s="15"/>
      <c r="G32" s="15"/>
      <c r="I32" s="64"/>
      <c r="J32" s="64"/>
      <c r="K32" s="64"/>
      <c r="M32" s="15"/>
      <c r="N32" s="15"/>
      <c r="O32" s="15"/>
    </row>
    <row r="33" spans="2:15" x14ac:dyDescent="0.25">
      <c r="B33" s="20" t="s">
        <v>27</v>
      </c>
      <c r="C33" s="43"/>
      <c r="D33" s="43"/>
      <c r="F33" s="65"/>
      <c r="G33" s="65">
        <f>'Lease Offer #1 Analysis'!H32</f>
        <v>-6.5</v>
      </c>
      <c r="I33" s="48"/>
      <c r="J33" s="66"/>
      <c r="K33" s="66">
        <f>'Lease Offer #2 Analysis'!H32</f>
        <v>-4.5</v>
      </c>
      <c r="N33" s="65"/>
      <c r="O33" s="65">
        <f>'Lease Offer #3 Analysis'!H32</f>
        <v>-7.4</v>
      </c>
    </row>
    <row r="34" spans="2:15" x14ac:dyDescent="0.25">
      <c r="B34" s="20" t="s">
        <v>28</v>
      </c>
      <c r="C34" s="23"/>
      <c r="D34" s="23"/>
      <c r="F34" s="65"/>
      <c r="G34" s="65">
        <f>'Lease Offer #1 Analysis'!H33</f>
        <v>-20</v>
      </c>
      <c r="I34" s="48"/>
      <c r="J34" s="66"/>
      <c r="K34" s="66">
        <f>'Lease Offer #2 Analysis'!H33</f>
        <v>-12.142857142857142</v>
      </c>
      <c r="N34" s="65"/>
      <c r="O34" s="65">
        <f>'Lease Offer #3 Analysis'!H33</f>
        <v>-12.5</v>
      </c>
    </row>
    <row r="35" spans="2:15" x14ac:dyDescent="0.25">
      <c r="B35" s="20" t="s">
        <v>29</v>
      </c>
      <c r="C35" s="15"/>
      <c r="D35" s="15"/>
      <c r="F35" s="65"/>
      <c r="G35" s="65">
        <f>'Lease Offer #1 Analysis'!H34</f>
        <v>-2</v>
      </c>
      <c r="I35" s="48"/>
      <c r="J35" s="66"/>
      <c r="K35" s="66">
        <f>'Lease Offer #2 Analysis'!H34</f>
        <v>-2.1428571428571428</v>
      </c>
      <c r="N35" s="65"/>
      <c r="O35" s="65">
        <f>'Lease Offer #3 Analysis'!H34</f>
        <v>-0.2</v>
      </c>
    </row>
    <row r="36" spans="2:15" s="73" customFormat="1" x14ac:dyDescent="0.25">
      <c r="B36" s="67" t="s">
        <v>30</v>
      </c>
      <c r="C36" s="68"/>
      <c r="D36" s="68"/>
      <c r="E36" s="69"/>
      <c r="F36" s="69"/>
      <c r="G36" s="70">
        <f>'Lease Offer #1 Analysis'!H35</f>
        <v>43.576827756559993</v>
      </c>
      <c r="H36" s="71"/>
      <c r="I36" s="69"/>
      <c r="J36" s="69"/>
      <c r="K36" s="70">
        <f>'Lease Offer #2 Analysis'!H35</f>
        <v>56.754048455419756</v>
      </c>
      <c r="L36" s="72"/>
      <c r="M36" s="69"/>
      <c r="N36" s="69"/>
      <c r="O36" s="70">
        <f>'Lease Offer #3 Analysis'!H35</f>
        <v>65.8117345178714</v>
      </c>
    </row>
    <row r="37" spans="2:15" x14ac:dyDescent="0.25">
      <c r="B37" s="20"/>
      <c r="C37" s="15"/>
      <c r="D37" s="15"/>
      <c r="E37" s="15"/>
      <c r="F37" s="15"/>
      <c r="G37" s="15"/>
      <c r="I37" s="64"/>
      <c r="J37" s="64"/>
      <c r="K37" s="64"/>
      <c r="M37" s="15"/>
      <c r="N37" s="15"/>
      <c r="O37" s="15"/>
    </row>
    <row r="38" spans="2:15" x14ac:dyDescent="0.25">
      <c r="B38" s="19" t="s">
        <v>31</v>
      </c>
      <c r="C38" s="15"/>
      <c r="D38" s="15"/>
      <c r="E38" s="15"/>
      <c r="F38" s="15"/>
      <c r="G38" s="15"/>
      <c r="I38" s="64"/>
      <c r="J38" s="64"/>
      <c r="K38" s="64"/>
      <c r="M38" s="15"/>
      <c r="N38" s="15"/>
      <c r="O38" s="15"/>
    </row>
    <row r="39" spans="2:15" x14ac:dyDescent="0.25">
      <c r="B39" s="20" t="s">
        <v>32</v>
      </c>
      <c r="C39" s="15"/>
      <c r="D39" s="15"/>
      <c r="F39" s="74"/>
      <c r="G39" s="75">
        <f>'Lease Offer #1 Analysis'!H38</f>
        <v>9197103.4695700016</v>
      </c>
      <c r="I39" s="48"/>
      <c r="J39" s="76"/>
      <c r="K39" s="77">
        <f>'Lease Offer #2 Analysis'!H38</f>
        <v>13056958.479698455</v>
      </c>
      <c r="N39" s="74"/>
      <c r="O39" s="75">
        <f>'Lease Offer #3 Analysis'!H38</f>
        <v>16862346.903574277</v>
      </c>
    </row>
    <row r="40" spans="2:15" x14ac:dyDescent="0.25">
      <c r="B40" s="20" t="s">
        <v>33</v>
      </c>
      <c r="C40" s="15"/>
      <c r="D40" s="15"/>
      <c r="F40" s="74"/>
      <c r="G40" s="75">
        <f>'Lease Offer #1 Analysis'!H39</f>
        <v>7335546.5637897216</v>
      </c>
      <c r="I40" s="48"/>
      <c r="J40" s="76"/>
      <c r="K40" s="77">
        <f>'Lease Offer #2 Analysis'!H39</f>
        <v>9606666.3008083683</v>
      </c>
      <c r="N40" s="74"/>
      <c r="O40" s="75">
        <f>'Lease Offer #3 Analysis'!H39</f>
        <v>11085105.979408931</v>
      </c>
    </row>
    <row r="41" spans="2:15" x14ac:dyDescent="0.25">
      <c r="B41" s="20" t="s">
        <v>34</v>
      </c>
      <c r="C41" s="15"/>
      <c r="D41" s="15"/>
      <c r="F41" s="74"/>
      <c r="G41" s="75">
        <f>'Lease Offer #1 Analysis'!H40</f>
        <v>1250000</v>
      </c>
      <c r="I41" s="48"/>
      <c r="J41" s="76"/>
      <c r="K41" s="77">
        <f>'Lease Offer #2 Analysis'!H40</f>
        <v>1000000</v>
      </c>
      <c r="N41" s="74"/>
      <c r="O41" s="75">
        <f>'Lease Offer #3 Analysis'!H40</f>
        <v>1200000</v>
      </c>
    </row>
    <row r="42" spans="2:15" x14ac:dyDescent="0.25">
      <c r="B42" s="20" t="s">
        <v>35</v>
      </c>
      <c r="C42" s="15"/>
      <c r="D42" s="15"/>
      <c r="F42" s="74"/>
      <c r="G42" s="75">
        <f>'Lease Offer #1 Analysis'!H41</f>
        <v>1834969.1382499998</v>
      </c>
      <c r="I42" s="48"/>
      <c r="J42" s="76"/>
      <c r="K42" s="77">
        <f>'Lease Offer #2 Analysis'!H41</f>
        <v>1808900.2362949916</v>
      </c>
      <c r="N42" s="74"/>
      <c r="O42" s="75">
        <f>'Lease Offer #3 Analysis'!H41</f>
        <v>1672558.7079612026</v>
      </c>
    </row>
    <row r="43" spans="2:15" ht="28.5" customHeight="1" x14ac:dyDescent="0.25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</row>
  </sheetData>
  <mergeCells count="10">
    <mergeCell ref="E7:G7"/>
    <mergeCell ref="I7:K7"/>
    <mergeCell ref="M7:O7"/>
    <mergeCell ref="B43:O43"/>
    <mergeCell ref="E5:G5"/>
    <mergeCell ref="I5:K5"/>
    <mergeCell ref="M5:O5"/>
    <mergeCell ref="E6:G6"/>
    <mergeCell ref="I6:K6"/>
    <mergeCell ref="M6:O6"/>
  </mergeCells>
  <printOptions horizontalCentered="1" verticalCentered="1"/>
  <pageMargins left="0.25" right="0.25" top="0.5" bottom="0.63" header="0.3" footer="0.3"/>
  <pageSetup scale="82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5"/>
  <sheetViews>
    <sheetView showGridLines="0" zoomScaleNormal="100" workbookViewId="0">
      <selection activeCell="X32" sqref="X32"/>
    </sheetView>
  </sheetViews>
  <sheetFormatPr defaultColWidth="7.109375" defaultRowHeight="12.75" x14ac:dyDescent="0.2"/>
  <cols>
    <col min="1" max="1" width="4.44140625" style="4" customWidth="1"/>
    <col min="2" max="2" width="24.44140625" style="4" customWidth="1"/>
    <col min="3" max="3" width="12.33203125" style="4" customWidth="1"/>
    <col min="4" max="4" width="10.6640625" style="46" customWidth="1"/>
    <col min="5" max="5" width="2.109375" style="46" customWidth="1"/>
    <col min="6" max="6" width="10.6640625" style="46" customWidth="1"/>
    <col min="7" max="7" width="2.109375" style="46" customWidth="1"/>
    <col min="8" max="8" width="10.6640625" style="4" customWidth="1"/>
    <col min="9" max="9" width="2" style="4" customWidth="1"/>
    <col min="10" max="10" width="8.77734375" style="4" customWidth="1"/>
    <col min="11" max="11" width="1.77734375" style="4" customWidth="1"/>
    <col min="12" max="12" width="11.109375" style="4" customWidth="1"/>
    <col min="13" max="16384" width="7.109375" style="4"/>
  </cols>
  <sheetData>
    <row r="1" spans="2:12" x14ac:dyDescent="0.2">
      <c r="B1" s="2"/>
      <c r="C1" s="2"/>
      <c r="D1" s="2"/>
      <c r="E1" s="2"/>
      <c r="F1" s="2"/>
      <c r="G1" s="2"/>
      <c r="H1" s="2"/>
    </row>
    <row r="2" spans="2:12" ht="15.75" x14ac:dyDescent="0.25">
      <c r="B2" s="140" t="s">
        <v>68</v>
      </c>
      <c r="C2" s="140"/>
      <c r="D2" s="140"/>
      <c r="E2" s="140"/>
      <c r="F2" s="140"/>
      <c r="G2" s="140"/>
      <c r="H2" s="140"/>
    </row>
    <row r="3" spans="2:12" ht="15.75" x14ac:dyDescent="0.25">
      <c r="B3" s="137" t="s">
        <v>36</v>
      </c>
      <c r="C3" s="137"/>
      <c r="D3" s="137"/>
      <c r="E3" s="137"/>
      <c r="F3" s="137"/>
      <c r="G3" s="137"/>
      <c r="H3" s="137"/>
    </row>
    <row r="4" spans="2:12" ht="15.75" x14ac:dyDescent="0.25">
      <c r="B4" s="78" t="s">
        <v>37</v>
      </c>
      <c r="C4" s="79">
        <f ca="1">TODAY()</f>
        <v>41172</v>
      </c>
      <c r="D4" s="80"/>
      <c r="E4" s="80"/>
      <c r="F4" s="80"/>
      <c r="G4" s="80"/>
      <c r="H4" s="81" t="s">
        <v>38</v>
      </c>
      <c r="I4" s="3"/>
      <c r="J4" s="3"/>
      <c r="K4" s="3"/>
    </row>
    <row r="5" spans="2:12" ht="15.75" x14ac:dyDescent="0.25">
      <c r="B5" s="82" t="s">
        <v>0</v>
      </c>
      <c r="C5" s="83" t="s">
        <v>39</v>
      </c>
      <c r="D5" s="14"/>
      <c r="E5" s="14"/>
      <c r="F5" s="14"/>
      <c r="G5" s="14"/>
      <c r="H5" s="84"/>
      <c r="I5" s="3"/>
      <c r="J5" s="3"/>
      <c r="K5" s="3"/>
    </row>
    <row r="6" spans="2:12" ht="15.75" x14ac:dyDescent="0.25">
      <c r="B6" s="82" t="s">
        <v>1</v>
      </c>
      <c r="C6" s="83">
        <v>300</v>
      </c>
      <c r="D6" s="14"/>
      <c r="E6" s="14"/>
      <c r="F6" s="14"/>
      <c r="G6" s="14"/>
      <c r="H6" s="84"/>
      <c r="I6" s="3"/>
      <c r="J6" s="3"/>
      <c r="K6" s="3"/>
    </row>
    <row r="7" spans="2:12" ht="15.75" x14ac:dyDescent="0.25">
      <c r="B7" s="85"/>
      <c r="C7" s="86"/>
      <c r="D7" s="8"/>
      <c r="E7" s="8"/>
      <c r="F7" s="8"/>
      <c r="G7" s="8"/>
      <c r="H7" s="87"/>
      <c r="I7" s="17"/>
      <c r="J7" s="17"/>
      <c r="K7" s="17"/>
    </row>
    <row r="8" spans="2:12" ht="15.75" x14ac:dyDescent="0.25">
      <c r="B8" s="88" t="s">
        <v>2</v>
      </c>
      <c r="C8" s="86"/>
      <c r="D8" s="8"/>
      <c r="E8" s="8"/>
      <c r="F8" s="8"/>
      <c r="G8" s="8"/>
      <c r="H8" s="87"/>
      <c r="I8" s="17"/>
      <c r="J8" s="17"/>
      <c r="K8" s="17"/>
    </row>
    <row r="9" spans="2:12" ht="15.75" x14ac:dyDescent="0.25">
      <c r="B9" s="89" t="s">
        <v>3</v>
      </c>
      <c r="C9" s="20"/>
      <c r="D9" s="8"/>
      <c r="E9" s="8"/>
      <c r="F9" s="8"/>
      <c r="G9" s="8"/>
      <c r="H9" s="90">
        <v>25000</v>
      </c>
      <c r="I9" s="3"/>
      <c r="J9" s="3"/>
      <c r="K9" s="3"/>
    </row>
    <row r="10" spans="2:12" ht="15.75" x14ac:dyDescent="0.25">
      <c r="B10" s="89" t="s">
        <v>4</v>
      </c>
      <c r="C10" s="20"/>
      <c r="D10" s="23"/>
      <c r="E10" s="23"/>
      <c r="F10" s="24"/>
      <c r="G10" s="24"/>
      <c r="H10" s="91">
        <v>5</v>
      </c>
      <c r="I10" s="3"/>
      <c r="J10" s="3"/>
      <c r="K10" s="3"/>
      <c r="L10" s="92"/>
    </row>
    <row r="11" spans="2:12" ht="15.75" x14ac:dyDescent="0.25">
      <c r="B11" s="89" t="s">
        <v>40</v>
      </c>
      <c r="C11" s="20"/>
      <c r="D11" s="23"/>
      <c r="E11" s="23"/>
      <c r="F11" s="27">
        <v>1.2</v>
      </c>
      <c r="G11" s="27"/>
      <c r="H11" s="93">
        <f>H9/1000*F11</f>
        <v>30</v>
      </c>
      <c r="I11" s="3"/>
      <c r="J11" s="3"/>
      <c r="K11" s="3"/>
      <c r="L11" s="92"/>
    </row>
    <row r="12" spans="2:12" ht="15.75" x14ac:dyDescent="0.25">
      <c r="B12" s="89" t="s">
        <v>6</v>
      </c>
      <c r="C12" s="20"/>
      <c r="D12" s="8"/>
      <c r="E12" s="8"/>
      <c r="F12" s="8"/>
      <c r="G12" s="8"/>
      <c r="H12" s="94">
        <v>200</v>
      </c>
      <c r="I12" s="3"/>
      <c r="J12" s="3"/>
      <c r="K12" s="3"/>
      <c r="L12" s="95" t="s">
        <v>41</v>
      </c>
    </row>
    <row r="13" spans="2:12" ht="15.75" x14ac:dyDescent="0.25">
      <c r="B13" s="96" t="s">
        <v>7</v>
      </c>
      <c r="C13" s="34"/>
      <c r="D13" s="35"/>
      <c r="E13" s="35"/>
      <c r="F13" s="35"/>
      <c r="G13" s="35"/>
      <c r="H13" s="97" t="s">
        <v>42</v>
      </c>
      <c r="I13" s="3"/>
      <c r="J13" s="3"/>
      <c r="K13" s="3"/>
      <c r="L13" s="98" t="s">
        <v>43</v>
      </c>
    </row>
    <row r="14" spans="2:12" ht="15.75" x14ac:dyDescent="0.25">
      <c r="B14" s="96" t="s">
        <v>8</v>
      </c>
      <c r="C14" s="34"/>
      <c r="D14" s="35"/>
      <c r="E14" s="35"/>
      <c r="F14" s="35"/>
      <c r="G14" s="35"/>
      <c r="H14" s="99">
        <v>6</v>
      </c>
      <c r="I14" s="3"/>
      <c r="J14" s="3"/>
      <c r="K14" s="3"/>
      <c r="L14" s="100" t="s">
        <v>44</v>
      </c>
    </row>
    <row r="15" spans="2:12" ht="15.75" x14ac:dyDescent="0.25">
      <c r="B15" s="96" t="s">
        <v>9</v>
      </c>
      <c r="C15" s="34"/>
      <c r="D15" s="35"/>
      <c r="E15" s="35"/>
      <c r="F15" s="35"/>
      <c r="G15" s="35"/>
      <c r="H15" s="101">
        <v>100</v>
      </c>
      <c r="I15" s="3"/>
      <c r="J15" s="3"/>
      <c r="K15" s="3"/>
      <c r="L15" s="102" t="s">
        <v>42</v>
      </c>
    </row>
    <row r="16" spans="2:12" ht="15.75" x14ac:dyDescent="0.25">
      <c r="B16" s="96" t="s">
        <v>10</v>
      </c>
      <c r="C16" s="34"/>
      <c r="D16" s="35"/>
      <c r="E16" s="35"/>
      <c r="F16" s="35"/>
      <c r="G16" s="35"/>
      <c r="H16" s="101">
        <v>50</v>
      </c>
      <c r="I16" s="3"/>
      <c r="J16" s="3"/>
      <c r="K16" s="3"/>
    </row>
    <row r="17" spans="2:24" ht="15.75" x14ac:dyDescent="0.25">
      <c r="B17" s="96" t="s">
        <v>11</v>
      </c>
      <c r="C17" s="34"/>
      <c r="D17" s="35"/>
      <c r="E17" s="35"/>
      <c r="F17" s="35"/>
      <c r="G17" s="35"/>
      <c r="H17" s="101">
        <v>10</v>
      </c>
      <c r="I17" s="3"/>
      <c r="J17" s="3"/>
      <c r="K17" s="3"/>
    </row>
    <row r="18" spans="2:24" ht="15.75" x14ac:dyDescent="0.25">
      <c r="B18" s="96" t="s">
        <v>12</v>
      </c>
      <c r="C18" s="34"/>
      <c r="D18" s="35"/>
      <c r="E18" s="35"/>
      <c r="F18" s="35"/>
      <c r="G18" s="35"/>
      <c r="H18" s="132">
        <f>'Comparative Lease Analysis'!$C$19</f>
        <v>0.08</v>
      </c>
      <c r="I18" s="3"/>
      <c r="J18" s="3"/>
      <c r="K18" s="3"/>
    </row>
    <row r="19" spans="2:24" ht="15.75" x14ac:dyDescent="0.25">
      <c r="B19" s="96"/>
      <c r="C19" s="34"/>
      <c r="D19" s="35"/>
      <c r="E19" s="35"/>
      <c r="F19" s="35"/>
      <c r="G19" s="35"/>
      <c r="H19" s="101"/>
      <c r="I19" s="3"/>
      <c r="J19" s="3"/>
      <c r="K19" s="3"/>
    </row>
    <row r="20" spans="2:24" ht="15.75" x14ac:dyDescent="0.25">
      <c r="B20" s="96"/>
      <c r="C20" s="34"/>
      <c r="D20" s="45"/>
      <c r="E20" s="45"/>
      <c r="F20" s="45"/>
      <c r="G20" s="45"/>
      <c r="H20" s="103" t="s">
        <v>13</v>
      </c>
      <c r="I20" s="3"/>
      <c r="J20" s="3"/>
      <c r="K20" s="3"/>
    </row>
    <row r="21" spans="2:24" ht="15.75" x14ac:dyDescent="0.25">
      <c r="B21" s="88" t="s">
        <v>14</v>
      </c>
      <c r="C21" s="34"/>
      <c r="D21" s="45" t="s">
        <v>15</v>
      </c>
      <c r="E21" s="45"/>
      <c r="F21" s="45" t="s">
        <v>16</v>
      </c>
      <c r="G21" s="45"/>
      <c r="H21" s="103" t="s">
        <v>16</v>
      </c>
      <c r="I21" s="3"/>
      <c r="J21" s="130" t="s">
        <v>70</v>
      </c>
      <c r="K21" s="3"/>
      <c r="L21" s="3"/>
      <c r="M21" s="3"/>
      <c r="N21" s="140" t="s">
        <v>45</v>
      </c>
      <c r="O21" s="140"/>
      <c r="P21" s="140"/>
      <c r="Q21" s="140"/>
      <c r="R21" s="140"/>
      <c r="S21" s="140"/>
      <c r="T21" s="140"/>
      <c r="U21" s="140"/>
      <c r="V21" s="140"/>
      <c r="W21" s="140"/>
    </row>
    <row r="22" spans="2:24" ht="15.75" x14ac:dyDescent="0.25">
      <c r="B22" s="88"/>
      <c r="C22" s="34"/>
      <c r="D22" s="104" t="s">
        <v>17</v>
      </c>
      <c r="E22" s="45"/>
      <c r="F22" s="104" t="s">
        <v>18</v>
      </c>
      <c r="G22" s="45"/>
      <c r="H22" s="105" t="s">
        <v>17</v>
      </c>
      <c r="I22" s="3"/>
      <c r="J22" s="130" t="s">
        <v>69</v>
      </c>
      <c r="K22" s="3"/>
      <c r="L22" s="3"/>
      <c r="M22" s="3"/>
      <c r="N22" s="106">
        <v>1</v>
      </c>
      <c r="O22" s="106">
        <v>2</v>
      </c>
      <c r="P22" s="106">
        <v>3</v>
      </c>
      <c r="Q22" s="106">
        <v>4</v>
      </c>
      <c r="R22" s="106">
        <v>5</v>
      </c>
      <c r="S22" s="106">
        <v>6</v>
      </c>
      <c r="T22" s="106">
        <v>7</v>
      </c>
      <c r="U22" s="106">
        <v>8</v>
      </c>
      <c r="V22" s="106">
        <v>9</v>
      </c>
      <c r="W22" s="106">
        <v>10</v>
      </c>
    </row>
    <row r="23" spans="2:24" ht="15.75" x14ac:dyDescent="0.25">
      <c r="B23" s="89" t="s">
        <v>19</v>
      </c>
      <c r="C23" s="34"/>
      <c r="D23" s="43">
        <v>39</v>
      </c>
      <c r="E23" s="43"/>
      <c r="F23" s="107">
        <v>0.03</v>
      </c>
      <c r="G23" s="51"/>
      <c r="H23" s="108">
        <f>+SUM(N23:W23)/H10</f>
        <v>41.411259317999999</v>
      </c>
      <c r="I23" s="3"/>
      <c r="J23" s="133"/>
      <c r="K23" s="3"/>
      <c r="L23" s="20" t="s">
        <v>46</v>
      </c>
      <c r="M23" s="3"/>
      <c r="N23" s="109">
        <f>$D$23*(1+$F$23)^(N22-1)*IF(N22&gt;$H$10,0,1)</f>
        <v>39</v>
      </c>
      <c r="O23" s="109">
        <f t="shared" ref="O23:W23" si="0">$D$23*(1+$F$23)^(O22-1)*IF(O22&gt;$H$10,0,1)</f>
        <v>40.17</v>
      </c>
      <c r="P23" s="109">
        <f t="shared" si="0"/>
        <v>41.375099999999996</v>
      </c>
      <c r="Q23" s="109">
        <f t="shared" si="0"/>
        <v>42.616353000000004</v>
      </c>
      <c r="R23" s="109">
        <f t="shared" si="0"/>
        <v>43.894843589999994</v>
      </c>
      <c r="S23" s="109">
        <f t="shared" si="0"/>
        <v>0</v>
      </c>
      <c r="T23" s="109">
        <f t="shared" si="0"/>
        <v>0</v>
      </c>
      <c r="U23" s="109">
        <f t="shared" si="0"/>
        <v>0</v>
      </c>
      <c r="V23" s="109">
        <f t="shared" si="0"/>
        <v>0</v>
      </c>
      <c r="W23" s="109">
        <f t="shared" si="0"/>
        <v>0</v>
      </c>
    </row>
    <row r="24" spans="2:24" ht="15.75" x14ac:dyDescent="0.25">
      <c r="B24" s="89" t="s">
        <v>20</v>
      </c>
      <c r="C24" s="34"/>
      <c r="D24" s="110">
        <v>22</v>
      </c>
      <c r="E24" s="43"/>
      <c r="F24" s="111">
        <v>0.03</v>
      </c>
      <c r="G24" s="51"/>
      <c r="H24" s="112">
        <f>+SUM(N24:W24)/H10</f>
        <v>1.3601975639999999</v>
      </c>
      <c r="I24" s="3"/>
      <c r="J24" s="133"/>
      <c r="K24" s="3"/>
      <c r="L24" s="20" t="s">
        <v>47</v>
      </c>
      <c r="M24" s="3"/>
      <c r="N24" s="113">
        <f>IF($H$13="Net",$D$24*(1+$F$24)^(N22-1)*IF(N22&gt;$H$10,0,1),(($D$24*(1+$F$24)^(N22-1))-$D$24)*IF(N22&gt;$H$10,0,1))</f>
        <v>0</v>
      </c>
      <c r="O24" s="113">
        <f t="shared" ref="O24:W24" si="1">IF($H$13="Net",$D$24*(1+$F$24)^(O22-1)*IF(O22&gt;$H$10,0,1),(($D$24*(1+$F$24)^(O22-1))-$D$24)*IF(O22&gt;$H$10,0,1))</f>
        <v>0.66000000000000014</v>
      </c>
      <c r="P24" s="113">
        <f t="shared" si="1"/>
        <v>1.3398000000000003</v>
      </c>
      <c r="Q24" s="113">
        <f t="shared" si="1"/>
        <v>2.0399940000000001</v>
      </c>
      <c r="R24" s="113">
        <f t="shared" si="1"/>
        <v>2.761193819999999</v>
      </c>
      <c r="S24" s="113">
        <f t="shared" si="1"/>
        <v>0</v>
      </c>
      <c r="T24" s="113">
        <f t="shared" si="1"/>
        <v>0</v>
      </c>
      <c r="U24" s="113">
        <f t="shared" si="1"/>
        <v>0</v>
      </c>
      <c r="V24" s="113">
        <f t="shared" si="1"/>
        <v>0</v>
      </c>
      <c r="W24" s="113">
        <f t="shared" si="1"/>
        <v>0</v>
      </c>
    </row>
    <row r="25" spans="2:24" ht="15.75" x14ac:dyDescent="0.25">
      <c r="B25" s="89" t="s">
        <v>21</v>
      </c>
      <c r="C25" s="20"/>
      <c r="D25" s="39">
        <f>+SUM(D23:D24)</f>
        <v>61</v>
      </c>
      <c r="E25" s="56"/>
      <c r="F25" s="114"/>
      <c r="G25" s="57"/>
      <c r="H25" s="108">
        <f>+IF(H13="Net",H24+H23,H24+H23+D24)</f>
        <v>64.771456881999995</v>
      </c>
      <c r="I25" s="3"/>
      <c r="J25" s="133"/>
      <c r="K25" s="3"/>
      <c r="L25" s="20" t="s">
        <v>48</v>
      </c>
      <c r="M25" s="3"/>
      <c r="N25" s="109">
        <f>+N24+N23</f>
        <v>39</v>
      </c>
      <c r="O25" s="109">
        <f>+O24+O23</f>
        <v>40.83</v>
      </c>
      <c r="P25" s="109">
        <f t="shared" ref="P25:W25" si="2">+P24+P23</f>
        <v>42.7149</v>
      </c>
      <c r="Q25" s="109">
        <f t="shared" si="2"/>
        <v>44.656347000000004</v>
      </c>
      <c r="R25" s="109">
        <f t="shared" si="2"/>
        <v>46.656037409999996</v>
      </c>
      <c r="S25" s="109">
        <f t="shared" si="2"/>
        <v>0</v>
      </c>
      <c r="T25" s="109">
        <f t="shared" si="2"/>
        <v>0</v>
      </c>
      <c r="U25" s="109">
        <f t="shared" si="2"/>
        <v>0</v>
      </c>
      <c r="V25" s="109">
        <f t="shared" si="2"/>
        <v>0</v>
      </c>
      <c r="W25" s="109">
        <f t="shared" si="2"/>
        <v>0</v>
      </c>
    </row>
    <row r="26" spans="2:24" ht="15.75" x14ac:dyDescent="0.25">
      <c r="B26" s="89" t="s">
        <v>22</v>
      </c>
      <c r="C26" s="34"/>
      <c r="D26" s="110">
        <v>4</v>
      </c>
      <c r="E26" s="43"/>
      <c r="F26" s="111">
        <v>0.03</v>
      </c>
      <c r="G26" s="51"/>
      <c r="H26" s="112">
        <f>+SUM(N26:W26)/H10</f>
        <v>0.24730864799999991</v>
      </c>
      <c r="I26" s="3"/>
      <c r="J26" s="133"/>
      <c r="K26" s="3"/>
      <c r="L26" s="20" t="s">
        <v>49</v>
      </c>
      <c r="M26" s="3"/>
      <c r="N26" s="113">
        <f>IF($H$13="Net",$D$26*(1+$F$26)^(N22-1)*IF(N22&gt;$H$10,0,1),(($D$26*(1+$F$26)^(N22-1))-$D$26)*IF(N22&gt;$H$10,0,1))</f>
        <v>0</v>
      </c>
      <c r="O26" s="113">
        <f t="shared" ref="O26:W26" si="3">IF($H$13="Net",$D$26*(1+$F$26)^(O22-1)*IF(O22&gt;$H$10,0,1),(($D$26*(1+$F$26)^(O22-1))-$D$26)*IF(O22&gt;$H$10,0,1))</f>
        <v>0.12000000000000011</v>
      </c>
      <c r="P26" s="113">
        <f t="shared" si="3"/>
        <v>0.24359999999999982</v>
      </c>
      <c r="Q26" s="113">
        <f t="shared" si="3"/>
        <v>0.37090800000000002</v>
      </c>
      <c r="R26" s="113">
        <f t="shared" si="3"/>
        <v>0.50203523999999966</v>
      </c>
      <c r="S26" s="113">
        <f t="shared" si="3"/>
        <v>0</v>
      </c>
      <c r="T26" s="113">
        <f t="shared" si="3"/>
        <v>0</v>
      </c>
      <c r="U26" s="113">
        <f t="shared" si="3"/>
        <v>0</v>
      </c>
      <c r="V26" s="113">
        <f t="shared" si="3"/>
        <v>0</v>
      </c>
      <c r="W26" s="113">
        <f t="shared" si="3"/>
        <v>0</v>
      </c>
    </row>
    <row r="27" spans="2:24" ht="15.75" x14ac:dyDescent="0.25">
      <c r="B27" s="89" t="s">
        <v>23</v>
      </c>
      <c r="C27" s="20"/>
      <c r="D27" s="39">
        <f>+SUM(D25:D26)</f>
        <v>65</v>
      </c>
      <c r="E27" s="56"/>
      <c r="F27" s="114"/>
      <c r="G27" s="57"/>
      <c r="H27" s="108">
        <f>+IF(H13="Full Service",D26+H26+H25,H26+H25)</f>
        <v>69.018765529999996</v>
      </c>
      <c r="I27" s="3"/>
      <c r="J27" s="133"/>
      <c r="K27" s="3"/>
      <c r="L27" s="20" t="s">
        <v>50</v>
      </c>
      <c r="M27" s="3"/>
      <c r="N27" s="109">
        <f t="shared" ref="N27:W27" si="4">+N26+N25</f>
        <v>39</v>
      </c>
      <c r="O27" s="109">
        <f t="shared" si="4"/>
        <v>40.949999999999996</v>
      </c>
      <c r="P27" s="109">
        <f t="shared" si="4"/>
        <v>42.958500000000001</v>
      </c>
      <c r="Q27" s="109">
        <f>+Q26+Q25</f>
        <v>45.027255000000004</v>
      </c>
      <c r="R27" s="109">
        <f t="shared" si="4"/>
        <v>47.158072649999994</v>
      </c>
      <c r="S27" s="109">
        <f t="shared" si="4"/>
        <v>0</v>
      </c>
      <c r="T27" s="109">
        <f t="shared" si="4"/>
        <v>0</v>
      </c>
      <c r="U27" s="109">
        <f t="shared" si="4"/>
        <v>0</v>
      </c>
      <c r="V27" s="109">
        <f t="shared" si="4"/>
        <v>0</v>
      </c>
      <c r="W27" s="109">
        <f t="shared" si="4"/>
        <v>0</v>
      </c>
    </row>
    <row r="28" spans="2:24" ht="15.75" x14ac:dyDescent="0.25">
      <c r="B28" s="89" t="s">
        <v>24</v>
      </c>
      <c r="C28" s="20"/>
      <c r="D28" s="58">
        <f>+$H12*$H11*12/$H9</f>
        <v>2.88</v>
      </c>
      <c r="E28" s="56"/>
      <c r="F28" s="111">
        <v>0.03</v>
      </c>
      <c r="G28" s="51"/>
      <c r="H28" s="112">
        <f>+SUM(N28:W28)/H10</f>
        <v>3.0580622265599997</v>
      </c>
      <c r="I28" s="3"/>
      <c r="J28" s="133"/>
      <c r="K28" s="3"/>
      <c r="L28" s="20" t="s">
        <v>24</v>
      </c>
      <c r="M28" s="3"/>
      <c r="N28" s="113">
        <f>$D$28*(1+$F$28)^(N22-1)*IF(N22&gt;$H$10,0,1)</f>
        <v>2.88</v>
      </c>
      <c r="O28" s="113">
        <f t="shared" ref="O28:W28" si="5">$D$28*(1+$F$28)^(O22-1)*IF(O22&gt;$H$10,0,1)</f>
        <v>2.9664000000000001</v>
      </c>
      <c r="P28" s="113">
        <f t="shared" si="5"/>
        <v>3.0553919999999999</v>
      </c>
      <c r="Q28" s="113">
        <f t="shared" si="5"/>
        <v>3.1470537599999999</v>
      </c>
      <c r="R28" s="113">
        <f t="shared" si="5"/>
        <v>3.2414653727999996</v>
      </c>
      <c r="S28" s="113">
        <f t="shared" si="5"/>
        <v>0</v>
      </c>
      <c r="T28" s="113">
        <f t="shared" si="5"/>
        <v>0</v>
      </c>
      <c r="U28" s="113">
        <f t="shared" si="5"/>
        <v>0</v>
      </c>
      <c r="V28" s="113">
        <f t="shared" si="5"/>
        <v>0</v>
      </c>
      <c r="W28" s="113">
        <f t="shared" si="5"/>
        <v>0</v>
      </c>
    </row>
    <row r="29" spans="2:24" ht="15.75" x14ac:dyDescent="0.25">
      <c r="B29" s="88" t="s">
        <v>25</v>
      </c>
      <c r="C29" s="20"/>
      <c r="D29" s="56">
        <f>+SUM(D27:D28)</f>
        <v>67.88</v>
      </c>
      <c r="E29" s="56"/>
      <c r="F29" s="57"/>
      <c r="G29" s="57"/>
      <c r="H29" s="108">
        <f>+SUM(H27:H28)</f>
        <v>72.076827756559993</v>
      </c>
      <c r="I29" s="3"/>
      <c r="J29" s="133"/>
      <c r="K29" s="3"/>
      <c r="L29" s="20" t="s">
        <v>51</v>
      </c>
      <c r="M29" s="3"/>
      <c r="N29" s="109">
        <f>+N28+N27</f>
        <v>41.88</v>
      </c>
      <c r="O29" s="109">
        <f t="shared" ref="O29:W29" si="6">+O28+O27</f>
        <v>43.916399999999996</v>
      </c>
      <c r="P29" s="109">
        <f t="shared" si="6"/>
        <v>46.013891999999998</v>
      </c>
      <c r="Q29" s="109">
        <f t="shared" si="6"/>
        <v>48.174308760000002</v>
      </c>
      <c r="R29" s="109">
        <f t="shared" si="6"/>
        <v>50.399538022799995</v>
      </c>
      <c r="S29" s="109">
        <f t="shared" si="6"/>
        <v>0</v>
      </c>
      <c r="T29" s="109">
        <f t="shared" si="6"/>
        <v>0</v>
      </c>
      <c r="U29" s="109">
        <f t="shared" si="6"/>
        <v>0</v>
      </c>
      <c r="V29" s="109">
        <f t="shared" si="6"/>
        <v>0</v>
      </c>
      <c r="W29" s="109">
        <f t="shared" si="6"/>
        <v>0</v>
      </c>
    </row>
    <row r="30" spans="2:24" ht="15.75" x14ac:dyDescent="0.25">
      <c r="B30" s="89"/>
      <c r="C30" s="20"/>
      <c r="D30" s="43"/>
      <c r="E30" s="43"/>
      <c r="F30" s="43"/>
      <c r="G30" s="43"/>
      <c r="H30" s="115"/>
      <c r="I30" s="3"/>
      <c r="J30" s="3"/>
      <c r="K30" s="3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6"/>
    </row>
    <row r="31" spans="2:24" ht="15.75" x14ac:dyDescent="0.25">
      <c r="B31" s="88" t="s">
        <v>26</v>
      </c>
      <c r="C31" s="20"/>
      <c r="D31" s="43"/>
      <c r="E31" s="43"/>
      <c r="F31" s="43"/>
      <c r="G31" s="43"/>
      <c r="H31" s="115"/>
      <c r="I31" s="3"/>
      <c r="J31" s="133"/>
      <c r="L31" s="109" t="s">
        <v>52</v>
      </c>
      <c r="M31" s="109"/>
      <c r="N31" s="109">
        <f>+IF(N29&gt;0,IF($H13="Net",0,$D24),0)</f>
        <v>22</v>
      </c>
      <c r="O31" s="109">
        <f t="shared" ref="O31:W31" si="7">+IF(O29&gt;0,IF($H13="Net",0,$D24),0)</f>
        <v>22</v>
      </c>
      <c r="P31" s="109">
        <f t="shared" si="7"/>
        <v>22</v>
      </c>
      <c r="Q31" s="109">
        <f t="shared" si="7"/>
        <v>22</v>
      </c>
      <c r="R31" s="109">
        <f t="shared" si="7"/>
        <v>22</v>
      </c>
      <c r="S31" s="109">
        <f t="shared" si="7"/>
        <v>0</v>
      </c>
      <c r="T31" s="109">
        <f t="shared" si="7"/>
        <v>0</v>
      </c>
      <c r="U31" s="109">
        <f t="shared" si="7"/>
        <v>0</v>
      </c>
      <c r="V31" s="109">
        <f t="shared" si="7"/>
        <v>0</v>
      </c>
      <c r="W31" s="109">
        <f t="shared" si="7"/>
        <v>0</v>
      </c>
      <c r="X31" s="116"/>
    </row>
    <row r="32" spans="2:24" ht="15.75" x14ac:dyDescent="0.25">
      <c r="B32" s="89" t="s">
        <v>27</v>
      </c>
      <c r="C32" s="20"/>
      <c r="D32" s="43"/>
      <c r="E32" s="43"/>
      <c r="F32" s="43"/>
      <c r="G32" s="43"/>
      <c r="H32" s="117">
        <f>-IF(H13="Net",(D23*H14/12/H10),IF(H13="Gross",(D25*H14/12/H10),IF(H13="Full Service",(D27*H14/12/H10),0)))</f>
        <v>-6.5</v>
      </c>
      <c r="I32" s="3"/>
      <c r="J32" s="133"/>
      <c r="K32" s="3"/>
      <c r="L32" s="109" t="s">
        <v>53</v>
      </c>
      <c r="M32" s="109"/>
      <c r="N32" s="113">
        <f>+IF(N29&gt;0,IF($H13="Full Service",$D26,0),0)</f>
        <v>4</v>
      </c>
      <c r="O32" s="113">
        <f t="shared" ref="O32:W32" si="8">+IF(O29&gt;0,IF($H13="Full Service",$D26,0),0)</f>
        <v>4</v>
      </c>
      <c r="P32" s="113">
        <f t="shared" si="8"/>
        <v>4</v>
      </c>
      <c r="Q32" s="113">
        <f t="shared" si="8"/>
        <v>4</v>
      </c>
      <c r="R32" s="113">
        <f t="shared" si="8"/>
        <v>4</v>
      </c>
      <c r="S32" s="113">
        <f t="shared" si="8"/>
        <v>0</v>
      </c>
      <c r="T32" s="113">
        <f t="shared" si="8"/>
        <v>0</v>
      </c>
      <c r="U32" s="113">
        <f t="shared" si="8"/>
        <v>0</v>
      </c>
      <c r="V32" s="113">
        <f t="shared" si="8"/>
        <v>0</v>
      </c>
      <c r="W32" s="113">
        <f t="shared" si="8"/>
        <v>0</v>
      </c>
      <c r="X32" s="116"/>
    </row>
    <row r="33" spans="2:24" ht="15.75" x14ac:dyDescent="0.25">
      <c r="B33" s="89" t="s">
        <v>28</v>
      </c>
      <c r="C33" s="15"/>
      <c r="D33" s="23"/>
      <c r="E33" s="23"/>
      <c r="F33" s="23"/>
      <c r="G33" s="23"/>
      <c r="H33" s="117">
        <f>H15/H10*-1</f>
        <v>-20</v>
      </c>
      <c r="I33" s="3"/>
      <c r="J33" s="133"/>
      <c r="K33" s="3"/>
      <c r="L33" s="109" t="s">
        <v>54</v>
      </c>
      <c r="M33" s="109"/>
      <c r="N33" s="109">
        <f t="shared" ref="N33:W33" si="9">+SUM(N29:N32)</f>
        <v>67.88</v>
      </c>
      <c r="O33" s="109">
        <f t="shared" si="9"/>
        <v>69.916399999999996</v>
      </c>
      <c r="P33" s="109">
        <f t="shared" si="9"/>
        <v>72.013891999999998</v>
      </c>
      <c r="Q33" s="109">
        <f t="shared" si="9"/>
        <v>74.174308760000002</v>
      </c>
      <c r="R33" s="109">
        <f t="shared" si="9"/>
        <v>76.399538022799987</v>
      </c>
      <c r="S33" s="109">
        <f t="shared" si="9"/>
        <v>0</v>
      </c>
      <c r="T33" s="109">
        <f t="shared" si="9"/>
        <v>0</v>
      </c>
      <c r="U33" s="109">
        <f t="shared" si="9"/>
        <v>0</v>
      </c>
      <c r="V33" s="109">
        <f t="shared" si="9"/>
        <v>0</v>
      </c>
      <c r="W33" s="109">
        <f t="shared" si="9"/>
        <v>0</v>
      </c>
      <c r="X33" s="116"/>
    </row>
    <row r="34" spans="2:24" ht="15.75" x14ac:dyDescent="0.25">
      <c r="B34" s="89" t="s">
        <v>29</v>
      </c>
      <c r="C34" s="15"/>
      <c r="D34" s="15"/>
      <c r="E34" s="15"/>
      <c r="F34" s="15"/>
      <c r="G34" s="15"/>
      <c r="H34" s="117">
        <f>H17/H10*-1</f>
        <v>-2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16"/>
    </row>
    <row r="35" spans="2:24" ht="15.75" x14ac:dyDescent="0.25">
      <c r="B35" s="118" t="s">
        <v>30</v>
      </c>
      <c r="C35" s="68"/>
      <c r="D35" s="68"/>
      <c r="E35" s="68"/>
      <c r="F35" s="68"/>
      <c r="G35" s="68"/>
      <c r="H35" s="119">
        <f>+SUM(H29:H34)</f>
        <v>43.576827756559993</v>
      </c>
      <c r="I35" s="3"/>
      <c r="J35" s="3"/>
      <c r="K35" s="3"/>
      <c r="L35" s="109" t="s">
        <v>55</v>
      </c>
      <c r="M35" s="109"/>
      <c r="N35" s="109">
        <f>+H15</f>
        <v>100</v>
      </c>
      <c r="O35" s="109"/>
      <c r="P35" s="109"/>
      <c r="Q35" s="109"/>
      <c r="R35" s="109"/>
      <c r="S35" s="109"/>
      <c r="T35" s="109"/>
      <c r="U35" s="109"/>
      <c r="V35" s="109"/>
      <c r="W35" s="109"/>
      <c r="X35" s="116"/>
    </row>
    <row r="36" spans="2:24" s="73" customFormat="1" ht="15.75" x14ac:dyDescent="0.25">
      <c r="B36" s="89"/>
      <c r="C36" s="15"/>
      <c r="D36" s="15"/>
      <c r="E36" s="15"/>
      <c r="F36" s="15"/>
      <c r="G36" s="15"/>
      <c r="H36" s="115"/>
      <c r="I36" s="120"/>
      <c r="J36" s="120"/>
      <c r="K36" s="120"/>
      <c r="L36" s="121" t="s">
        <v>56</v>
      </c>
      <c r="M36" s="121"/>
      <c r="N36" s="121">
        <f>-H16</f>
        <v>-50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2"/>
    </row>
    <row r="37" spans="2:24" ht="15.75" x14ac:dyDescent="0.25">
      <c r="B37" s="88" t="s">
        <v>31</v>
      </c>
      <c r="C37" s="15"/>
      <c r="D37" s="15"/>
      <c r="E37" s="15"/>
      <c r="F37" s="15"/>
      <c r="G37" s="15"/>
      <c r="H37" s="115"/>
      <c r="I37" s="3"/>
      <c r="J37" s="3"/>
      <c r="K37" s="3"/>
      <c r="L37" s="109" t="s">
        <v>57</v>
      </c>
      <c r="M37" s="109"/>
      <c r="N37" s="109">
        <f>+H32*H10</f>
        <v>-32.5</v>
      </c>
      <c r="O37" s="109"/>
      <c r="P37" s="109"/>
      <c r="Q37" s="109"/>
      <c r="R37" s="109"/>
      <c r="S37" s="109"/>
      <c r="T37" s="109"/>
      <c r="U37" s="109"/>
      <c r="V37" s="109"/>
      <c r="W37" s="109"/>
      <c r="X37" s="116"/>
    </row>
    <row r="38" spans="2:24" ht="15.75" x14ac:dyDescent="0.25">
      <c r="B38" s="89" t="s">
        <v>32</v>
      </c>
      <c r="C38" s="15"/>
      <c r="D38" s="15"/>
      <c r="E38" s="15"/>
      <c r="F38" s="15"/>
      <c r="G38" s="15"/>
      <c r="H38" s="123">
        <f>+SUM(N40:W40)*H9</f>
        <v>9197103.4695700016</v>
      </c>
      <c r="I38" s="3"/>
      <c r="J38" s="3"/>
      <c r="K38" s="3"/>
      <c r="L38" s="109" t="s">
        <v>58</v>
      </c>
      <c r="M38" s="109"/>
      <c r="N38" s="109">
        <f>+H34*H10</f>
        <v>-10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16"/>
    </row>
    <row r="39" spans="2:24" ht="15.75" x14ac:dyDescent="0.25">
      <c r="B39" s="89" t="s">
        <v>33</v>
      </c>
      <c r="C39" s="15"/>
      <c r="D39" s="15"/>
      <c r="E39" s="15"/>
      <c r="F39" s="15"/>
      <c r="G39" s="15"/>
      <c r="H39" s="123">
        <f>+NPV(H18,N40:W40)*H9</f>
        <v>7335546.5637897216</v>
      </c>
      <c r="I39" s="3"/>
      <c r="J39" s="3"/>
      <c r="K39" s="3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6"/>
    </row>
    <row r="40" spans="2:24" ht="15.75" x14ac:dyDescent="0.25">
      <c r="B40" s="89" t="s">
        <v>34</v>
      </c>
      <c r="C40" s="15"/>
      <c r="D40" s="15"/>
      <c r="E40" s="15"/>
      <c r="F40" s="15"/>
      <c r="G40" s="15"/>
      <c r="H40" s="123">
        <f>+(N35+N36)*H9</f>
        <v>1250000</v>
      </c>
      <c r="I40" s="3"/>
      <c r="J40" s="133"/>
      <c r="K40" s="3"/>
      <c r="L40" s="124" t="s">
        <v>59</v>
      </c>
      <c r="M40" s="124"/>
      <c r="N40" s="125">
        <f>+SUM(N33:N38)</f>
        <v>75.38</v>
      </c>
      <c r="O40" s="125">
        <f t="shared" ref="O40:W40" si="10">+SUM(O33:O38)</f>
        <v>69.916399999999996</v>
      </c>
      <c r="P40" s="125">
        <f t="shared" si="10"/>
        <v>72.013891999999998</v>
      </c>
      <c r="Q40" s="125">
        <f t="shared" si="10"/>
        <v>74.174308760000002</v>
      </c>
      <c r="R40" s="125">
        <f t="shared" si="10"/>
        <v>76.399538022799987</v>
      </c>
      <c r="S40" s="125">
        <f t="shared" si="10"/>
        <v>0</v>
      </c>
      <c r="T40" s="125">
        <f t="shared" si="10"/>
        <v>0</v>
      </c>
      <c r="U40" s="125">
        <f t="shared" si="10"/>
        <v>0</v>
      </c>
      <c r="V40" s="125">
        <f t="shared" si="10"/>
        <v>0</v>
      </c>
      <c r="W40" s="125">
        <f t="shared" si="10"/>
        <v>0</v>
      </c>
      <c r="X40" s="116"/>
    </row>
    <row r="41" spans="2:24" ht="15.75" x14ac:dyDescent="0.25">
      <c r="B41" s="126" t="s">
        <v>35</v>
      </c>
      <c r="C41" s="127"/>
      <c r="D41" s="127"/>
      <c r="E41" s="127"/>
      <c r="F41" s="127"/>
      <c r="G41" s="127"/>
      <c r="H41" s="128">
        <f>+IF(H13="Net",N42*H9,IF(H13="Gross",N43*H9,N44*H9))</f>
        <v>1834969.1382499998</v>
      </c>
      <c r="I41" s="3"/>
      <c r="J41" s="3"/>
      <c r="K41" s="3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16"/>
    </row>
    <row r="42" spans="2:24" ht="21" customHeight="1" x14ac:dyDescent="0.25">
      <c r="B42" s="136"/>
      <c r="C42" s="136"/>
      <c r="D42" s="136"/>
      <c r="E42" s="136"/>
      <c r="F42" s="136"/>
      <c r="G42" s="136"/>
      <c r="H42" s="136"/>
      <c r="I42" s="3"/>
      <c r="J42" s="3"/>
      <c r="K42" s="3"/>
      <c r="L42" s="124" t="s">
        <v>60</v>
      </c>
      <c r="M42" s="124"/>
      <c r="N42" s="129" t="str">
        <f>+IF(H13="Net",(SUM(N23:W23)+N37)/H10+N24+N26+N28+(N35+N36+N38)/H10,"N/A")</f>
        <v>N/A</v>
      </c>
      <c r="O42" s="109"/>
      <c r="P42" s="109"/>
      <c r="Q42" s="109"/>
      <c r="R42" s="109"/>
      <c r="S42" s="109"/>
      <c r="T42" s="109"/>
      <c r="U42" s="109"/>
      <c r="V42" s="109"/>
      <c r="W42" s="109"/>
      <c r="X42" s="116"/>
    </row>
    <row r="43" spans="2:24" ht="15.75" x14ac:dyDescent="0.25">
      <c r="I43" s="3"/>
      <c r="J43" s="3"/>
      <c r="K43" s="3"/>
      <c r="L43" s="124" t="s">
        <v>61</v>
      </c>
      <c r="M43" s="124"/>
      <c r="N43" s="129" t="str">
        <f>+IF(H13="Gross",(SUM(N25:W25)+N37+D24*H10)/H10+N26+N28+(N35+N36+N38)/H10,"N/A")</f>
        <v>N/A</v>
      </c>
      <c r="O43" s="109"/>
      <c r="P43" s="109"/>
      <c r="Q43" s="109"/>
      <c r="R43" s="109"/>
      <c r="S43" s="109"/>
      <c r="T43" s="109"/>
      <c r="U43" s="109"/>
      <c r="V43" s="109"/>
      <c r="W43" s="109"/>
      <c r="X43" s="116"/>
    </row>
    <row r="44" spans="2:24" ht="15.75" x14ac:dyDescent="0.25">
      <c r="I44" s="3"/>
      <c r="J44" s="3"/>
      <c r="K44" s="3"/>
      <c r="L44" s="124" t="s">
        <v>62</v>
      </c>
      <c r="M44" s="124"/>
      <c r="N44" s="129">
        <f>+IF(H13="Full Service",(SUM(N27:W27)+N37+(D26+D24)*H10)/H10+N28+(N35+N36+N38)/H10,"N/A")</f>
        <v>73.398765529999991</v>
      </c>
      <c r="O44" s="109"/>
      <c r="P44" s="109"/>
      <c r="Q44" s="109"/>
      <c r="R44" s="109"/>
      <c r="S44" s="109"/>
      <c r="T44" s="109"/>
      <c r="U44" s="109"/>
      <c r="V44" s="109"/>
      <c r="W44" s="109"/>
      <c r="X44" s="116"/>
    </row>
    <row r="45" spans="2:24" ht="15.75" x14ac:dyDescent="0.25">
      <c r="I45" s="3"/>
      <c r="J45" s="3"/>
      <c r="K45" s="3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</sheetData>
  <mergeCells count="4">
    <mergeCell ref="B2:H2"/>
    <mergeCell ref="B3:H3"/>
    <mergeCell ref="N21:W21"/>
    <mergeCell ref="B42:H42"/>
  </mergeCells>
  <dataValidations count="1">
    <dataValidation type="list" allowBlank="1" showInputMessage="1" showErrorMessage="1" errorTitle="Lease Type" error="Please select one of the three specified Lease Types." sqref="H13">
      <formula1>Type</formula1>
    </dataValidation>
  </dataValidations>
  <printOptions horizontalCentered="1" verticalCentered="1"/>
  <pageMargins left="0.5" right="0.5" top="0.24" bottom="0.2" header="0.22" footer="0.17"/>
  <pageSetup orientation="portrait" verticalDpi="12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#1 Analysis'!N23:W23</xm:f>
              <xm:sqref>J23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#1 Analysis'!N24:W24</xm:f>
              <xm:sqref>J24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#1 Analysis'!N25:W25</xm:f>
              <xm:sqref>J25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#1 Analysis'!N26:W26</xm:f>
              <xm:sqref>J26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#1 Analysis'!N27:W27</xm:f>
              <xm:sqref>J27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#1 Analysis'!N28:W28</xm:f>
              <xm:sqref>J28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#1 Analysis'!N29:W29</xm:f>
              <xm:sqref>J29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#1 Analysis'!N31:W31</xm:f>
              <xm:sqref>J31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#1 Analysis'!N32:W32</xm:f>
              <xm:sqref>J32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#1 Analysis'!N33:W33</xm:f>
              <xm:sqref>J33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#1 Analysis'!N40:W40</xm:f>
              <xm:sqref>J40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5"/>
  <sheetViews>
    <sheetView showGridLines="0" zoomScaleNormal="100" workbookViewId="0"/>
  </sheetViews>
  <sheetFormatPr defaultColWidth="7.109375" defaultRowHeight="12.75" x14ac:dyDescent="0.2"/>
  <cols>
    <col min="1" max="1" width="4.44140625" style="4" customWidth="1"/>
    <col min="2" max="2" width="24.44140625" style="4" customWidth="1"/>
    <col min="3" max="3" width="12.33203125" style="4" customWidth="1"/>
    <col min="4" max="4" width="10.6640625" style="46" customWidth="1"/>
    <col min="5" max="5" width="2.109375" style="46" customWidth="1"/>
    <col min="6" max="6" width="10.6640625" style="46" customWidth="1"/>
    <col min="7" max="7" width="2.109375" style="46" customWidth="1"/>
    <col min="8" max="8" width="10.6640625" style="4" customWidth="1"/>
    <col min="9" max="9" width="2" style="4" customWidth="1"/>
    <col min="10" max="10" width="8.77734375" style="4" customWidth="1"/>
    <col min="11" max="11" width="1.77734375" style="4" customWidth="1"/>
    <col min="12" max="12" width="11.109375" style="4" customWidth="1"/>
    <col min="13" max="16384" width="7.109375" style="4"/>
  </cols>
  <sheetData>
    <row r="1" spans="2:12" x14ac:dyDescent="0.2">
      <c r="B1" s="2"/>
      <c r="C1" s="2"/>
      <c r="D1" s="2"/>
      <c r="E1" s="2"/>
      <c r="F1" s="2"/>
      <c r="G1" s="2"/>
      <c r="H1" s="2"/>
    </row>
    <row r="2" spans="2:12" ht="15.75" x14ac:dyDescent="0.25">
      <c r="B2" s="140" t="s">
        <v>68</v>
      </c>
      <c r="C2" s="140"/>
      <c r="D2" s="140"/>
      <c r="E2" s="140"/>
      <c r="F2" s="140"/>
      <c r="G2" s="140"/>
      <c r="H2" s="140"/>
    </row>
    <row r="3" spans="2:12" ht="15.75" x14ac:dyDescent="0.25">
      <c r="B3" s="137" t="s">
        <v>63</v>
      </c>
      <c r="C3" s="137"/>
      <c r="D3" s="137"/>
      <c r="E3" s="137"/>
      <c r="F3" s="137"/>
      <c r="G3" s="137"/>
      <c r="H3" s="137"/>
    </row>
    <row r="4" spans="2:12" ht="15.75" x14ac:dyDescent="0.25">
      <c r="B4" s="78" t="s">
        <v>37</v>
      </c>
      <c r="C4" s="79">
        <f ca="1">TODAY()</f>
        <v>41172</v>
      </c>
      <c r="D4" s="80"/>
      <c r="E4" s="80"/>
      <c r="F4" s="80"/>
      <c r="G4" s="80"/>
      <c r="H4" s="81" t="s">
        <v>38</v>
      </c>
      <c r="I4" s="3"/>
      <c r="J4" s="3"/>
      <c r="K4" s="3"/>
    </row>
    <row r="5" spans="2:12" ht="15.75" x14ac:dyDescent="0.25">
      <c r="B5" s="82" t="s">
        <v>0</v>
      </c>
      <c r="C5" s="83" t="s">
        <v>64</v>
      </c>
      <c r="D5" s="14"/>
      <c r="E5" s="14"/>
      <c r="F5" s="14"/>
      <c r="G5" s="14"/>
      <c r="H5" s="84"/>
      <c r="I5" s="3"/>
      <c r="J5" s="3"/>
      <c r="K5" s="3"/>
    </row>
    <row r="6" spans="2:12" ht="15.75" x14ac:dyDescent="0.25">
      <c r="B6" s="82" t="s">
        <v>1</v>
      </c>
      <c r="C6" s="83">
        <v>1400</v>
      </c>
      <c r="D6" s="14"/>
      <c r="E6" s="14"/>
      <c r="F6" s="14"/>
      <c r="G6" s="14"/>
      <c r="H6" s="84"/>
      <c r="I6" s="3"/>
      <c r="J6" s="3"/>
      <c r="K6" s="3"/>
    </row>
    <row r="7" spans="2:12" ht="15.75" x14ac:dyDescent="0.25">
      <c r="B7" s="85"/>
      <c r="C7" s="86"/>
      <c r="D7" s="8"/>
      <c r="E7" s="8"/>
      <c r="F7" s="8"/>
      <c r="G7" s="8"/>
      <c r="H7" s="87"/>
      <c r="I7" s="17"/>
      <c r="J7" s="17"/>
      <c r="K7" s="17"/>
    </row>
    <row r="8" spans="2:12" ht="15.75" x14ac:dyDescent="0.25">
      <c r="B8" s="88" t="s">
        <v>2</v>
      </c>
      <c r="C8" s="86"/>
      <c r="D8" s="8"/>
      <c r="E8" s="8"/>
      <c r="F8" s="8"/>
      <c r="G8" s="8"/>
      <c r="H8" s="87"/>
      <c r="I8" s="17"/>
      <c r="J8" s="17"/>
      <c r="K8" s="17"/>
    </row>
    <row r="9" spans="2:12" ht="15.75" x14ac:dyDescent="0.25">
      <c r="B9" s="89" t="s">
        <v>3</v>
      </c>
      <c r="C9" s="20"/>
      <c r="D9" s="8"/>
      <c r="E9" s="8"/>
      <c r="F9" s="8"/>
      <c r="G9" s="8"/>
      <c r="H9" s="90">
        <v>25000</v>
      </c>
      <c r="I9" s="3"/>
      <c r="J9" s="3"/>
      <c r="K9" s="3"/>
    </row>
    <row r="10" spans="2:12" ht="15.75" x14ac:dyDescent="0.25">
      <c r="B10" s="89" t="s">
        <v>4</v>
      </c>
      <c r="C10" s="20"/>
      <c r="D10" s="23"/>
      <c r="E10" s="23"/>
      <c r="F10" s="24"/>
      <c r="G10" s="24"/>
      <c r="H10" s="91">
        <v>7</v>
      </c>
      <c r="I10" s="3"/>
      <c r="J10" s="3"/>
      <c r="K10" s="3"/>
      <c r="L10" s="92"/>
    </row>
    <row r="11" spans="2:12" ht="15.75" x14ac:dyDescent="0.25">
      <c r="B11" s="89" t="s">
        <v>40</v>
      </c>
      <c r="C11" s="20"/>
      <c r="D11" s="23"/>
      <c r="E11" s="23"/>
      <c r="F11" s="27">
        <v>1</v>
      </c>
      <c r="G11" s="27"/>
      <c r="H11" s="93">
        <f>H9/1000*F11</f>
        <v>25</v>
      </c>
      <c r="I11" s="3"/>
      <c r="J11" s="3"/>
      <c r="K11" s="3"/>
      <c r="L11" s="92"/>
    </row>
    <row r="12" spans="2:12" ht="15.75" x14ac:dyDescent="0.25">
      <c r="B12" s="89" t="s">
        <v>6</v>
      </c>
      <c r="C12" s="20"/>
      <c r="D12" s="8"/>
      <c r="E12" s="8"/>
      <c r="F12" s="8"/>
      <c r="G12" s="8"/>
      <c r="H12" s="94">
        <v>250</v>
      </c>
      <c r="I12" s="3"/>
      <c r="J12" s="3"/>
      <c r="K12" s="3"/>
      <c r="L12" s="95" t="s">
        <v>41</v>
      </c>
    </row>
    <row r="13" spans="2:12" ht="15.75" x14ac:dyDescent="0.25">
      <c r="B13" s="96" t="s">
        <v>7</v>
      </c>
      <c r="C13" s="34"/>
      <c r="D13" s="35"/>
      <c r="E13" s="35"/>
      <c r="F13" s="35"/>
      <c r="G13" s="35"/>
      <c r="H13" s="97" t="s">
        <v>43</v>
      </c>
      <c r="I13" s="3"/>
      <c r="J13" s="3"/>
      <c r="K13" s="3"/>
      <c r="L13" s="98" t="s">
        <v>43</v>
      </c>
    </row>
    <row r="14" spans="2:12" ht="15.75" x14ac:dyDescent="0.25">
      <c r="B14" s="96" t="s">
        <v>8</v>
      </c>
      <c r="C14" s="34"/>
      <c r="D14" s="35"/>
      <c r="E14" s="35"/>
      <c r="F14" s="35"/>
      <c r="G14" s="35"/>
      <c r="H14" s="99">
        <v>9</v>
      </c>
      <c r="I14" s="3"/>
      <c r="J14" s="3"/>
      <c r="K14" s="3"/>
      <c r="L14" s="100" t="s">
        <v>44</v>
      </c>
    </row>
    <row r="15" spans="2:12" ht="15.75" x14ac:dyDescent="0.25">
      <c r="B15" s="96" t="s">
        <v>9</v>
      </c>
      <c r="C15" s="34"/>
      <c r="D15" s="35"/>
      <c r="E15" s="35"/>
      <c r="F15" s="35"/>
      <c r="G15" s="35"/>
      <c r="H15" s="101">
        <v>85</v>
      </c>
      <c r="I15" s="3"/>
      <c r="J15" s="3"/>
      <c r="K15" s="3"/>
      <c r="L15" s="102" t="s">
        <v>42</v>
      </c>
    </row>
    <row r="16" spans="2:12" ht="15.75" x14ac:dyDescent="0.25">
      <c r="B16" s="96" t="s">
        <v>10</v>
      </c>
      <c r="C16" s="34"/>
      <c r="D16" s="35"/>
      <c r="E16" s="35"/>
      <c r="F16" s="35"/>
      <c r="G16" s="35"/>
      <c r="H16" s="101">
        <v>45</v>
      </c>
      <c r="I16" s="3"/>
      <c r="J16" s="3"/>
      <c r="K16" s="3"/>
    </row>
    <row r="17" spans="2:24" ht="15.75" x14ac:dyDescent="0.25">
      <c r="B17" s="96" t="s">
        <v>11</v>
      </c>
      <c r="C17" s="34"/>
      <c r="D17" s="35"/>
      <c r="E17" s="35"/>
      <c r="F17" s="35"/>
      <c r="G17" s="35"/>
      <c r="H17" s="101">
        <v>15</v>
      </c>
      <c r="I17" s="3"/>
      <c r="J17" s="3"/>
      <c r="K17" s="3"/>
    </row>
    <row r="18" spans="2:24" ht="15.75" x14ac:dyDescent="0.25">
      <c r="B18" s="96" t="s">
        <v>12</v>
      </c>
      <c r="C18" s="34"/>
      <c r="D18" s="35"/>
      <c r="E18" s="35"/>
      <c r="F18" s="35"/>
      <c r="G18" s="35"/>
      <c r="H18" s="132">
        <f>'Comparative Lease Analysis'!$C$19</f>
        <v>0.08</v>
      </c>
      <c r="I18" s="3"/>
      <c r="J18" s="3"/>
      <c r="K18" s="3"/>
    </row>
    <row r="19" spans="2:24" ht="15.75" x14ac:dyDescent="0.25">
      <c r="B19" s="96"/>
      <c r="C19" s="34"/>
      <c r="D19" s="35"/>
      <c r="E19" s="35"/>
      <c r="F19" s="35"/>
      <c r="G19" s="35"/>
      <c r="H19" s="101"/>
      <c r="I19" s="3"/>
      <c r="J19" s="3"/>
      <c r="K19" s="3"/>
    </row>
    <row r="20" spans="2:24" ht="15.75" x14ac:dyDescent="0.25">
      <c r="B20" s="96"/>
      <c r="C20" s="34"/>
      <c r="D20" s="45"/>
      <c r="E20" s="45"/>
      <c r="F20" s="45"/>
      <c r="G20" s="45"/>
      <c r="H20" s="103" t="s">
        <v>13</v>
      </c>
      <c r="I20" s="3"/>
      <c r="J20" s="3"/>
      <c r="K20" s="3"/>
    </row>
    <row r="21" spans="2:24" ht="15.75" x14ac:dyDescent="0.25">
      <c r="B21" s="88" t="s">
        <v>14</v>
      </c>
      <c r="C21" s="34"/>
      <c r="D21" s="45" t="s">
        <v>15</v>
      </c>
      <c r="E21" s="45"/>
      <c r="F21" s="45" t="s">
        <v>16</v>
      </c>
      <c r="G21" s="45"/>
      <c r="H21" s="103" t="s">
        <v>16</v>
      </c>
      <c r="I21" s="3"/>
      <c r="J21" s="130" t="s">
        <v>70</v>
      </c>
      <c r="K21" s="3"/>
      <c r="L21" s="3"/>
      <c r="M21" s="3"/>
      <c r="N21" s="140" t="s">
        <v>45</v>
      </c>
      <c r="O21" s="140"/>
      <c r="P21" s="140"/>
      <c r="Q21" s="140"/>
      <c r="R21" s="140"/>
      <c r="S21" s="140"/>
      <c r="T21" s="140"/>
      <c r="U21" s="140"/>
      <c r="V21" s="140"/>
      <c r="W21" s="140"/>
    </row>
    <row r="22" spans="2:24" ht="15.75" x14ac:dyDescent="0.25">
      <c r="B22" s="88"/>
      <c r="C22" s="34"/>
      <c r="D22" s="104" t="s">
        <v>17</v>
      </c>
      <c r="E22" s="45"/>
      <c r="F22" s="104" t="s">
        <v>18</v>
      </c>
      <c r="G22" s="45"/>
      <c r="H22" s="105" t="s">
        <v>17</v>
      </c>
      <c r="I22" s="3"/>
      <c r="J22" s="130" t="s">
        <v>69</v>
      </c>
      <c r="K22" s="3"/>
      <c r="L22" s="3"/>
      <c r="M22" s="3"/>
      <c r="N22" s="106">
        <v>1</v>
      </c>
      <c r="O22" s="106">
        <v>2</v>
      </c>
      <c r="P22" s="106">
        <v>3</v>
      </c>
      <c r="Q22" s="106">
        <v>4</v>
      </c>
      <c r="R22" s="106">
        <v>5</v>
      </c>
      <c r="S22" s="106">
        <v>6</v>
      </c>
      <c r="T22" s="106">
        <v>7</v>
      </c>
      <c r="U22" s="106">
        <v>8</v>
      </c>
      <c r="V22" s="106">
        <v>9</v>
      </c>
      <c r="W22" s="106">
        <v>10</v>
      </c>
    </row>
    <row r="23" spans="2:24" ht="15.75" x14ac:dyDescent="0.25">
      <c r="B23" s="89" t="s">
        <v>19</v>
      </c>
      <c r="C23" s="34"/>
      <c r="D23" s="43">
        <v>42</v>
      </c>
      <c r="E23" s="43"/>
      <c r="F23" s="107">
        <v>2.5000000000000001E-2</v>
      </c>
      <c r="G23" s="51"/>
      <c r="H23" s="108">
        <f>+SUM(N23:W23)/H10</f>
        <v>45.284580880371095</v>
      </c>
      <c r="I23" s="3"/>
      <c r="J23" s="133"/>
      <c r="K23" s="3"/>
      <c r="L23" s="20" t="s">
        <v>46</v>
      </c>
      <c r="M23" s="3"/>
      <c r="N23" s="109">
        <f>$D$23*(1+$F$23)^(N22-1)*IF(N22&gt;$H$10,0,1)</f>
        <v>42</v>
      </c>
      <c r="O23" s="109">
        <f t="shared" ref="O23:W23" si="0">$D$23*(1+$F$23)^(O22-1)*IF(O22&gt;$H$10,0,1)</f>
        <v>43.05</v>
      </c>
      <c r="P23" s="109">
        <f t="shared" si="0"/>
        <v>44.126249999999999</v>
      </c>
      <c r="Q23" s="109">
        <f t="shared" si="0"/>
        <v>45.229406249999997</v>
      </c>
      <c r="R23" s="109">
        <f t="shared" si="0"/>
        <v>46.360141406249987</v>
      </c>
      <c r="S23" s="109">
        <f t="shared" si="0"/>
        <v>47.519144941406239</v>
      </c>
      <c r="T23" s="109">
        <f t="shared" si="0"/>
        <v>48.707123564941391</v>
      </c>
      <c r="U23" s="109">
        <f t="shared" si="0"/>
        <v>0</v>
      </c>
      <c r="V23" s="109">
        <f t="shared" si="0"/>
        <v>0</v>
      </c>
      <c r="W23" s="109">
        <f t="shared" si="0"/>
        <v>0</v>
      </c>
    </row>
    <row r="24" spans="2:24" ht="15.75" x14ac:dyDescent="0.25">
      <c r="B24" s="89" t="s">
        <v>20</v>
      </c>
      <c r="C24" s="34"/>
      <c r="D24" s="110">
        <v>20</v>
      </c>
      <c r="E24" s="43"/>
      <c r="F24" s="111">
        <v>2.5000000000000001E-2</v>
      </c>
      <c r="G24" s="51"/>
      <c r="H24" s="112">
        <f>+SUM(N24:W24)/H10</f>
        <v>21.564086133510045</v>
      </c>
      <c r="I24" s="3"/>
      <c r="J24" s="133"/>
      <c r="K24" s="3"/>
      <c r="L24" s="20" t="s">
        <v>47</v>
      </c>
      <c r="M24" s="3"/>
      <c r="N24" s="113">
        <f>IF($H$13="Net",$D$24*(1+$F$24)^(N22-1)*IF(N22&gt;$H$10,0,1),(($D$24*(1+$F$24)^(N22-1))-$D$24)*IF(N22&gt;$H$10,0,1))</f>
        <v>20</v>
      </c>
      <c r="O24" s="113">
        <f t="shared" ref="O24:W24" si="1">IF($H$13="Net",$D$24*(1+$F$24)^(O22-1)*IF(O22&gt;$H$10,0,1),(($D$24*(1+$F$24)^(O22-1))-$D$24)*IF(O22&gt;$H$10,0,1))</f>
        <v>20.5</v>
      </c>
      <c r="P24" s="113">
        <f t="shared" si="1"/>
        <v>21.012499999999999</v>
      </c>
      <c r="Q24" s="113">
        <f t="shared" si="1"/>
        <v>21.537812499999998</v>
      </c>
      <c r="R24" s="113">
        <f t="shared" si="1"/>
        <v>22.076257812499996</v>
      </c>
      <c r="S24" s="113">
        <f t="shared" si="1"/>
        <v>22.628164257812493</v>
      </c>
      <c r="T24" s="113">
        <f t="shared" si="1"/>
        <v>23.193868364257803</v>
      </c>
      <c r="U24" s="113">
        <f t="shared" si="1"/>
        <v>0</v>
      </c>
      <c r="V24" s="113">
        <f t="shared" si="1"/>
        <v>0</v>
      </c>
      <c r="W24" s="113">
        <f t="shared" si="1"/>
        <v>0</v>
      </c>
    </row>
    <row r="25" spans="2:24" ht="15.75" x14ac:dyDescent="0.25">
      <c r="B25" s="89" t="s">
        <v>21</v>
      </c>
      <c r="C25" s="20"/>
      <c r="D25" s="39">
        <f>+SUM(D23:D24)</f>
        <v>62</v>
      </c>
      <c r="E25" s="56"/>
      <c r="F25" s="114"/>
      <c r="G25" s="57"/>
      <c r="H25" s="108">
        <f>+IF(H13="Net",H24+H23,H24+H23+D24)</f>
        <v>66.848667013881141</v>
      </c>
      <c r="I25" s="3"/>
      <c r="J25" s="133"/>
      <c r="K25" s="3"/>
      <c r="L25" s="20" t="s">
        <v>48</v>
      </c>
      <c r="M25" s="3"/>
      <c r="N25" s="109">
        <f>+N24+N23</f>
        <v>62</v>
      </c>
      <c r="O25" s="109">
        <f>+O24+O23</f>
        <v>63.55</v>
      </c>
      <c r="P25" s="109">
        <f t="shared" ref="P25:W25" si="2">+P24+P23</f>
        <v>65.138750000000002</v>
      </c>
      <c r="Q25" s="109">
        <f t="shared" si="2"/>
        <v>66.767218749999998</v>
      </c>
      <c r="R25" s="109">
        <f t="shared" si="2"/>
        <v>68.436399218749983</v>
      </c>
      <c r="S25" s="109">
        <f t="shared" si="2"/>
        <v>70.147309199218739</v>
      </c>
      <c r="T25" s="109">
        <f t="shared" si="2"/>
        <v>71.900991929199193</v>
      </c>
      <c r="U25" s="109">
        <f t="shared" si="2"/>
        <v>0</v>
      </c>
      <c r="V25" s="109">
        <f t="shared" si="2"/>
        <v>0</v>
      </c>
      <c r="W25" s="109">
        <f t="shared" si="2"/>
        <v>0</v>
      </c>
    </row>
    <row r="26" spans="2:24" ht="15.75" x14ac:dyDescent="0.25">
      <c r="B26" s="89" t="s">
        <v>22</v>
      </c>
      <c r="C26" s="34"/>
      <c r="D26" s="110">
        <v>5</v>
      </c>
      <c r="E26" s="43"/>
      <c r="F26" s="111">
        <v>2.75E-2</v>
      </c>
      <c r="G26" s="51"/>
      <c r="H26" s="112">
        <f>+SUM(N26:W26)/H10</f>
        <v>5.4319348295330583</v>
      </c>
      <c r="I26" s="3"/>
      <c r="J26" s="133"/>
      <c r="K26" s="3"/>
      <c r="L26" s="20" t="s">
        <v>49</v>
      </c>
      <c r="M26" s="3"/>
      <c r="N26" s="113">
        <f>IF($H$13="Net",$D$26*(1+$F$26)^(N22-1)*IF(N22&gt;$H$10,0,1),(($D$26*(1+$F$26)^(N22-1))-$D$26)*IF(N22&gt;$H$10,0,1))</f>
        <v>5</v>
      </c>
      <c r="O26" s="113">
        <f t="shared" ref="O26:W26" si="3">IF($H$13="Net",$D$26*(1+$F$26)^(O22-1)*IF(O22&gt;$H$10,0,1),(($D$26*(1+$F$26)^(O22-1))-$D$26)*IF(O22&gt;$H$10,0,1))</f>
        <v>5.1375000000000002</v>
      </c>
      <c r="P26" s="113">
        <f t="shared" si="3"/>
        <v>5.2787812500000006</v>
      </c>
      <c r="Q26" s="113">
        <f t="shared" si="3"/>
        <v>5.4239477343750009</v>
      </c>
      <c r="R26" s="113">
        <f t="shared" si="3"/>
        <v>5.5731062970703142</v>
      </c>
      <c r="S26" s="113">
        <f t="shared" si="3"/>
        <v>5.7263667202397484</v>
      </c>
      <c r="T26" s="113">
        <f t="shared" si="3"/>
        <v>5.883841805046341</v>
      </c>
      <c r="U26" s="113">
        <f t="shared" si="3"/>
        <v>0</v>
      </c>
      <c r="V26" s="113">
        <f t="shared" si="3"/>
        <v>0</v>
      </c>
      <c r="W26" s="113">
        <f t="shared" si="3"/>
        <v>0</v>
      </c>
    </row>
    <row r="27" spans="2:24" ht="15.75" x14ac:dyDescent="0.25">
      <c r="B27" s="89" t="s">
        <v>23</v>
      </c>
      <c r="C27" s="20"/>
      <c r="D27" s="39">
        <f>+SUM(D25:D26)</f>
        <v>67</v>
      </c>
      <c r="E27" s="56"/>
      <c r="F27" s="114"/>
      <c r="G27" s="57"/>
      <c r="H27" s="108">
        <f>+IF(H13="Full Service",D26+H26+H25,H26+H25)</f>
        <v>72.280601843414203</v>
      </c>
      <c r="I27" s="3"/>
      <c r="J27" s="133"/>
      <c r="K27" s="3"/>
      <c r="L27" s="20" t="s">
        <v>50</v>
      </c>
      <c r="M27" s="3"/>
      <c r="N27" s="109">
        <f t="shared" ref="N27:W27" si="4">+N26+N25</f>
        <v>67</v>
      </c>
      <c r="O27" s="109">
        <f t="shared" si="4"/>
        <v>68.6875</v>
      </c>
      <c r="P27" s="109">
        <f t="shared" si="4"/>
        <v>70.417531249999996</v>
      </c>
      <c r="Q27" s="109">
        <f>+Q26+Q25</f>
        <v>72.191166484375003</v>
      </c>
      <c r="R27" s="109">
        <f t="shared" si="4"/>
        <v>74.009505515820294</v>
      </c>
      <c r="S27" s="109">
        <f t="shared" si="4"/>
        <v>75.873675919458492</v>
      </c>
      <c r="T27" s="109">
        <f t="shared" si="4"/>
        <v>77.784833734245538</v>
      </c>
      <c r="U27" s="109">
        <f t="shared" si="4"/>
        <v>0</v>
      </c>
      <c r="V27" s="109">
        <f t="shared" si="4"/>
        <v>0</v>
      </c>
      <c r="W27" s="109">
        <f t="shared" si="4"/>
        <v>0</v>
      </c>
    </row>
    <row r="28" spans="2:24" ht="15.75" x14ac:dyDescent="0.25">
      <c r="B28" s="89" t="s">
        <v>24</v>
      </c>
      <c r="C28" s="20"/>
      <c r="D28" s="58">
        <f>+$H12*$H11*12/$H9</f>
        <v>3</v>
      </c>
      <c r="E28" s="56"/>
      <c r="F28" s="111">
        <v>2.75E-2</v>
      </c>
      <c r="G28" s="51"/>
      <c r="H28" s="112">
        <f>+SUM(N28:W28)/H10</f>
        <v>3.2591608977198345</v>
      </c>
      <c r="I28" s="3"/>
      <c r="J28" s="133"/>
      <c r="K28" s="3"/>
      <c r="L28" s="20" t="s">
        <v>24</v>
      </c>
      <c r="M28" s="3"/>
      <c r="N28" s="113">
        <f>$D$28*(1+$F$28)^(N22-1)*IF(N22&gt;$H$10,0,1)</f>
        <v>3</v>
      </c>
      <c r="O28" s="113">
        <f t="shared" ref="O28:W28" si="5">$D$28*(1+$F$28)^(O22-1)*IF(O22&gt;$H$10,0,1)</f>
        <v>3.0825000000000005</v>
      </c>
      <c r="P28" s="113">
        <f t="shared" si="5"/>
        <v>3.1672687500000007</v>
      </c>
      <c r="Q28" s="113">
        <f t="shared" si="5"/>
        <v>3.2543686406250005</v>
      </c>
      <c r="R28" s="113">
        <f t="shared" si="5"/>
        <v>3.3438637782421883</v>
      </c>
      <c r="S28" s="113">
        <f t="shared" si="5"/>
        <v>3.435820032143849</v>
      </c>
      <c r="T28" s="113">
        <f t="shared" si="5"/>
        <v>3.5303050830278049</v>
      </c>
      <c r="U28" s="113">
        <f t="shared" si="5"/>
        <v>0</v>
      </c>
      <c r="V28" s="113">
        <f t="shared" si="5"/>
        <v>0</v>
      </c>
      <c r="W28" s="113">
        <f t="shared" si="5"/>
        <v>0</v>
      </c>
    </row>
    <row r="29" spans="2:24" ht="15.75" x14ac:dyDescent="0.25">
      <c r="B29" s="88" t="s">
        <v>25</v>
      </c>
      <c r="C29" s="20"/>
      <c r="D29" s="56">
        <f>+SUM(D27:D28)</f>
        <v>70</v>
      </c>
      <c r="E29" s="56"/>
      <c r="F29" s="57"/>
      <c r="G29" s="57"/>
      <c r="H29" s="108">
        <f>+SUM(H27:H28)</f>
        <v>75.539762741134041</v>
      </c>
      <c r="I29" s="3"/>
      <c r="J29" s="133"/>
      <c r="K29" s="3"/>
      <c r="L29" s="20" t="s">
        <v>51</v>
      </c>
      <c r="M29" s="3"/>
      <c r="N29" s="109">
        <f>+N28+N27</f>
        <v>70</v>
      </c>
      <c r="O29" s="109">
        <f t="shared" ref="O29:W29" si="6">+O28+O27</f>
        <v>71.77</v>
      </c>
      <c r="P29" s="109">
        <f t="shared" si="6"/>
        <v>73.584800000000001</v>
      </c>
      <c r="Q29" s="109">
        <f t="shared" si="6"/>
        <v>75.445535125000006</v>
      </c>
      <c r="R29" s="109">
        <f t="shared" si="6"/>
        <v>77.353369294062489</v>
      </c>
      <c r="S29" s="109">
        <f t="shared" si="6"/>
        <v>79.309495951602344</v>
      </c>
      <c r="T29" s="109">
        <f t="shared" si="6"/>
        <v>81.315138817273336</v>
      </c>
      <c r="U29" s="109">
        <f t="shared" si="6"/>
        <v>0</v>
      </c>
      <c r="V29" s="109">
        <f t="shared" si="6"/>
        <v>0</v>
      </c>
      <c r="W29" s="109">
        <f t="shared" si="6"/>
        <v>0</v>
      </c>
    </row>
    <row r="30" spans="2:24" ht="15.75" x14ac:dyDescent="0.25">
      <c r="B30" s="89"/>
      <c r="C30" s="20"/>
      <c r="D30" s="43"/>
      <c r="E30" s="43"/>
      <c r="F30" s="43"/>
      <c r="G30" s="43"/>
      <c r="H30" s="115"/>
      <c r="I30" s="3"/>
      <c r="J30" s="3"/>
      <c r="K30" s="3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6"/>
    </row>
    <row r="31" spans="2:24" ht="15.75" x14ac:dyDescent="0.25">
      <c r="B31" s="88" t="s">
        <v>26</v>
      </c>
      <c r="C31" s="20"/>
      <c r="D31" s="43"/>
      <c r="E31" s="43"/>
      <c r="F31" s="43"/>
      <c r="G31" s="43"/>
      <c r="H31" s="115"/>
      <c r="I31" s="3"/>
      <c r="J31" s="133"/>
      <c r="L31" s="109" t="s">
        <v>52</v>
      </c>
      <c r="M31" s="109"/>
      <c r="N31" s="109">
        <f>+IF(N29&gt;0,IF($H13="Net",0,$D24),0)</f>
        <v>0</v>
      </c>
      <c r="O31" s="109">
        <f t="shared" ref="O31:W31" si="7">+IF(O29&gt;0,IF($H13="Net",0,$D24),0)</f>
        <v>0</v>
      </c>
      <c r="P31" s="109">
        <f t="shared" si="7"/>
        <v>0</v>
      </c>
      <c r="Q31" s="109">
        <f t="shared" si="7"/>
        <v>0</v>
      </c>
      <c r="R31" s="109">
        <f t="shared" si="7"/>
        <v>0</v>
      </c>
      <c r="S31" s="109">
        <f t="shared" si="7"/>
        <v>0</v>
      </c>
      <c r="T31" s="109">
        <f t="shared" si="7"/>
        <v>0</v>
      </c>
      <c r="U31" s="109">
        <f t="shared" si="7"/>
        <v>0</v>
      </c>
      <c r="V31" s="109">
        <f t="shared" si="7"/>
        <v>0</v>
      </c>
      <c r="W31" s="109">
        <f t="shared" si="7"/>
        <v>0</v>
      </c>
      <c r="X31" s="116"/>
    </row>
    <row r="32" spans="2:24" ht="15.75" x14ac:dyDescent="0.25">
      <c r="B32" s="89" t="s">
        <v>27</v>
      </c>
      <c r="C32" s="20"/>
      <c r="D32" s="43"/>
      <c r="E32" s="43"/>
      <c r="F32" s="43"/>
      <c r="G32" s="43"/>
      <c r="H32" s="117">
        <f>-IF(H13="Net",(D23*H14/12/H10),IF(H13="Gross",(D25*H14/12/H10),IF(H13="Full Service",(D27*H14/12/H10),0)))</f>
        <v>-4.5</v>
      </c>
      <c r="I32" s="3"/>
      <c r="J32" s="133"/>
      <c r="K32" s="3"/>
      <c r="L32" s="109" t="s">
        <v>53</v>
      </c>
      <c r="M32" s="109"/>
      <c r="N32" s="113">
        <f>+IF(N29&gt;0,IF($H13="Full Service",$D26,0),0)</f>
        <v>0</v>
      </c>
      <c r="O32" s="113">
        <f t="shared" ref="O32:W32" si="8">+IF(O29&gt;0,IF($H13="Full Service",$D26,0),0)</f>
        <v>0</v>
      </c>
      <c r="P32" s="113">
        <f t="shared" si="8"/>
        <v>0</v>
      </c>
      <c r="Q32" s="113">
        <f t="shared" si="8"/>
        <v>0</v>
      </c>
      <c r="R32" s="113">
        <f t="shared" si="8"/>
        <v>0</v>
      </c>
      <c r="S32" s="113">
        <f t="shared" si="8"/>
        <v>0</v>
      </c>
      <c r="T32" s="113">
        <f t="shared" si="8"/>
        <v>0</v>
      </c>
      <c r="U32" s="113">
        <f t="shared" si="8"/>
        <v>0</v>
      </c>
      <c r="V32" s="113">
        <f t="shared" si="8"/>
        <v>0</v>
      </c>
      <c r="W32" s="113">
        <f t="shared" si="8"/>
        <v>0</v>
      </c>
      <c r="X32" s="116"/>
    </row>
    <row r="33" spans="2:24" ht="15.75" x14ac:dyDescent="0.25">
      <c r="B33" s="89" t="s">
        <v>28</v>
      </c>
      <c r="C33" s="15"/>
      <c r="D33" s="23"/>
      <c r="E33" s="23"/>
      <c r="F33" s="23"/>
      <c r="G33" s="23"/>
      <c r="H33" s="117">
        <f>H15/H10*-1</f>
        <v>-12.142857142857142</v>
      </c>
      <c r="I33" s="3"/>
      <c r="J33" s="133"/>
      <c r="K33" s="3"/>
      <c r="L33" s="109" t="s">
        <v>54</v>
      </c>
      <c r="M33" s="109"/>
      <c r="N33" s="109">
        <f t="shared" ref="N33:W33" si="9">+SUM(N29:N32)</f>
        <v>70</v>
      </c>
      <c r="O33" s="109">
        <f t="shared" si="9"/>
        <v>71.77</v>
      </c>
      <c r="P33" s="109">
        <f t="shared" si="9"/>
        <v>73.584800000000001</v>
      </c>
      <c r="Q33" s="109">
        <f t="shared" si="9"/>
        <v>75.445535125000006</v>
      </c>
      <c r="R33" s="109">
        <f t="shared" si="9"/>
        <v>77.353369294062489</v>
      </c>
      <c r="S33" s="109">
        <f t="shared" si="9"/>
        <v>79.309495951602344</v>
      </c>
      <c r="T33" s="109">
        <f t="shared" si="9"/>
        <v>81.315138817273336</v>
      </c>
      <c r="U33" s="109">
        <f t="shared" si="9"/>
        <v>0</v>
      </c>
      <c r="V33" s="109">
        <f t="shared" si="9"/>
        <v>0</v>
      </c>
      <c r="W33" s="109">
        <f t="shared" si="9"/>
        <v>0</v>
      </c>
      <c r="X33" s="116"/>
    </row>
    <row r="34" spans="2:24" ht="15.75" x14ac:dyDescent="0.25">
      <c r="B34" s="89" t="s">
        <v>29</v>
      </c>
      <c r="C34" s="15"/>
      <c r="D34" s="15"/>
      <c r="E34" s="15"/>
      <c r="F34" s="15"/>
      <c r="G34" s="15"/>
      <c r="H34" s="117">
        <f>H17/H10*-1</f>
        <v>-2.1428571428571428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16"/>
    </row>
    <row r="35" spans="2:24" ht="15.75" x14ac:dyDescent="0.25">
      <c r="B35" s="118" t="s">
        <v>30</v>
      </c>
      <c r="C35" s="68"/>
      <c r="D35" s="68"/>
      <c r="E35" s="68"/>
      <c r="F35" s="68"/>
      <c r="G35" s="68"/>
      <c r="H35" s="119">
        <f>+SUM(H29:H34)</f>
        <v>56.754048455419756</v>
      </c>
      <c r="I35" s="3"/>
      <c r="J35" s="3"/>
      <c r="K35" s="3"/>
      <c r="L35" s="109" t="s">
        <v>55</v>
      </c>
      <c r="M35" s="109"/>
      <c r="N35" s="109">
        <f>+H15</f>
        <v>85</v>
      </c>
      <c r="O35" s="109"/>
      <c r="P35" s="109"/>
      <c r="Q35" s="109"/>
      <c r="R35" s="109"/>
      <c r="S35" s="109"/>
      <c r="T35" s="109"/>
      <c r="U35" s="109"/>
      <c r="V35" s="109"/>
      <c r="W35" s="109"/>
      <c r="X35" s="116"/>
    </row>
    <row r="36" spans="2:24" s="73" customFormat="1" ht="15.75" x14ac:dyDescent="0.25">
      <c r="B36" s="89"/>
      <c r="C36" s="15"/>
      <c r="D36" s="15"/>
      <c r="E36" s="15"/>
      <c r="F36" s="15"/>
      <c r="G36" s="15"/>
      <c r="H36" s="115"/>
      <c r="I36" s="120"/>
      <c r="J36" s="120"/>
      <c r="K36" s="120"/>
      <c r="L36" s="121" t="s">
        <v>56</v>
      </c>
      <c r="M36" s="121"/>
      <c r="N36" s="121">
        <f>-H16</f>
        <v>-45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2"/>
    </row>
    <row r="37" spans="2:24" ht="15.75" x14ac:dyDescent="0.25">
      <c r="B37" s="88" t="s">
        <v>31</v>
      </c>
      <c r="C37" s="15"/>
      <c r="D37" s="15"/>
      <c r="E37" s="15"/>
      <c r="F37" s="15"/>
      <c r="G37" s="15"/>
      <c r="H37" s="115"/>
      <c r="I37" s="3"/>
      <c r="J37" s="3"/>
      <c r="K37" s="3"/>
      <c r="L37" s="109" t="s">
        <v>57</v>
      </c>
      <c r="M37" s="109"/>
      <c r="N37" s="109">
        <f>+H32*H10</f>
        <v>-31.5</v>
      </c>
      <c r="O37" s="109"/>
      <c r="P37" s="109"/>
      <c r="Q37" s="109"/>
      <c r="R37" s="109"/>
      <c r="S37" s="109"/>
      <c r="T37" s="109"/>
      <c r="U37" s="109"/>
      <c r="V37" s="109"/>
      <c r="W37" s="109"/>
      <c r="X37" s="116"/>
    </row>
    <row r="38" spans="2:24" ht="15.75" x14ac:dyDescent="0.25">
      <c r="B38" s="89" t="s">
        <v>32</v>
      </c>
      <c r="C38" s="15"/>
      <c r="D38" s="15"/>
      <c r="E38" s="15"/>
      <c r="F38" s="15"/>
      <c r="G38" s="15"/>
      <c r="H38" s="123">
        <f>+SUM(N40:W40)*H9</f>
        <v>13056958.479698455</v>
      </c>
      <c r="I38" s="3"/>
      <c r="J38" s="3"/>
      <c r="K38" s="3"/>
      <c r="L38" s="109" t="s">
        <v>58</v>
      </c>
      <c r="M38" s="109"/>
      <c r="N38" s="109">
        <f>+H34*H10</f>
        <v>-15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16"/>
    </row>
    <row r="39" spans="2:24" ht="15.75" x14ac:dyDescent="0.25">
      <c r="B39" s="89" t="s">
        <v>33</v>
      </c>
      <c r="C39" s="15"/>
      <c r="D39" s="15"/>
      <c r="E39" s="15"/>
      <c r="F39" s="15"/>
      <c r="G39" s="15"/>
      <c r="H39" s="123">
        <f>+NPV(H18,N40:W40)*H9</f>
        <v>9606666.3008083683</v>
      </c>
      <c r="I39" s="3"/>
      <c r="J39" s="3"/>
      <c r="K39" s="3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6"/>
    </row>
    <row r="40" spans="2:24" ht="15.75" x14ac:dyDescent="0.25">
      <c r="B40" s="89" t="s">
        <v>34</v>
      </c>
      <c r="C40" s="15"/>
      <c r="D40" s="15"/>
      <c r="E40" s="15"/>
      <c r="F40" s="15"/>
      <c r="G40" s="15"/>
      <c r="H40" s="123">
        <f>+(N35+N36)*H9</f>
        <v>1000000</v>
      </c>
      <c r="I40" s="3"/>
      <c r="J40" s="133"/>
      <c r="K40" s="3"/>
      <c r="L40" s="124" t="s">
        <v>59</v>
      </c>
      <c r="M40" s="124"/>
      <c r="N40" s="125">
        <f>+SUM(N33:N38)</f>
        <v>63.5</v>
      </c>
      <c r="O40" s="125">
        <f t="shared" ref="O40:W40" si="10">+SUM(O33:O38)</f>
        <v>71.77</v>
      </c>
      <c r="P40" s="125">
        <f t="shared" si="10"/>
        <v>73.584800000000001</v>
      </c>
      <c r="Q40" s="125">
        <f t="shared" si="10"/>
        <v>75.445535125000006</v>
      </c>
      <c r="R40" s="125">
        <f t="shared" si="10"/>
        <v>77.353369294062489</v>
      </c>
      <c r="S40" s="125">
        <f t="shared" si="10"/>
        <v>79.309495951602344</v>
      </c>
      <c r="T40" s="125">
        <f t="shared" si="10"/>
        <v>81.315138817273336</v>
      </c>
      <c r="U40" s="125">
        <f t="shared" si="10"/>
        <v>0</v>
      </c>
      <c r="V40" s="125">
        <f t="shared" si="10"/>
        <v>0</v>
      </c>
      <c r="W40" s="125">
        <f t="shared" si="10"/>
        <v>0</v>
      </c>
      <c r="X40" s="116"/>
    </row>
    <row r="41" spans="2:24" ht="15.75" x14ac:dyDescent="0.25">
      <c r="B41" s="126" t="s">
        <v>35</v>
      </c>
      <c r="C41" s="127"/>
      <c r="D41" s="127"/>
      <c r="E41" s="127"/>
      <c r="F41" s="127"/>
      <c r="G41" s="127"/>
      <c r="H41" s="128">
        <f>+IF(H13="Net",N42*H9,IF(H13="Gross",N43*H9,N44*H9))</f>
        <v>1808900.2362949916</v>
      </c>
      <c r="I41" s="3"/>
      <c r="J41" s="3"/>
      <c r="K41" s="3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16"/>
    </row>
    <row r="42" spans="2:24" ht="21" customHeight="1" x14ac:dyDescent="0.25">
      <c r="B42" s="136"/>
      <c r="C42" s="136"/>
      <c r="D42" s="136"/>
      <c r="E42" s="136"/>
      <c r="F42" s="136"/>
      <c r="G42" s="136"/>
      <c r="H42" s="136"/>
      <c r="I42" s="3"/>
      <c r="J42" s="3"/>
      <c r="K42" s="3"/>
      <c r="L42" s="124" t="s">
        <v>60</v>
      </c>
      <c r="M42" s="124"/>
      <c r="N42" s="129">
        <f>+IF(H13="Net",(SUM(N23:W23)+N37)/H10+N24+N26+N28+(N35+N36+N38)/H10,"N/A")</f>
        <v>72.356009451799665</v>
      </c>
      <c r="O42" s="109"/>
      <c r="P42" s="109"/>
      <c r="Q42" s="109"/>
      <c r="R42" s="109"/>
      <c r="S42" s="109"/>
      <c r="T42" s="109"/>
      <c r="U42" s="109"/>
      <c r="V42" s="109"/>
      <c r="W42" s="109"/>
      <c r="X42" s="116"/>
    </row>
    <row r="43" spans="2:24" ht="15.75" x14ac:dyDescent="0.25">
      <c r="I43" s="3"/>
      <c r="J43" s="3"/>
      <c r="K43" s="3"/>
      <c r="L43" s="124" t="s">
        <v>61</v>
      </c>
      <c r="M43" s="124"/>
      <c r="N43" s="129" t="str">
        <f>+IF(H13="Gross",(SUM(N25:W25)+N37+D24*H10)/H10+N26+N28+(N35+N36+N38)/H10,"N/A")</f>
        <v>N/A</v>
      </c>
      <c r="O43" s="109"/>
      <c r="P43" s="109"/>
      <c r="Q43" s="109"/>
      <c r="R43" s="109"/>
      <c r="S43" s="109"/>
      <c r="T43" s="109"/>
      <c r="U43" s="109"/>
      <c r="V43" s="109"/>
      <c r="W43" s="109"/>
      <c r="X43" s="116"/>
    </row>
    <row r="44" spans="2:24" ht="15.75" x14ac:dyDescent="0.25">
      <c r="I44" s="3"/>
      <c r="J44" s="3"/>
      <c r="K44" s="3"/>
      <c r="L44" s="124" t="s">
        <v>62</v>
      </c>
      <c r="M44" s="124"/>
      <c r="N44" s="129" t="str">
        <f>+IF(H13="Full Service",(SUM(N27:W27)+N37+(D26+D24)*H10)/H10+N28+(N35+N36+N38)/H10,"N/A")</f>
        <v>N/A</v>
      </c>
      <c r="O44" s="109"/>
      <c r="P44" s="109"/>
      <c r="Q44" s="109"/>
      <c r="R44" s="109"/>
      <c r="S44" s="109"/>
      <c r="T44" s="109"/>
      <c r="U44" s="109"/>
      <c r="V44" s="109"/>
      <c r="W44" s="109"/>
      <c r="X44" s="116"/>
    </row>
    <row r="45" spans="2:24" ht="15.75" x14ac:dyDescent="0.25">
      <c r="I45" s="3"/>
      <c r="J45" s="3"/>
      <c r="K45" s="3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</sheetData>
  <mergeCells count="4">
    <mergeCell ref="B2:H2"/>
    <mergeCell ref="B3:H3"/>
    <mergeCell ref="N21:W21"/>
    <mergeCell ref="B42:H42"/>
  </mergeCells>
  <dataValidations count="1">
    <dataValidation type="list" allowBlank="1" showInputMessage="1" showErrorMessage="1" errorTitle="Lease Type" error="Please select one of the three specified Lease Types." sqref="H13">
      <formula1>Type</formula1>
    </dataValidation>
  </dataValidations>
  <printOptions horizontalCentered="1" verticalCentered="1"/>
  <pageMargins left="0.5" right="0.5" top="0.24" bottom="0.2" header="0.22" footer="0.17"/>
  <pageSetup orientation="portrait" verticalDpi="12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#2 Analysis'!N40:W40</xm:f>
              <xm:sqref>J40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#2 Analysis'!N33:W33</xm:f>
              <xm:sqref>J33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#2 Analysis'!N32:W32</xm:f>
              <xm:sqref>J32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#2 Analysis'!N31:W31</xm:f>
              <xm:sqref>J31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#2 Analysis'!N29:W29</xm:f>
              <xm:sqref>J29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#2 Analysis'!N28:W28</xm:f>
              <xm:sqref>J28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#2 Analysis'!N27:W27</xm:f>
              <xm:sqref>J27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#2 Analysis'!N26:W26</xm:f>
              <xm:sqref>J26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#2 Analysis'!N25:W25</xm:f>
              <xm:sqref>J25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#2 Analysis'!N24:W24</xm:f>
              <xm:sqref>J24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#2 Analysis'!N23:W23</xm:f>
              <xm:sqref>J23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5"/>
  <sheetViews>
    <sheetView showGridLines="0" zoomScaleNormal="100" workbookViewId="0"/>
  </sheetViews>
  <sheetFormatPr defaultColWidth="7.109375" defaultRowHeight="12.75" x14ac:dyDescent="0.2"/>
  <cols>
    <col min="1" max="1" width="4.44140625" style="4" customWidth="1"/>
    <col min="2" max="2" width="24.44140625" style="4" customWidth="1"/>
    <col min="3" max="3" width="12.33203125" style="4" customWidth="1"/>
    <col min="4" max="4" width="10.6640625" style="46" customWidth="1"/>
    <col min="5" max="5" width="2.109375" style="46" customWidth="1"/>
    <col min="6" max="6" width="10.6640625" style="46" customWidth="1"/>
    <col min="7" max="7" width="2.109375" style="46" customWidth="1"/>
    <col min="8" max="8" width="10.6640625" style="4" customWidth="1"/>
    <col min="9" max="9" width="2" style="4" customWidth="1"/>
    <col min="10" max="10" width="8.77734375" style="4" customWidth="1"/>
    <col min="11" max="11" width="1.77734375" style="4" customWidth="1"/>
    <col min="12" max="12" width="11.109375" style="4" customWidth="1"/>
    <col min="13" max="16384" width="7.109375" style="4"/>
  </cols>
  <sheetData>
    <row r="1" spans="2:12" x14ac:dyDescent="0.2">
      <c r="B1" s="2"/>
      <c r="C1" s="2"/>
      <c r="D1" s="2"/>
      <c r="E1" s="2"/>
      <c r="F1" s="2"/>
      <c r="G1" s="2"/>
      <c r="H1" s="2"/>
    </row>
    <row r="2" spans="2:12" ht="15.75" x14ac:dyDescent="0.25">
      <c r="B2" s="140" t="s">
        <v>68</v>
      </c>
      <c r="C2" s="140"/>
      <c r="D2" s="140"/>
      <c r="E2" s="140"/>
      <c r="F2" s="140"/>
      <c r="G2" s="140"/>
      <c r="H2" s="140"/>
    </row>
    <row r="3" spans="2:12" ht="15.75" x14ac:dyDescent="0.25">
      <c r="B3" s="137" t="s">
        <v>65</v>
      </c>
      <c r="C3" s="137"/>
      <c r="D3" s="137"/>
      <c r="E3" s="137"/>
      <c r="F3" s="137"/>
      <c r="G3" s="137"/>
      <c r="H3" s="137"/>
    </row>
    <row r="4" spans="2:12" ht="15.75" x14ac:dyDescent="0.25">
      <c r="B4" s="78" t="s">
        <v>37</v>
      </c>
      <c r="C4" s="79">
        <f ca="1">TODAY()</f>
        <v>41172</v>
      </c>
      <c r="D4" s="80"/>
      <c r="E4" s="80"/>
      <c r="F4" s="80"/>
      <c r="G4" s="80"/>
      <c r="H4" s="81" t="s">
        <v>38</v>
      </c>
      <c r="I4" s="3"/>
      <c r="J4" s="3"/>
      <c r="K4" s="3"/>
    </row>
    <row r="5" spans="2:12" ht="15.75" x14ac:dyDescent="0.25">
      <c r="B5" s="82" t="s">
        <v>0</v>
      </c>
      <c r="C5" s="83" t="s">
        <v>66</v>
      </c>
      <c r="D5" s="14"/>
      <c r="E5" s="14"/>
      <c r="F5" s="14"/>
      <c r="G5" s="14"/>
      <c r="H5" s="84"/>
      <c r="I5" s="3"/>
      <c r="J5" s="3"/>
      <c r="K5" s="3"/>
    </row>
    <row r="6" spans="2:12" ht="15.75" x14ac:dyDescent="0.25">
      <c r="B6" s="82" t="s">
        <v>1</v>
      </c>
      <c r="C6" s="83">
        <v>2200</v>
      </c>
      <c r="D6" s="14"/>
      <c r="E6" s="14"/>
      <c r="F6" s="14"/>
      <c r="G6" s="14"/>
      <c r="H6" s="84"/>
      <c r="I6" s="3"/>
      <c r="J6" s="3"/>
      <c r="K6" s="3"/>
    </row>
    <row r="7" spans="2:12" ht="15.75" x14ac:dyDescent="0.25">
      <c r="B7" s="85"/>
      <c r="C7" s="86"/>
      <c r="D7" s="8"/>
      <c r="E7" s="8"/>
      <c r="F7" s="8"/>
      <c r="G7" s="8"/>
      <c r="H7" s="87"/>
      <c r="I7" s="17"/>
      <c r="J7" s="17"/>
      <c r="K7" s="17"/>
    </row>
    <row r="8" spans="2:12" ht="15.75" x14ac:dyDescent="0.25">
      <c r="B8" s="88" t="s">
        <v>2</v>
      </c>
      <c r="C8" s="86"/>
      <c r="D8" s="8"/>
      <c r="E8" s="8"/>
      <c r="F8" s="8"/>
      <c r="G8" s="8"/>
      <c r="H8" s="87"/>
      <c r="I8" s="17"/>
      <c r="J8" s="17"/>
      <c r="K8" s="17"/>
    </row>
    <row r="9" spans="2:12" ht="15.75" x14ac:dyDescent="0.25">
      <c r="B9" s="89" t="s">
        <v>3</v>
      </c>
      <c r="C9" s="20"/>
      <c r="D9" s="8"/>
      <c r="E9" s="8"/>
      <c r="F9" s="8"/>
      <c r="G9" s="8"/>
      <c r="H9" s="90">
        <v>20000</v>
      </c>
      <c r="I9" s="3"/>
      <c r="J9" s="3"/>
      <c r="K9" s="3"/>
    </row>
    <row r="10" spans="2:12" ht="15.75" x14ac:dyDescent="0.25">
      <c r="B10" s="89" t="s">
        <v>4</v>
      </c>
      <c r="C10" s="20"/>
      <c r="D10" s="23"/>
      <c r="E10" s="23"/>
      <c r="F10" s="24"/>
      <c r="G10" s="24"/>
      <c r="H10" s="91">
        <v>10</v>
      </c>
      <c r="I10" s="3"/>
      <c r="J10" s="3"/>
      <c r="K10" s="3"/>
      <c r="L10" s="92"/>
    </row>
    <row r="11" spans="2:12" ht="15.75" x14ac:dyDescent="0.25">
      <c r="B11" s="89" t="s">
        <v>40</v>
      </c>
      <c r="C11" s="20"/>
      <c r="D11" s="23"/>
      <c r="E11" s="23"/>
      <c r="F11" s="27">
        <v>1.4</v>
      </c>
      <c r="G11" s="27"/>
      <c r="H11" s="93">
        <f>H9/1000*F11</f>
        <v>28</v>
      </c>
      <c r="I11" s="3"/>
      <c r="J11" s="3"/>
      <c r="K11" s="3"/>
      <c r="L11" s="92"/>
    </row>
    <row r="12" spans="2:12" ht="15.75" x14ac:dyDescent="0.25">
      <c r="B12" s="89" t="s">
        <v>6</v>
      </c>
      <c r="C12" s="20"/>
      <c r="D12" s="8"/>
      <c r="E12" s="8"/>
      <c r="F12" s="8"/>
      <c r="G12" s="8"/>
      <c r="H12" s="94">
        <v>250</v>
      </c>
      <c r="I12" s="3"/>
      <c r="J12" s="3"/>
      <c r="K12" s="3"/>
      <c r="L12" s="95" t="s">
        <v>41</v>
      </c>
    </row>
    <row r="13" spans="2:12" ht="15.75" x14ac:dyDescent="0.25">
      <c r="B13" s="96" t="s">
        <v>7</v>
      </c>
      <c r="C13" s="34"/>
      <c r="D13" s="35"/>
      <c r="E13" s="35"/>
      <c r="F13" s="35"/>
      <c r="G13" s="35"/>
      <c r="H13" s="97" t="s">
        <v>44</v>
      </c>
      <c r="I13" s="3"/>
      <c r="J13" s="3"/>
      <c r="K13" s="3"/>
      <c r="L13" s="98" t="s">
        <v>43</v>
      </c>
    </row>
    <row r="14" spans="2:12" ht="15.75" x14ac:dyDescent="0.25">
      <c r="B14" s="96" t="s">
        <v>8</v>
      </c>
      <c r="C14" s="34"/>
      <c r="D14" s="35"/>
      <c r="E14" s="35"/>
      <c r="F14" s="35"/>
      <c r="G14" s="35"/>
      <c r="H14" s="99">
        <v>12</v>
      </c>
      <c r="I14" s="3"/>
      <c r="J14" s="3"/>
      <c r="K14" s="3"/>
      <c r="L14" s="100" t="s">
        <v>44</v>
      </c>
    </row>
    <row r="15" spans="2:12" ht="15.75" x14ac:dyDescent="0.25">
      <c r="B15" s="96" t="s">
        <v>9</v>
      </c>
      <c r="C15" s="34"/>
      <c r="D15" s="35"/>
      <c r="E15" s="35"/>
      <c r="F15" s="35"/>
      <c r="G15" s="35"/>
      <c r="H15" s="101">
        <v>125</v>
      </c>
      <c r="I15" s="3"/>
      <c r="J15" s="3"/>
      <c r="K15" s="3"/>
      <c r="L15" s="102" t="s">
        <v>42</v>
      </c>
    </row>
    <row r="16" spans="2:12" ht="15.75" x14ac:dyDescent="0.25">
      <c r="B16" s="96" t="s">
        <v>10</v>
      </c>
      <c r="C16" s="34"/>
      <c r="D16" s="35"/>
      <c r="E16" s="35"/>
      <c r="F16" s="35"/>
      <c r="G16" s="35"/>
      <c r="H16" s="101">
        <v>65</v>
      </c>
      <c r="I16" s="3"/>
      <c r="J16" s="3"/>
      <c r="K16" s="3"/>
    </row>
    <row r="17" spans="2:24" ht="15.75" x14ac:dyDescent="0.25">
      <c r="B17" s="96" t="s">
        <v>11</v>
      </c>
      <c r="C17" s="34"/>
      <c r="D17" s="35"/>
      <c r="E17" s="35"/>
      <c r="F17" s="35"/>
      <c r="G17" s="35"/>
      <c r="H17" s="101">
        <v>2</v>
      </c>
      <c r="I17" s="3"/>
      <c r="J17" s="3"/>
      <c r="K17" s="3"/>
    </row>
    <row r="18" spans="2:24" ht="15.75" x14ac:dyDescent="0.25">
      <c r="B18" s="96" t="s">
        <v>12</v>
      </c>
      <c r="C18" s="34"/>
      <c r="D18" s="35"/>
      <c r="E18" s="35"/>
      <c r="F18" s="35"/>
      <c r="G18" s="35"/>
      <c r="H18" s="132">
        <f>'Comparative Lease Analysis'!$C$19</f>
        <v>0.08</v>
      </c>
      <c r="I18" s="3"/>
      <c r="J18" s="3"/>
      <c r="K18" s="3"/>
    </row>
    <row r="19" spans="2:24" ht="15.75" x14ac:dyDescent="0.25">
      <c r="B19" s="96"/>
      <c r="C19" s="34"/>
      <c r="D19" s="35"/>
      <c r="E19" s="35"/>
      <c r="F19" s="35"/>
      <c r="G19" s="35"/>
      <c r="H19" s="101"/>
      <c r="I19" s="3"/>
      <c r="J19" s="3"/>
      <c r="K19" s="3"/>
    </row>
    <row r="20" spans="2:24" ht="15.75" x14ac:dyDescent="0.25">
      <c r="B20" s="96"/>
      <c r="C20" s="34"/>
      <c r="D20" s="45"/>
      <c r="E20" s="45"/>
      <c r="F20" s="45"/>
      <c r="G20" s="45"/>
      <c r="H20" s="103" t="s">
        <v>13</v>
      </c>
      <c r="I20" s="3"/>
      <c r="J20" s="3"/>
      <c r="K20" s="3"/>
    </row>
    <row r="21" spans="2:24" ht="15.75" x14ac:dyDescent="0.25">
      <c r="B21" s="88" t="s">
        <v>14</v>
      </c>
      <c r="C21" s="34"/>
      <c r="D21" s="45" t="s">
        <v>15</v>
      </c>
      <c r="E21" s="45"/>
      <c r="F21" s="45" t="s">
        <v>16</v>
      </c>
      <c r="G21" s="45"/>
      <c r="H21" s="103" t="s">
        <v>16</v>
      </c>
      <c r="I21" s="3"/>
      <c r="J21" s="130" t="s">
        <v>70</v>
      </c>
      <c r="K21" s="3"/>
      <c r="L21" s="3"/>
      <c r="M21" s="3"/>
      <c r="N21" s="140" t="s">
        <v>45</v>
      </c>
      <c r="O21" s="140"/>
      <c r="P21" s="140"/>
      <c r="Q21" s="140"/>
      <c r="R21" s="140"/>
      <c r="S21" s="140"/>
      <c r="T21" s="140"/>
      <c r="U21" s="140"/>
      <c r="V21" s="140"/>
      <c r="W21" s="140"/>
    </row>
    <row r="22" spans="2:24" ht="15.75" x14ac:dyDescent="0.25">
      <c r="B22" s="88"/>
      <c r="C22" s="34"/>
      <c r="D22" s="104" t="s">
        <v>17</v>
      </c>
      <c r="E22" s="45"/>
      <c r="F22" s="104" t="s">
        <v>18</v>
      </c>
      <c r="G22" s="45"/>
      <c r="H22" s="105" t="s">
        <v>17</v>
      </c>
      <c r="I22" s="3"/>
      <c r="J22" s="130" t="s">
        <v>69</v>
      </c>
      <c r="K22" s="3"/>
      <c r="L22" s="3"/>
      <c r="M22" s="3"/>
      <c r="N22" s="106">
        <v>1</v>
      </c>
      <c r="O22" s="106">
        <v>2</v>
      </c>
      <c r="P22" s="106">
        <v>3</v>
      </c>
      <c r="Q22" s="106">
        <v>4</v>
      </c>
      <c r="R22" s="106">
        <v>5</v>
      </c>
      <c r="S22" s="106">
        <v>6</v>
      </c>
      <c r="T22" s="106">
        <v>7</v>
      </c>
      <c r="U22" s="106">
        <v>8</v>
      </c>
      <c r="V22" s="106">
        <v>9</v>
      </c>
      <c r="W22" s="106">
        <v>10</v>
      </c>
    </row>
    <row r="23" spans="2:24" ht="15.75" x14ac:dyDescent="0.25">
      <c r="B23" s="89" t="s">
        <v>19</v>
      </c>
      <c r="C23" s="34"/>
      <c r="D23" s="43">
        <v>55</v>
      </c>
      <c r="E23" s="43"/>
      <c r="F23" s="107">
        <v>0.02</v>
      </c>
      <c r="G23" s="51"/>
      <c r="H23" s="108">
        <f>+SUM(N23:W23)/H10</f>
        <v>60.22346549855822</v>
      </c>
      <c r="I23" s="3"/>
      <c r="J23" s="133"/>
      <c r="K23" s="3"/>
      <c r="L23" s="20" t="s">
        <v>46</v>
      </c>
      <c r="M23" s="3"/>
      <c r="N23" s="109">
        <f>$D$23*(1+$F$23)^(N22-1)*IF(N22&gt;$H$10,0,1)</f>
        <v>55</v>
      </c>
      <c r="O23" s="109">
        <f t="shared" ref="O23:W23" si="0">$D$23*(1+$F$23)^(O22-1)*IF(O22&gt;$H$10,0,1)</f>
        <v>56.1</v>
      </c>
      <c r="P23" s="109">
        <f t="shared" si="0"/>
        <v>57.222000000000001</v>
      </c>
      <c r="Q23" s="109">
        <f t="shared" si="0"/>
        <v>58.366439999999997</v>
      </c>
      <c r="R23" s="109">
        <f t="shared" si="0"/>
        <v>59.533768799999997</v>
      </c>
      <c r="S23" s="109">
        <f t="shared" si="0"/>
        <v>60.724444175999999</v>
      </c>
      <c r="T23" s="109">
        <f t="shared" si="0"/>
        <v>61.938933059520004</v>
      </c>
      <c r="U23" s="109">
        <f t="shared" si="0"/>
        <v>63.177711720710391</v>
      </c>
      <c r="V23" s="109">
        <f t="shared" si="0"/>
        <v>64.441265955124607</v>
      </c>
      <c r="W23" s="109">
        <f t="shared" si="0"/>
        <v>65.730091274227092</v>
      </c>
    </row>
    <row r="24" spans="2:24" ht="15.75" x14ac:dyDescent="0.25">
      <c r="B24" s="89" t="s">
        <v>20</v>
      </c>
      <c r="C24" s="34"/>
      <c r="D24" s="110">
        <v>19</v>
      </c>
      <c r="E24" s="43"/>
      <c r="F24" s="111">
        <v>0.02</v>
      </c>
      <c r="G24" s="51"/>
      <c r="H24" s="112">
        <f>+SUM(N24:W24)/H10</f>
        <v>1.8044698995019264</v>
      </c>
      <c r="I24" s="3"/>
      <c r="J24" s="133"/>
      <c r="K24" s="3"/>
      <c r="L24" s="20" t="s">
        <v>47</v>
      </c>
      <c r="M24" s="3"/>
      <c r="N24" s="113">
        <f>IF($H$13="Net",$D$24*(1+$F$24)^(N22-1)*IF(N22&gt;$H$10,0,1),(($D$24*(1+$F$24)^(N22-1))-$D$24)*IF(N22&gt;$H$10,0,1))</f>
        <v>0</v>
      </c>
      <c r="O24" s="113">
        <f t="shared" ref="O24:W24" si="1">IF($H$13="Net",$D$24*(1+$F$24)^(O22-1)*IF(O22&gt;$H$10,0,1),(($D$24*(1+$F$24)^(O22-1))-$D$24)*IF(O22&gt;$H$10,0,1))</f>
        <v>0.37999999999999901</v>
      </c>
      <c r="P24" s="113">
        <f t="shared" si="1"/>
        <v>0.76760000000000161</v>
      </c>
      <c r="Q24" s="113">
        <f t="shared" si="1"/>
        <v>1.1629519999999971</v>
      </c>
      <c r="R24" s="113">
        <f t="shared" si="1"/>
        <v>1.5662110399999989</v>
      </c>
      <c r="S24" s="113">
        <f t="shared" si="1"/>
        <v>1.9775352607999999</v>
      </c>
      <c r="T24" s="113">
        <f t="shared" si="1"/>
        <v>2.3970859660160002</v>
      </c>
      <c r="U24" s="113">
        <f t="shared" si="1"/>
        <v>2.8250276853363161</v>
      </c>
      <c r="V24" s="113">
        <f t="shared" si="1"/>
        <v>3.2615282390430451</v>
      </c>
      <c r="W24" s="113">
        <f t="shared" si="1"/>
        <v>3.7067588038239059</v>
      </c>
    </row>
    <row r="25" spans="2:24" ht="15.75" x14ac:dyDescent="0.25">
      <c r="B25" s="89" t="s">
        <v>21</v>
      </c>
      <c r="C25" s="20"/>
      <c r="D25" s="39">
        <f>+SUM(D23:D24)</f>
        <v>74</v>
      </c>
      <c r="E25" s="56"/>
      <c r="F25" s="114"/>
      <c r="G25" s="57"/>
      <c r="H25" s="108">
        <f>+IF(H13="Net",H24+H23,H24+H23+D24)</f>
        <v>81.027935398060151</v>
      </c>
      <c r="I25" s="3"/>
      <c r="J25" s="133"/>
      <c r="K25" s="3"/>
      <c r="L25" s="20" t="s">
        <v>48</v>
      </c>
      <c r="M25" s="3"/>
      <c r="N25" s="109">
        <f>+N24+N23</f>
        <v>55</v>
      </c>
      <c r="O25" s="109">
        <f>+O24+O23</f>
        <v>56.480000000000004</v>
      </c>
      <c r="P25" s="109">
        <f t="shared" ref="P25:W25" si="2">+P24+P23</f>
        <v>57.989600000000003</v>
      </c>
      <c r="Q25" s="109">
        <f t="shared" si="2"/>
        <v>59.529391999999994</v>
      </c>
      <c r="R25" s="109">
        <f t="shared" si="2"/>
        <v>61.099979839999996</v>
      </c>
      <c r="S25" s="109">
        <f t="shared" si="2"/>
        <v>62.701979436800002</v>
      </c>
      <c r="T25" s="109">
        <f t="shared" si="2"/>
        <v>64.336019025536004</v>
      </c>
      <c r="U25" s="109">
        <f t="shared" si="2"/>
        <v>66.002739406046715</v>
      </c>
      <c r="V25" s="109">
        <f t="shared" si="2"/>
        <v>67.702794194167652</v>
      </c>
      <c r="W25" s="109">
        <f t="shared" si="2"/>
        <v>69.436850078050995</v>
      </c>
    </row>
    <row r="26" spans="2:24" ht="15.75" x14ac:dyDescent="0.25">
      <c r="B26" s="89" t="s">
        <v>22</v>
      </c>
      <c r="C26" s="34"/>
      <c r="D26" s="110">
        <v>3</v>
      </c>
      <c r="E26" s="43"/>
      <c r="F26" s="111">
        <v>0.02</v>
      </c>
      <c r="G26" s="51"/>
      <c r="H26" s="112">
        <f>+SUM(N26:W26)/H10</f>
        <v>0.28491629992135692</v>
      </c>
      <c r="I26" s="3"/>
      <c r="J26" s="133"/>
      <c r="K26" s="3"/>
      <c r="L26" s="20" t="s">
        <v>49</v>
      </c>
      <c r="M26" s="3"/>
      <c r="N26" s="113">
        <f>IF($H$13="Net",$D$26*(1+$F$26)^(N22-1)*IF(N22&gt;$H$10,0,1),(($D$26*(1+$F$26)^(N22-1))-$D$26)*IF(N22&gt;$H$10,0,1))</f>
        <v>0</v>
      </c>
      <c r="O26" s="113">
        <f t="shared" ref="O26:W26" si="3">IF($H$13="Net",$D$26*(1+$F$26)^(O22-1)*IF(O22&gt;$H$10,0,1),(($D$26*(1+$F$26)^(O22-1))-$D$26)*IF(O22&gt;$H$10,0,1))</f>
        <v>6.0000000000000053E-2</v>
      </c>
      <c r="P26" s="113">
        <f t="shared" si="3"/>
        <v>0.12119999999999997</v>
      </c>
      <c r="Q26" s="113">
        <f t="shared" si="3"/>
        <v>0.18362400000000001</v>
      </c>
      <c r="R26" s="113">
        <f t="shared" si="3"/>
        <v>0.24729648000000015</v>
      </c>
      <c r="S26" s="113">
        <f t="shared" si="3"/>
        <v>0.31224240960000005</v>
      </c>
      <c r="T26" s="113">
        <f t="shared" si="3"/>
        <v>0.37848725779199999</v>
      </c>
      <c r="U26" s="113">
        <f t="shared" si="3"/>
        <v>0.44605700294783945</v>
      </c>
      <c r="V26" s="113">
        <f t="shared" si="3"/>
        <v>0.51497814300679678</v>
      </c>
      <c r="W26" s="113">
        <f t="shared" si="3"/>
        <v>0.58527770586693251</v>
      </c>
    </row>
    <row r="27" spans="2:24" ht="15.75" x14ac:dyDescent="0.25">
      <c r="B27" s="89" t="s">
        <v>23</v>
      </c>
      <c r="C27" s="20"/>
      <c r="D27" s="39">
        <f>+SUM(D25:D26)</f>
        <v>77</v>
      </c>
      <c r="E27" s="56"/>
      <c r="F27" s="114"/>
      <c r="G27" s="57"/>
      <c r="H27" s="108">
        <f>+IF(H13="Full Service",D26+H26+H25,H26+H25)</f>
        <v>81.312851697981515</v>
      </c>
      <c r="I27" s="3"/>
      <c r="J27" s="133"/>
      <c r="K27" s="3"/>
      <c r="L27" s="20" t="s">
        <v>50</v>
      </c>
      <c r="M27" s="3"/>
      <c r="N27" s="109">
        <f t="shared" ref="N27:W27" si="4">+N26+N25</f>
        <v>55</v>
      </c>
      <c r="O27" s="109">
        <f t="shared" si="4"/>
        <v>56.540000000000006</v>
      </c>
      <c r="P27" s="109">
        <f t="shared" si="4"/>
        <v>58.110800000000005</v>
      </c>
      <c r="Q27" s="109">
        <f>+Q26+Q25</f>
        <v>59.713015999999996</v>
      </c>
      <c r="R27" s="109">
        <f t="shared" si="4"/>
        <v>61.347276319999999</v>
      </c>
      <c r="S27" s="109">
        <f t="shared" si="4"/>
        <v>63.014221846400005</v>
      </c>
      <c r="T27" s="109">
        <f t="shared" si="4"/>
        <v>64.714506283328006</v>
      </c>
      <c r="U27" s="109">
        <f t="shared" si="4"/>
        <v>66.448796408994554</v>
      </c>
      <c r="V27" s="109">
        <f t="shared" si="4"/>
        <v>68.217772337174452</v>
      </c>
      <c r="W27" s="109">
        <f t="shared" si="4"/>
        <v>70.022127783917924</v>
      </c>
    </row>
    <row r="28" spans="2:24" ht="15.75" x14ac:dyDescent="0.25">
      <c r="B28" s="89" t="s">
        <v>24</v>
      </c>
      <c r="C28" s="20"/>
      <c r="D28" s="58">
        <f>+$H12*$H11*12/$H9</f>
        <v>4.2</v>
      </c>
      <c r="E28" s="56"/>
      <c r="F28" s="111">
        <v>0.02</v>
      </c>
      <c r="G28" s="51"/>
      <c r="H28" s="112">
        <f>+SUM(N28:W28)/H10</f>
        <v>4.5988828198898997</v>
      </c>
      <c r="I28" s="3"/>
      <c r="J28" s="133"/>
      <c r="K28" s="3"/>
      <c r="L28" s="20" t="s">
        <v>24</v>
      </c>
      <c r="M28" s="3"/>
      <c r="N28" s="113">
        <f>$D$28*(1+$F$28)^(N22-1)*IF(N22&gt;$H$10,0,1)</f>
        <v>4.2</v>
      </c>
      <c r="O28" s="113">
        <f t="shared" ref="O28:W28" si="5">$D$28*(1+$F$28)^(O22-1)*IF(O22&gt;$H$10,0,1)</f>
        <v>4.2840000000000007</v>
      </c>
      <c r="P28" s="113">
        <f t="shared" si="5"/>
        <v>4.3696799999999998</v>
      </c>
      <c r="Q28" s="113">
        <f t="shared" si="5"/>
        <v>4.4570736000000002</v>
      </c>
      <c r="R28" s="113">
        <f t="shared" si="5"/>
        <v>4.5462150719999999</v>
      </c>
      <c r="S28" s="113">
        <f t="shared" si="5"/>
        <v>4.6371393734400002</v>
      </c>
      <c r="T28" s="113">
        <f t="shared" si="5"/>
        <v>4.7298821609088009</v>
      </c>
      <c r="U28" s="113">
        <f t="shared" si="5"/>
        <v>4.8244798041269759</v>
      </c>
      <c r="V28" s="113">
        <f t="shared" si="5"/>
        <v>4.9209694002095157</v>
      </c>
      <c r="W28" s="113">
        <f t="shared" si="5"/>
        <v>5.019388788213706</v>
      </c>
    </row>
    <row r="29" spans="2:24" ht="15.75" x14ac:dyDescent="0.25">
      <c r="B29" s="88" t="s">
        <v>25</v>
      </c>
      <c r="C29" s="20"/>
      <c r="D29" s="56">
        <f>+SUM(D27:D28)</f>
        <v>81.2</v>
      </c>
      <c r="E29" s="56"/>
      <c r="F29" s="57"/>
      <c r="G29" s="57"/>
      <c r="H29" s="108">
        <f>+SUM(H27:H28)</f>
        <v>85.911734517871409</v>
      </c>
      <c r="I29" s="3"/>
      <c r="J29" s="133"/>
      <c r="K29" s="3"/>
      <c r="L29" s="20" t="s">
        <v>51</v>
      </c>
      <c r="M29" s="3"/>
      <c r="N29" s="109">
        <f>+N28+N27</f>
        <v>59.2</v>
      </c>
      <c r="O29" s="109">
        <f t="shared" ref="O29:W29" si="6">+O28+O27</f>
        <v>60.824000000000005</v>
      </c>
      <c r="P29" s="109">
        <f t="shared" si="6"/>
        <v>62.480480000000007</v>
      </c>
      <c r="Q29" s="109">
        <f t="shared" si="6"/>
        <v>64.170089599999997</v>
      </c>
      <c r="R29" s="109">
        <f t="shared" si="6"/>
        <v>65.893491392000001</v>
      </c>
      <c r="S29" s="109">
        <f t="shared" si="6"/>
        <v>67.651361219839998</v>
      </c>
      <c r="T29" s="109">
        <f t="shared" si="6"/>
        <v>69.444388444236807</v>
      </c>
      <c r="U29" s="109">
        <f t="shared" si="6"/>
        <v>71.273276213121534</v>
      </c>
      <c r="V29" s="109">
        <f t="shared" si="6"/>
        <v>73.138741737383967</v>
      </c>
      <c r="W29" s="109">
        <f t="shared" si="6"/>
        <v>75.041516572131627</v>
      </c>
    </row>
    <row r="30" spans="2:24" ht="15.75" x14ac:dyDescent="0.25">
      <c r="B30" s="89"/>
      <c r="C30" s="20"/>
      <c r="D30" s="43"/>
      <c r="E30" s="43"/>
      <c r="F30" s="43"/>
      <c r="G30" s="43"/>
      <c r="H30" s="115"/>
      <c r="I30" s="3"/>
      <c r="J30" s="3"/>
      <c r="K30" s="3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6"/>
    </row>
    <row r="31" spans="2:24" ht="15.75" x14ac:dyDescent="0.25">
      <c r="B31" s="88" t="s">
        <v>26</v>
      </c>
      <c r="C31" s="20"/>
      <c r="D31" s="43"/>
      <c r="E31" s="43"/>
      <c r="F31" s="43"/>
      <c r="G31" s="43"/>
      <c r="H31" s="115"/>
      <c r="I31" s="3"/>
      <c r="J31" s="133"/>
      <c r="L31" s="109" t="s">
        <v>52</v>
      </c>
      <c r="M31" s="109"/>
      <c r="N31" s="109">
        <f>+IF(N29&gt;0,IF($H13="Net",0,$D24),0)</f>
        <v>19</v>
      </c>
      <c r="O31" s="109">
        <f t="shared" ref="O31:W31" si="7">+IF(O29&gt;0,IF($H13="Net",0,$D24),0)</f>
        <v>19</v>
      </c>
      <c r="P31" s="109">
        <f t="shared" si="7"/>
        <v>19</v>
      </c>
      <c r="Q31" s="109">
        <f t="shared" si="7"/>
        <v>19</v>
      </c>
      <c r="R31" s="109">
        <f t="shared" si="7"/>
        <v>19</v>
      </c>
      <c r="S31" s="109">
        <f t="shared" si="7"/>
        <v>19</v>
      </c>
      <c r="T31" s="109">
        <f t="shared" si="7"/>
        <v>19</v>
      </c>
      <c r="U31" s="109">
        <f t="shared" si="7"/>
        <v>19</v>
      </c>
      <c r="V31" s="109">
        <f t="shared" si="7"/>
        <v>19</v>
      </c>
      <c r="W31" s="109">
        <f t="shared" si="7"/>
        <v>19</v>
      </c>
      <c r="X31" s="116"/>
    </row>
    <row r="32" spans="2:24" ht="15.75" x14ac:dyDescent="0.25">
      <c r="B32" s="89" t="s">
        <v>27</v>
      </c>
      <c r="C32" s="20"/>
      <c r="D32" s="43"/>
      <c r="E32" s="43"/>
      <c r="F32" s="43"/>
      <c r="G32" s="43"/>
      <c r="H32" s="117">
        <f>-IF(H13="Net",(D23*H14/12/H10),IF(H13="Gross",(D25*H14/12/H10),IF(H13="Full Service",(D27*H14/12/H10),0)))</f>
        <v>-7.4</v>
      </c>
      <c r="I32" s="3"/>
      <c r="J32" s="133"/>
      <c r="K32" s="3"/>
      <c r="L32" s="109" t="s">
        <v>53</v>
      </c>
      <c r="M32" s="109"/>
      <c r="N32" s="113">
        <f>+IF(N29&gt;0,IF($H13="Full Service",$D26,0),0)</f>
        <v>0</v>
      </c>
      <c r="O32" s="113">
        <f t="shared" ref="O32:W32" si="8">+IF(O29&gt;0,IF($H13="Full Service",$D26,0),0)</f>
        <v>0</v>
      </c>
      <c r="P32" s="113">
        <f t="shared" si="8"/>
        <v>0</v>
      </c>
      <c r="Q32" s="113">
        <f t="shared" si="8"/>
        <v>0</v>
      </c>
      <c r="R32" s="113">
        <f t="shared" si="8"/>
        <v>0</v>
      </c>
      <c r="S32" s="113">
        <f t="shared" si="8"/>
        <v>0</v>
      </c>
      <c r="T32" s="113">
        <f t="shared" si="8"/>
        <v>0</v>
      </c>
      <c r="U32" s="113">
        <f t="shared" si="8"/>
        <v>0</v>
      </c>
      <c r="V32" s="113">
        <f t="shared" si="8"/>
        <v>0</v>
      </c>
      <c r="W32" s="113">
        <f t="shared" si="8"/>
        <v>0</v>
      </c>
      <c r="X32" s="116"/>
    </row>
    <row r="33" spans="2:24" ht="15.75" x14ac:dyDescent="0.25">
      <c r="B33" s="89" t="s">
        <v>28</v>
      </c>
      <c r="C33" s="15"/>
      <c r="D33" s="23"/>
      <c r="E33" s="23"/>
      <c r="F33" s="23"/>
      <c r="G33" s="23"/>
      <c r="H33" s="117">
        <f>H15/H10*-1</f>
        <v>-12.5</v>
      </c>
      <c r="I33" s="3"/>
      <c r="J33" s="133"/>
      <c r="K33" s="3"/>
      <c r="L33" s="109" t="s">
        <v>54</v>
      </c>
      <c r="M33" s="109"/>
      <c r="N33" s="109">
        <f t="shared" ref="N33:W33" si="9">+SUM(N29:N32)</f>
        <v>78.2</v>
      </c>
      <c r="O33" s="109">
        <f t="shared" si="9"/>
        <v>79.824000000000012</v>
      </c>
      <c r="P33" s="109">
        <f t="shared" si="9"/>
        <v>81.48048</v>
      </c>
      <c r="Q33" s="109">
        <f t="shared" si="9"/>
        <v>83.170089599999997</v>
      </c>
      <c r="R33" s="109">
        <f t="shared" si="9"/>
        <v>84.893491392000001</v>
      </c>
      <c r="S33" s="109">
        <f t="shared" si="9"/>
        <v>86.651361219839998</v>
      </c>
      <c r="T33" s="109">
        <f t="shared" si="9"/>
        <v>88.444388444236807</v>
      </c>
      <c r="U33" s="109">
        <f t="shared" si="9"/>
        <v>90.273276213121534</v>
      </c>
      <c r="V33" s="109">
        <f t="shared" si="9"/>
        <v>92.138741737383967</v>
      </c>
      <c r="W33" s="109">
        <f t="shared" si="9"/>
        <v>94.041516572131627</v>
      </c>
      <c r="X33" s="116"/>
    </row>
    <row r="34" spans="2:24" ht="15.75" x14ac:dyDescent="0.25">
      <c r="B34" s="89" t="s">
        <v>29</v>
      </c>
      <c r="C34" s="15"/>
      <c r="D34" s="15"/>
      <c r="E34" s="15"/>
      <c r="F34" s="15"/>
      <c r="G34" s="15"/>
      <c r="H34" s="117">
        <f>H17/H10*-1</f>
        <v>-0.2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16"/>
    </row>
    <row r="35" spans="2:24" ht="15.75" x14ac:dyDescent="0.25">
      <c r="B35" s="118" t="s">
        <v>30</v>
      </c>
      <c r="C35" s="68"/>
      <c r="D35" s="68"/>
      <c r="E35" s="68"/>
      <c r="F35" s="68"/>
      <c r="G35" s="68"/>
      <c r="H35" s="119">
        <f>+SUM(H29:H34)</f>
        <v>65.8117345178714</v>
      </c>
      <c r="I35" s="3"/>
      <c r="J35" s="3"/>
      <c r="K35" s="3"/>
      <c r="L35" s="109" t="s">
        <v>55</v>
      </c>
      <c r="M35" s="109"/>
      <c r="N35" s="109">
        <f>+H15</f>
        <v>125</v>
      </c>
      <c r="O35" s="109"/>
      <c r="P35" s="109"/>
      <c r="Q35" s="109"/>
      <c r="R35" s="109"/>
      <c r="S35" s="109"/>
      <c r="T35" s="109"/>
      <c r="U35" s="109"/>
      <c r="V35" s="109"/>
      <c r="W35" s="109"/>
      <c r="X35" s="116"/>
    </row>
    <row r="36" spans="2:24" s="73" customFormat="1" ht="15.75" x14ac:dyDescent="0.25">
      <c r="B36" s="89"/>
      <c r="C36" s="15"/>
      <c r="D36" s="15"/>
      <c r="E36" s="15"/>
      <c r="F36" s="15"/>
      <c r="G36" s="15"/>
      <c r="H36" s="115"/>
      <c r="I36" s="120"/>
      <c r="J36" s="120"/>
      <c r="K36" s="120"/>
      <c r="L36" s="121" t="s">
        <v>56</v>
      </c>
      <c r="M36" s="121"/>
      <c r="N36" s="121">
        <f>-H16</f>
        <v>-65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2"/>
    </row>
    <row r="37" spans="2:24" ht="15.75" x14ac:dyDescent="0.25">
      <c r="B37" s="88" t="s">
        <v>31</v>
      </c>
      <c r="C37" s="15"/>
      <c r="D37" s="15"/>
      <c r="E37" s="15"/>
      <c r="F37" s="15"/>
      <c r="G37" s="15"/>
      <c r="H37" s="115"/>
      <c r="I37" s="3"/>
      <c r="J37" s="3"/>
      <c r="K37" s="3"/>
      <c r="L37" s="109" t="s">
        <v>57</v>
      </c>
      <c r="M37" s="109"/>
      <c r="N37" s="109">
        <f>+H32*H10</f>
        <v>-74</v>
      </c>
      <c r="O37" s="109"/>
      <c r="P37" s="109"/>
      <c r="Q37" s="109"/>
      <c r="R37" s="109"/>
      <c r="S37" s="109"/>
      <c r="T37" s="109"/>
      <c r="U37" s="109"/>
      <c r="V37" s="109"/>
      <c r="W37" s="109"/>
      <c r="X37" s="116"/>
    </row>
    <row r="38" spans="2:24" ht="15.75" x14ac:dyDescent="0.25">
      <c r="B38" s="89" t="s">
        <v>32</v>
      </c>
      <c r="C38" s="15"/>
      <c r="D38" s="15"/>
      <c r="E38" s="15"/>
      <c r="F38" s="15"/>
      <c r="G38" s="15"/>
      <c r="H38" s="123">
        <f>+SUM(N40:W40)*H9</f>
        <v>16862346.903574277</v>
      </c>
      <c r="I38" s="3"/>
      <c r="J38" s="3"/>
      <c r="K38" s="3"/>
      <c r="L38" s="109" t="s">
        <v>58</v>
      </c>
      <c r="M38" s="109"/>
      <c r="N38" s="109">
        <f>+H34*H10</f>
        <v>-2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16"/>
    </row>
    <row r="39" spans="2:24" ht="15.75" x14ac:dyDescent="0.25">
      <c r="B39" s="89" t="s">
        <v>33</v>
      </c>
      <c r="C39" s="15"/>
      <c r="D39" s="15"/>
      <c r="E39" s="15"/>
      <c r="F39" s="15"/>
      <c r="G39" s="15"/>
      <c r="H39" s="123">
        <f>+NPV(H18,N40:W40)*H9</f>
        <v>11085105.979408931</v>
      </c>
      <c r="I39" s="3"/>
      <c r="J39" s="3"/>
      <c r="K39" s="3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6"/>
    </row>
    <row r="40" spans="2:24" ht="15.75" x14ac:dyDescent="0.25">
      <c r="B40" s="89" t="s">
        <v>34</v>
      </c>
      <c r="C40" s="15"/>
      <c r="D40" s="15"/>
      <c r="E40" s="15"/>
      <c r="F40" s="15"/>
      <c r="G40" s="15"/>
      <c r="H40" s="123">
        <f>+(N35+N36)*H9</f>
        <v>1200000</v>
      </c>
      <c r="I40" s="3"/>
      <c r="J40" s="133"/>
      <c r="K40" s="3"/>
      <c r="L40" s="124" t="s">
        <v>59</v>
      </c>
      <c r="M40" s="124"/>
      <c r="N40" s="125">
        <f>+SUM(N33:N38)</f>
        <v>62.199999999999989</v>
      </c>
      <c r="O40" s="125">
        <f t="shared" ref="O40:W40" si="10">+SUM(O33:O38)</f>
        <v>79.824000000000012</v>
      </c>
      <c r="P40" s="125">
        <f t="shared" si="10"/>
        <v>81.48048</v>
      </c>
      <c r="Q40" s="125">
        <f t="shared" si="10"/>
        <v>83.170089599999997</v>
      </c>
      <c r="R40" s="125">
        <f t="shared" si="10"/>
        <v>84.893491392000001</v>
      </c>
      <c r="S40" s="125">
        <f t="shared" si="10"/>
        <v>86.651361219839998</v>
      </c>
      <c r="T40" s="125">
        <f t="shared" si="10"/>
        <v>88.444388444236807</v>
      </c>
      <c r="U40" s="125">
        <f t="shared" si="10"/>
        <v>90.273276213121534</v>
      </c>
      <c r="V40" s="125">
        <f t="shared" si="10"/>
        <v>92.138741737383967</v>
      </c>
      <c r="W40" s="125">
        <f t="shared" si="10"/>
        <v>94.041516572131627</v>
      </c>
      <c r="X40" s="116"/>
    </row>
    <row r="41" spans="2:24" ht="15.75" x14ac:dyDescent="0.25">
      <c r="B41" s="126" t="s">
        <v>35</v>
      </c>
      <c r="C41" s="127"/>
      <c r="D41" s="127"/>
      <c r="E41" s="127"/>
      <c r="F41" s="127"/>
      <c r="G41" s="127"/>
      <c r="H41" s="128">
        <f>+IF(H13="Net",N42*H9,IF(H13="Gross",N43*H9,N44*H9))</f>
        <v>1672558.7079612026</v>
      </c>
      <c r="I41" s="3"/>
      <c r="J41" s="3"/>
      <c r="K41" s="3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16"/>
    </row>
    <row r="42" spans="2:24" ht="21" customHeight="1" x14ac:dyDescent="0.25">
      <c r="B42" s="136"/>
      <c r="C42" s="136"/>
      <c r="D42" s="136"/>
      <c r="E42" s="136"/>
      <c r="F42" s="136"/>
      <c r="G42" s="136"/>
      <c r="H42" s="136"/>
      <c r="I42" s="3"/>
      <c r="J42" s="3"/>
      <c r="K42" s="3"/>
      <c r="L42" s="124" t="s">
        <v>60</v>
      </c>
      <c r="M42" s="124"/>
      <c r="N42" s="129" t="str">
        <f>+IF(H13="Net",(SUM(N23:W23)+N37)/H10+N24+N26+N28+(N35+N36+N38)/H10,"N/A")</f>
        <v>N/A</v>
      </c>
      <c r="O42" s="109"/>
      <c r="P42" s="109"/>
      <c r="Q42" s="109"/>
      <c r="R42" s="109"/>
      <c r="S42" s="109"/>
      <c r="T42" s="109"/>
      <c r="U42" s="109"/>
      <c r="V42" s="109"/>
      <c r="W42" s="109"/>
      <c r="X42" s="116"/>
    </row>
    <row r="43" spans="2:24" ht="15.75" x14ac:dyDescent="0.25">
      <c r="I43" s="3"/>
      <c r="J43" s="3"/>
      <c r="K43" s="3"/>
      <c r="L43" s="124" t="s">
        <v>61</v>
      </c>
      <c r="M43" s="124"/>
      <c r="N43" s="129">
        <f>+IF(H13="Gross",(SUM(N25:W25)+N37+D24*H10)/H10+N26+N28+(N35+N36+N38)/H10,"N/A")</f>
        <v>83.627935398060131</v>
      </c>
      <c r="O43" s="109"/>
      <c r="P43" s="109"/>
      <c r="Q43" s="109"/>
      <c r="R43" s="109"/>
      <c r="S43" s="109"/>
      <c r="T43" s="109"/>
      <c r="U43" s="109"/>
      <c r="V43" s="109"/>
      <c r="W43" s="109"/>
      <c r="X43" s="116"/>
    </row>
    <row r="44" spans="2:24" ht="15.75" x14ac:dyDescent="0.25">
      <c r="I44" s="3"/>
      <c r="J44" s="3"/>
      <c r="K44" s="3"/>
      <c r="L44" s="124" t="s">
        <v>62</v>
      </c>
      <c r="M44" s="124"/>
      <c r="N44" s="129" t="str">
        <f>+IF(H13="Full Service",(SUM(N27:W27)+N37+(D26+D24)*H10)/H10+N28+(N35+N36+N38)/H10,"N/A")</f>
        <v>N/A</v>
      </c>
      <c r="O44" s="109"/>
      <c r="P44" s="109"/>
      <c r="Q44" s="109"/>
      <c r="R44" s="109"/>
      <c r="S44" s="109"/>
      <c r="T44" s="109"/>
      <c r="U44" s="109"/>
      <c r="V44" s="109"/>
      <c r="W44" s="109"/>
      <c r="X44" s="116"/>
    </row>
    <row r="45" spans="2:24" ht="15.75" x14ac:dyDescent="0.25">
      <c r="I45" s="3"/>
      <c r="J45" s="3"/>
      <c r="K45" s="3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</sheetData>
  <mergeCells count="4">
    <mergeCell ref="B2:H2"/>
    <mergeCell ref="B3:H3"/>
    <mergeCell ref="N21:W21"/>
    <mergeCell ref="B42:H42"/>
  </mergeCells>
  <dataValidations count="1">
    <dataValidation type="list" allowBlank="1" showInputMessage="1" showErrorMessage="1" errorTitle="Lease Type" error="Please select one of the three specified Lease Types." sqref="H13">
      <formula1>Type</formula1>
    </dataValidation>
  </dataValidations>
  <printOptions horizontalCentered="1" verticalCentered="1"/>
  <pageMargins left="0.5" right="0.5" top="0.24" bottom="0.2" header="0.22" footer="0.17"/>
  <pageSetup orientation="portrait" verticalDpi="12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#3 Analysis'!N40:W40</xm:f>
              <xm:sqref>J40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#3 Analysis'!N33:W33</xm:f>
              <xm:sqref>J33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#3 Analysis'!N32:W32</xm:f>
              <xm:sqref>J32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#3 Analysis'!N31:W31</xm:f>
              <xm:sqref>J31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#3 Analysis'!N29:W29</xm:f>
              <xm:sqref>J29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#3 Analysis'!N28:W28</xm:f>
              <xm:sqref>J28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#3 Analysis'!N27:W27</xm:f>
              <xm:sqref>J27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#3 Analysis'!N26:W26</xm:f>
              <xm:sqref>J26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#3 Analysis'!N25:W25</xm:f>
              <xm:sqref>J25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#3 Analysis'!N24:W24</xm:f>
              <xm:sqref>J24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'Lease Offer #3 Analysis'!N23:W23</xm:f>
              <xm:sqref>J23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PCREF Module 3</vt:lpstr>
      <vt:lpstr>Comparative Lease Analysis</vt:lpstr>
      <vt:lpstr>Lease Offer #1 Analysis</vt:lpstr>
      <vt:lpstr>Lease Offer #2 Analysis</vt:lpstr>
      <vt:lpstr>Lease Offer #3 Analysis</vt:lpstr>
      <vt:lpstr>'Comparative Lease Analysis'!Print_Area</vt:lpstr>
      <vt:lpstr>'Lease Offer #1 Analysis'!Print_Area</vt:lpstr>
      <vt:lpstr>'Lease Offer #2 Analysis'!Print_Area</vt:lpstr>
      <vt:lpstr>'Lease Offer #3 Analysis'!Print_Area</vt:lpstr>
      <vt:lpstr>'Lease Offer #2 Analysis'!Type</vt:lpstr>
      <vt:lpstr>'Lease Offer #3 Analysis'!Type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REFM_MacAir</cp:lastModifiedBy>
  <cp:lastPrinted>2012-05-28T17:32:05Z</cp:lastPrinted>
  <dcterms:created xsi:type="dcterms:W3CDTF">2010-05-06T19:00:42Z</dcterms:created>
  <dcterms:modified xsi:type="dcterms:W3CDTF">2012-09-20T17:07:27Z</dcterms:modified>
</cp:coreProperties>
</file>