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ruce\OneDrive\Documents\Level 2 Test\"/>
    </mc:Choice>
  </mc:AlternateContent>
  <xr:revisionPtr revIDLastSave="9" documentId="A04B4BCD20548F9114C415A9A579B536C6BA2AC8" xr6:coauthVersionLast="40" xr6:coauthVersionMax="40" xr10:uidLastSave="{EA3FCFA8-BF54-49C9-928D-A704676DDF7E}"/>
  <bookViews>
    <workbookView xWindow="0" yWindow="0" windowWidth="38400" windowHeight="17790" xr2:uid="{00000000-000D-0000-FFFF-FFFF00000000}"/>
  </bookViews>
  <sheets>
    <sheet name="Sheet 1" sheetId="85" r:id="rId1"/>
  </sheets>
  <externalReferences>
    <externalReference r:id="rId2"/>
    <externalReference r:id="rId3"/>
    <externalReference r:id="rId4"/>
  </externalReferences>
  <definedNames>
    <definedName name="__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123Graph_X" hidden="1">#REF!</definedName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_xlnm.Print_Area" localSheetId="0">'Sheet 1'!$B$2:$F$70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data." hidden="1">{"data",#N/A,FALSE,"INPUT"}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localSheetId="0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localSheetId="0" hidden="1">{#N/A,#N/A,FALSE,"Cover";#N/A,#N/A,FALSE,"Stack";#N/A,#N/A,FALSE,"Cost S";#N/A,#N/A,FALSE," CF";#N/A,#N/A,FALSE,"Investor"}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5" i="85" l="1"/>
  <c r="I76" i="85" s="1"/>
  <c r="I77" i="85" s="1"/>
  <c r="I78" i="85" s="1"/>
  <c r="K73" i="85"/>
  <c r="L73" i="85" s="1"/>
  <c r="M73" i="85" s="1"/>
  <c r="N73" i="85" s="1"/>
  <c r="F7" i="85"/>
  <c r="F39" i="85"/>
  <c r="F26" i="85"/>
  <c r="D24" i="85"/>
  <c r="F34" i="85"/>
  <c r="D56" i="85" s="1"/>
  <c r="F37" i="85"/>
  <c r="F43" i="85"/>
  <c r="F9" i="85"/>
  <c r="F10" i="85" s="1"/>
  <c r="F11" i="85" l="1"/>
  <c r="F18" i="85" s="1"/>
  <c r="F17" i="85"/>
  <c r="F22" i="85"/>
  <c r="F23" i="85"/>
  <c r="F38" i="85"/>
  <c r="F19" i="85" l="1"/>
  <c r="F20" i="85" s="1"/>
  <c r="F24" i="85"/>
  <c r="F40" i="85"/>
  <c r="F28" i="85" l="1"/>
  <c r="F60" i="85"/>
  <c r="F42" i="85"/>
  <c r="F64" i="85" l="1"/>
  <c r="F44" i="85"/>
  <c r="F47" i="85" s="1"/>
  <c r="I73" i="85" s="1"/>
  <c r="F45" i="85" l="1"/>
  <c r="E39" i="85"/>
  <c r="F50" i="85"/>
  <c r="E37" i="85"/>
  <c r="E43" i="85"/>
  <c r="E38" i="85"/>
  <c r="E40" i="85"/>
  <c r="E42" i="85"/>
  <c r="F61" i="85"/>
  <c r="F65" i="85"/>
  <c r="F66" i="85"/>
  <c r="F67" i="85" s="1"/>
  <c r="F52" i="85" l="1"/>
  <c r="D50" i="85"/>
  <c r="E44" i="85"/>
  <c r="F68" i="85"/>
  <c r="F51" i="85"/>
  <c r="F69" i="85" s="1"/>
  <c r="D51" i="85" l="1"/>
  <c r="D52" i="85"/>
</calcChain>
</file>

<file path=xl/sharedStrings.xml><?xml version="1.0" encoding="utf-8"?>
<sst xmlns="http://schemas.openxmlformats.org/spreadsheetml/2006/main" count="63" uniqueCount="61">
  <si>
    <t>Office/Industrial Development Back of the Envelope Analysis - FAR-Based</t>
  </si>
  <si>
    <t>Value</t>
  </si>
  <si>
    <t>What Can I Build? (and What Is Required?)</t>
  </si>
  <si>
    <t>Lot Square Footage</t>
  </si>
  <si>
    <t>Total Allowable FAR</t>
  </si>
  <si>
    <t>Less Retail Square Footage</t>
  </si>
  <si>
    <t>Residual Office GSF</t>
  </si>
  <si>
    <t>Rentable Office SF</t>
  </si>
  <si>
    <t>Efficiency</t>
  </si>
  <si>
    <t>Required Parking Spots per 1,000 RSF</t>
  </si>
  <si>
    <t>What Could I Generate In Net Operating Income?</t>
  </si>
  <si>
    <t>Average Annual Rent PSF Full Service - today's value</t>
  </si>
  <si>
    <t>Average Monthly Parking Rent per Spot - today's value</t>
  </si>
  <si>
    <t>Gross Potential Annual Operating Income - Office</t>
  </si>
  <si>
    <t>Gross Potential Annual Operating Income - Parking</t>
  </si>
  <si>
    <t>Less Annual Vacancy and Credit Loss</t>
  </si>
  <si>
    <t>Total Annual Revenue, Net</t>
  </si>
  <si>
    <t>Annual</t>
  </si>
  <si>
    <t>Operating Expenses - today's value</t>
  </si>
  <si>
    <t>Real Estate Taxes - today's value</t>
  </si>
  <si>
    <t>Total Operating and Taxes</t>
  </si>
  <si>
    <t>Retail Component NNN Rent - today's value</t>
  </si>
  <si>
    <t>"Current" Stabilized Net Operating Income (NOI)</t>
  </si>
  <si>
    <t>How Long Would It Take To Build And Stabilize? / What Would It Cost To Develop?</t>
  </si>
  <si>
    <t>Pre-Construction Duration</t>
  </si>
  <si>
    <t>Construction Schedule</t>
  </si>
  <si>
    <t>Post-Construction Lease-Up Duration</t>
  </si>
  <si>
    <t>Total Project Timeline</t>
  </si>
  <si>
    <t>% TPC</t>
  </si>
  <si>
    <t>Base Building Hard Cost &amp; Contingency - today's value</t>
  </si>
  <si>
    <t>Office Tenant Improvements (TIs) and LCs - today's value</t>
  </si>
  <si>
    <t>Retail TIs and LCs - today's value</t>
  </si>
  <si>
    <t>Soft Cost % Hard Costs, Contingency &amp; TIs</t>
  </si>
  <si>
    <t>Senior Construction Loan to Total Project Cost</t>
  </si>
  <si>
    <t>Loan Interest &amp; Operating Deficit, as a blended Rate</t>
  </si>
  <si>
    <t>Land Cost</t>
  </si>
  <si>
    <t>Total Project Cost (TPC)</t>
  </si>
  <si>
    <t>Per GSF</t>
  </si>
  <si>
    <t>"Current" Stabilized NOI Yield on Cost (Going-in Cap Rate)</t>
  </si>
  <si>
    <t>How Would I Fund It?</t>
  </si>
  <si>
    <t>Senior Construction Loan Amount</t>
  </si>
  <si>
    <t>Required Equity Amount</t>
  </si>
  <si>
    <t>Income Annual Inflation Factor</t>
  </si>
  <si>
    <t>Expenses, Taxes &amp; CapEx Annual Inflation</t>
  </si>
  <si>
    <t>Years to Stabilization</t>
  </si>
  <si>
    <t>Annual Capital Expenditures Budget per Office RSF</t>
  </si>
  <si>
    <t>Future Stabilized NOI after CapEx for Valuation</t>
  </si>
  <si>
    <t>The year after the year of stabilization</t>
  </si>
  <si>
    <t>Future Stabilized Yield on Cost (Cap Rate)</t>
  </si>
  <si>
    <t xml:space="preserve">Asset Sale Capitalization Rate </t>
  </si>
  <si>
    <t>Future Gross Capitalized Value</t>
  </si>
  <si>
    <t>Selling Costs</t>
  </si>
  <si>
    <t>Sale Proceeds, Net</t>
  </si>
  <si>
    <t>Pre-Tax Profit on Sale (excludes interim year cash flows)</t>
  </si>
  <si>
    <t>Pre-Tax Profit Margin (excludes interim year cash flows)</t>
  </si>
  <si>
    <t>Multiple on Invested Equity (excludes interim year cash flows)</t>
  </si>
  <si>
    <t>Sensitivity Analysis: Going-in Cap Rate</t>
  </si>
  <si>
    <t>Land Cost per FAR</t>
  </si>
  <si>
    <t>Land Cost per Unit</t>
  </si>
  <si>
    <t>Step Up</t>
  </si>
  <si>
    <t>Rent PSF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</si>
</sst>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#,##0\ &quot;GSF&quot;"/>
    <numFmt numFmtId="167" formatCode="#,##0\ &quot;RSF&quot;"/>
    <numFmt numFmtId="168" formatCode="#,##0.0_);\(#,##0.0\);#,##0.0_);@_)"/>
    <numFmt numFmtId="169" formatCode="&quot;$&quot;_(#,##0.00_);&quot;$&quot;\(#,##0.00\);&quot;$&quot;_(0.00_);@_)"/>
    <numFmt numFmtId="170" formatCode="#,##0_)\x;\(#,##0\)\x;0_)\x;@_)_x"/>
    <numFmt numFmtId="171" formatCode="0.00_);[Red]\(0.00\)"/>
    <numFmt numFmtId="172" formatCode="#,##0\ &quot;SF&quot;"/>
    <numFmt numFmtId="173" formatCode="0.00&quot;x&quot;"/>
    <numFmt numFmtId="174" formatCode="0.0\ &quot;FAR&quot;"/>
    <numFmt numFmtId="175" formatCode="#,##0\ &quot;FAR&quot;"/>
    <numFmt numFmtId="176" formatCode="#,##0\ &quot;spots&quot;"/>
    <numFmt numFmtId="177" formatCode="0\ &quot;months&quot;"/>
    <numFmt numFmtId="178" formatCode="0.0&quot;/unit&quot;"/>
    <numFmt numFmtId="179" formatCode="0\ &quot;units/mo.&quot;"/>
    <numFmt numFmtId="180" formatCode="&quot;$&quot;#,##0.00\ &quot;PSF&quot;"/>
    <numFmt numFmtId="181" formatCode="&quot;$&quot;#,##0&quot;/unit&quot;"/>
    <numFmt numFmtId="182" formatCode="0.00\ &quot;years&quot;"/>
    <numFmt numFmtId="183" formatCode="&quot;$&quot;#,##0.00&quot;/FAR&quot;"/>
    <numFmt numFmtId="184" formatCode="0.00%\ &quot;Interest&quot;"/>
    <numFmt numFmtId="185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Helv"/>
    </font>
    <font>
      <sz val="12"/>
      <color indexed="9"/>
      <name val="Helv"/>
    </font>
    <font>
      <sz val="12"/>
      <color indexed="13"/>
      <name val="Helv"/>
    </font>
    <font>
      <sz val="12"/>
      <color indexed="17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sz val="12"/>
      <color rgb="FF0000FF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  <font>
      <sz val="12"/>
      <color rgb="FF0000FF"/>
      <name val="Calibri"/>
      <family val="2"/>
    </font>
    <font>
      <b/>
      <u/>
      <sz val="12"/>
      <color rgb="FF0000FF"/>
      <name val="Calibri"/>
      <family val="2"/>
    </font>
    <font>
      <sz val="10"/>
      <name val="Calibri"/>
      <family val="2"/>
    </font>
    <font>
      <i/>
      <u/>
      <sz val="12"/>
      <name val="Calibri"/>
      <family val="2"/>
    </font>
    <font>
      <b/>
      <sz val="12"/>
      <color theme="0"/>
      <name val="Calibri"/>
      <family val="2"/>
    </font>
    <font>
      <u/>
      <sz val="12"/>
      <name val="Calibri"/>
      <family val="2"/>
    </font>
    <font>
      <u/>
      <sz val="12"/>
      <color theme="10"/>
      <name val="Calibri"/>
      <family val="2"/>
    </font>
    <font>
      <u/>
      <sz val="10"/>
      <color theme="10"/>
      <name val="Calibri"/>
      <family val="2"/>
    </font>
    <font>
      <b/>
      <sz val="10"/>
      <name val="Calibri"/>
      <family val="2"/>
    </font>
    <font>
      <b/>
      <sz val="10"/>
      <color rgb="FF0000FF"/>
      <name val="Calibri"/>
      <family val="2"/>
    </font>
    <font>
      <sz val="12"/>
      <color theme="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0"/>
      <name val="Times New Roman"/>
      <family val="1"/>
    </font>
    <font>
      <sz val="10"/>
      <name val="Garamond"/>
      <family val="1"/>
    </font>
    <font>
      <sz val="12"/>
      <name val="Garamond"/>
      <family val="1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3">
    <xf numFmtId="0" fontId="0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5" fontId="6" fillId="0" borderId="1" applyFont="0" applyFill="0" applyBorder="0" applyProtection="0">
      <alignment horizontal="center"/>
      <protection locked="0"/>
    </xf>
    <xf numFmtId="38" fontId="6" fillId="0" borderId="0" applyFill="0" applyBorder="0" applyAlignment="0" applyProtection="0"/>
    <xf numFmtId="171" fontId="7" fillId="0" borderId="0" applyFill="0" applyBorder="0" applyAlignment="0" applyProtection="0">
      <alignment horizontal="right"/>
    </xf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37" fontId="8" fillId="0" borderId="1" applyNumberFormat="0" applyFont="0" applyFill="0" applyAlignment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4" fillId="0" borderId="0"/>
    <xf numFmtId="0" fontId="3" fillId="0" borderId="0"/>
    <xf numFmtId="0" fontId="3" fillId="0" borderId="0"/>
    <xf numFmtId="0" fontId="3" fillId="0" borderId="0"/>
    <xf numFmtId="37" fontId="9" fillId="0" borderId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8" fillId="0" borderId="0">
      <alignment vertical="center"/>
    </xf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132">
    <xf numFmtId="0" fontId="0" fillId="0" borderId="0" xfId="0"/>
    <xf numFmtId="0" fontId="17" fillId="3" borderId="0" xfId="0" applyFont="1" applyFill="1" applyBorder="1"/>
    <xf numFmtId="0" fontId="18" fillId="3" borderId="0" xfId="0" applyFont="1" applyFill="1" applyBorder="1"/>
    <xf numFmtId="0" fontId="19" fillId="3" borderId="0" xfId="0" applyFont="1" applyFill="1" applyBorder="1" applyAlignment="1">
      <alignment horizontal="right"/>
    </xf>
    <xf numFmtId="0" fontId="20" fillId="3" borderId="0" xfId="0" applyFont="1" applyFill="1" applyBorder="1" applyAlignment="1">
      <alignment horizontal="center"/>
    </xf>
    <xf numFmtId="0" fontId="20" fillId="3" borderId="3" xfId="19" applyFont="1" applyFill="1" applyBorder="1"/>
    <xf numFmtId="0" fontId="20" fillId="3" borderId="4" xfId="19" applyFont="1" applyFill="1" applyBorder="1"/>
    <xf numFmtId="0" fontId="20" fillId="3" borderId="4" xfId="0" applyFont="1" applyFill="1" applyBorder="1" applyAlignment="1">
      <alignment horizontal="center"/>
    </xf>
    <xf numFmtId="172" fontId="19" fillId="3" borderId="5" xfId="0" applyNumberFormat="1" applyFont="1" applyFill="1" applyBorder="1"/>
    <xf numFmtId="0" fontId="20" fillId="3" borderId="6" xfId="19" applyFont="1" applyFill="1" applyBorder="1"/>
    <xf numFmtId="0" fontId="20" fillId="3" borderId="0" xfId="19" applyFont="1" applyFill="1" applyBorder="1"/>
    <xf numFmtId="174" fontId="19" fillId="3" borderId="0" xfId="0" applyNumberFormat="1" applyFont="1" applyFill="1" applyBorder="1"/>
    <xf numFmtId="175" fontId="20" fillId="3" borderId="7" xfId="0" applyNumberFormat="1" applyFont="1" applyFill="1" applyBorder="1"/>
    <xf numFmtId="172" fontId="19" fillId="3" borderId="7" xfId="0" applyNumberFormat="1" applyFont="1" applyFill="1" applyBorder="1" applyAlignment="1">
      <alignment horizontal="right"/>
    </xf>
    <xf numFmtId="166" fontId="20" fillId="3" borderId="7" xfId="0" applyNumberFormat="1" applyFont="1" applyFill="1" applyBorder="1" applyAlignment="1">
      <alignment horizontal="right"/>
    </xf>
    <xf numFmtId="9" fontId="19" fillId="3" borderId="0" xfId="0" applyNumberFormat="1" applyFont="1" applyFill="1" applyBorder="1" applyAlignment="1">
      <alignment horizontal="right"/>
    </xf>
    <xf numFmtId="9" fontId="20" fillId="3" borderId="0" xfId="0" applyNumberFormat="1" applyFont="1" applyFill="1" applyBorder="1" applyAlignment="1">
      <alignment horizontal="left"/>
    </xf>
    <xf numFmtId="167" fontId="20" fillId="3" borderId="7" xfId="0" applyNumberFormat="1" applyFont="1" applyFill="1" applyBorder="1" applyAlignment="1">
      <alignment horizontal="right"/>
    </xf>
    <xf numFmtId="0" fontId="20" fillId="3" borderId="8" xfId="19" applyFont="1" applyFill="1" applyBorder="1"/>
    <xf numFmtId="0" fontId="20" fillId="3" borderId="2" xfId="19" applyFont="1" applyFill="1" applyBorder="1"/>
    <xf numFmtId="2" fontId="19" fillId="3" borderId="2" xfId="19" applyNumberFormat="1" applyFont="1" applyFill="1" applyBorder="1" applyAlignment="1">
      <alignment horizontal="right"/>
    </xf>
    <xf numFmtId="178" fontId="19" fillId="3" borderId="2" xfId="19" applyNumberFormat="1" applyFont="1" applyFill="1" applyBorder="1" applyAlignment="1">
      <alignment horizontal="right"/>
    </xf>
    <xf numFmtId="176" fontId="20" fillId="3" borderId="9" xfId="0" applyNumberFormat="1" applyFont="1" applyFill="1" applyBorder="1"/>
    <xf numFmtId="0" fontId="20" fillId="3" borderId="0" xfId="19" applyFont="1" applyFill="1" applyBorder="1" applyAlignment="1">
      <alignment horizontal="center"/>
    </xf>
    <xf numFmtId="180" fontId="19" fillId="3" borderId="4" xfId="19" applyNumberFormat="1" applyFont="1" applyFill="1" applyBorder="1" applyAlignment="1">
      <alignment horizontal="right"/>
    </xf>
    <xf numFmtId="180" fontId="19" fillId="3" borderId="5" xfId="0" applyNumberFormat="1" applyFont="1" applyFill="1" applyBorder="1" applyAlignment="1">
      <alignment horizontal="right"/>
    </xf>
    <xf numFmtId="8" fontId="19" fillId="3" borderId="7" xfId="19" applyNumberFormat="1" applyFont="1" applyFill="1" applyBorder="1"/>
    <xf numFmtId="6" fontId="19" fillId="3" borderId="7" xfId="19" applyNumberFormat="1" applyFont="1" applyFill="1" applyBorder="1"/>
    <xf numFmtId="0" fontId="20" fillId="2" borderId="6" xfId="0" applyFont="1" applyFill="1" applyBorder="1"/>
    <xf numFmtId="6" fontId="20" fillId="3" borderId="7" xfId="19" applyNumberFormat="1" applyFont="1" applyFill="1" applyBorder="1"/>
    <xf numFmtId="10" fontId="19" fillId="3" borderId="0" xfId="19" applyNumberFormat="1" applyFont="1" applyFill="1" applyBorder="1" applyAlignment="1">
      <alignment horizontal="right"/>
    </xf>
    <xf numFmtId="6" fontId="21" fillId="3" borderId="7" xfId="19" applyNumberFormat="1" applyFont="1" applyFill="1" applyBorder="1"/>
    <xf numFmtId="0" fontId="20" fillId="3" borderId="7" xfId="19" applyFont="1" applyFill="1" applyBorder="1" applyAlignment="1">
      <alignment horizontal="center"/>
    </xf>
    <xf numFmtId="180" fontId="19" fillId="3" borderId="0" xfId="0" applyNumberFormat="1" applyFont="1" applyFill="1" applyBorder="1" applyAlignment="1">
      <alignment horizontal="right"/>
    </xf>
    <xf numFmtId="6" fontId="22" fillId="3" borderId="7" xfId="19" applyNumberFormat="1" applyFont="1" applyFill="1" applyBorder="1"/>
    <xf numFmtId="180" fontId="23" fillId="3" borderId="0" xfId="0" applyNumberFormat="1" applyFont="1" applyFill="1" applyBorder="1" applyAlignment="1">
      <alignment horizontal="right"/>
    </xf>
    <xf numFmtId="180" fontId="17" fillId="3" borderId="0" xfId="0" applyNumberFormat="1" applyFont="1" applyFill="1" applyBorder="1" applyAlignment="1">
      <alignment horizontal="right"/>
    </xf>
    <xf numFmtId="181" fontId="20" fillId="3" borderId="0" xfId="19" applyNumberFormat="1" applyFont="1" applyFill="1" applyBorder="1" applyAlignment="1">
      <alignment horizontal="right"/>
    </xf>
    <xf numFmtId="8" fontId="19" fillId="3" borderId="0" xfId="19" applyNumberFormat="1" applyFont="1" applyFill="1" applyBorder="1"/>
    <xf numFmtId="165" fontId="20" fillId="3" borderId="7" xfId="19" applyNumberFormat="1" applyFont="1" applyFill="1" applyBorder="1"/>
    <xf numFmtId="0" fontId="17" fillId="3" borderId="8" xfId="19" applyFont="1" applyFill="1" applyBorder="1"/>
    <xf numFmtId="0" fontId="17" fillId="3" borderId="2" xfId="19" applyFont="1" applyFill="1" applyBorder="1"/>
    <xf numFmtId="0" fontId="17" fillId="3" borderId="2" xfId="19" applyFont="1" applyFill="1" applyBorder="1" applyAlignment="1">
      <alignment horizontal="center"/>
    </xf>
    <xf numFmtId="165" fontId="17" fillId="3" borderId="9" xfId="19" applyNumberFormat="1" applyFont="1" applyFill="1" applyBorder="1"/>
    <xf numFmtId="0" fontId="20" fillId="3" borderId="4" xfId="19" applyFont="1" applyFill="1" applyBorder="1" applyAlignment="1">
      <alignment horizontal="right"/>
    </xf>
    <xf numFmtId="177" fontId="19" fillId="3" borderId="5" xfId="0" applyNumberFormat="1" applyFont="1" applyFill="1" applyBorder="1" applyAlignment="1">
      <alignment horizontal="right"/>
    </xf>
    <xf numFmtId="177" fontId="19" fillId="3" borderId="7" xfId="0" applyNumberFormat="1" applyFont="1" applyFill="1" applyBorder="1" applyAlignment="1">
      <alignment horizontal="right"/>
    </xf>
    <xf numFmtId="179" fontId="19" fillId="3" borderId="0" xfId="19" applyNumberFormat="1" applyFont="1" applyFill="1" applyBorder="1" applyAlignment="1">
      <alignment horizontal="center"/>
    </xf>
    <xf numFmtId="177" fontId="23" fillId="3" borderId="7" xfId="0" applyNumberFormat="1" applyFont="1" applyFill="1" applyBorder="1" applyAlignment="1">
      <alignment horizontal="right"/>
    </xf>
    <xf numFmtId="177" fontId="17" fillId="3" borderId="7" xfId="0" applyNumberFormat="1" applyFont="1" applyFill="1" applyBorder="1" applyAlignment="1">
      <alignment horizontal="right"/>
    </xf>
    <xf numFmtId="0" fontId="18" fillId="3" borderId="0" xfId="19" applyFont="1" applyFill="1" applyBorder="1" applyAlignment="1">
      <alignment horizontal="center"/>
    </xf>
    <xf numFmtId="0" fontId="20" fillId="3" borderId="7" xfId="19" applyFont="1" applyFill="1" applyBorder="1"/>
    <xf numFmtId="164" fontId="18" fillId="3" borderId="0" xfId="41" applyNumberFormat="1" applyFont="1" applyFill="1" applyBorder="1" applyAlignment="1">
      <alignment horizontal="center"/>
    </xf>
    <xf numFmtId="164" fontId="18" fillId="3" borderId="0" xfId="19" applyNumberFormat="1" applyFont="1" applyFill="1" applyBorder="1" applyAlignment="1">
      <alignment horizontal="center"/>
    </xf>
    <xf numFmtId="164" fontId="25" fillId="3" borderId="0" xfId="41" applyNumberFormat="1" applyFont="1" applyFill="1" applyBorder="1" applyAlignment="1">
      <alignment horizontal="center"/>
    </xf>
    <xf numFmtId="0" fontId="17" fillId="3" borderId="6" xfId="19" applyFont="1" applyFill="1" applyBorder="1"/>
    <xf numFmtId="0" fontId="17" fillId="3" borderId="0" xfId="19" applyFont="1" applyFill="1" applyBorder="1"/>
    <xf numFmtId="0" fontId="17" fillId="3" borderId="0" xfId="19" applyFont="1" applyFill="1" applyBorder="1" applyAlignment="1">
      <alignment horizontal="center"/>
    </xf>
    <xf numFmtId="165" fontId="17" fillId="3" borderId="7" xfId="19" applyNumberFormat="1" applyFont="1" applyFill="1" applyBorder="1"/>
    <xf numFmtId="0" fontId="18" fillId="3" borderId="8" xfId="19" applyFont="1" applyFill="1" applyBorder="1" applyAlignment="1">
      <alignment horizontal="left" indent="1"/>
    </xf>
    <xf numFmtId="0" fontId="18" fillId="3" borderId="2" xfId="19" applyFont="1" applyFill="1" applyBorder="1"/>
    <xf numFmtId="0" fontId="18" fillId="3" borderId="2" xfId="19" applyFont="1" applyFill="1" applyBorder="1" applyAlignment="1">
      <alignment horizontal="center"/>
    </xf>
    <xf numFmtId="165" fontId="18" fillId="3" borderId="9" xfId="19" applyNumberFormat="1" applyFont="1" applyFill="1" applyBorder="1"/>
    <xf numFmtId="0" fontId="26" fillId="4" borderId="0" xfId="19" applyFont="1" applyFill="1" applyBorder="1"/>
    <xf numFmtId="0" fontId="26" fillId="4" borderId="0" xfId="19" applyFont="1" applyFill="1" applyBorder="1" applyAlignment="1">
      <alignment horizontal="center"/>
    </xf>
    <xf numFmtId="10" fontId="26" fillId="4" borderId="0" xfId="41" applyNumberFormat="1" applyFont="1" applyFill="1" applyBorder="1"/>
    <xf numFmtId="165" fontId="20" fillId="3" borderId="0" xfId="19" applyNumberFormat="1" applyFont="1" applyFill="1" applyBorder="1"/>
    <xf numFmtId="165" fontId="17" fillId="3" borderId="0" xfId="19" applyNumberFormat="1" applyFont="1" applyFill="1" applyBorder="1"/>
    <xf numFmtId="182" fontId="20" fillId="3" borderId="0" xfId="19" applyNumberFormat="1" applyFont="1" applyFill="1" applyBorder="1" applyAlignment="1">
      <alignment horizontal="right"/>
    </xf>
    <xf numFmtId="182" fontId="20" fillId="3" borderId="0" xfId="19" applyNumberFormat="1" applyFont="1" applyFill="1" applyBorder="1" applyAlignment="1">
      <alignment horizontal="left"/>
    </xf>
    <xf numFmtId="8" fontId="19" fillId="3" borderId="0" xfId="0" applyNumberFormat="1" applyFont="1" applyFill="1" applyBorder="1" applyAlignment="1">
      <alignment vertical="top"/>
    </xf>
    <xf numFmtId="10" fontId="17" fillId="3" borderId="0" xfId="41" applyNumberFormat="1" applyFont="1" applyFill="1" applyBorder="1"/>
    <xf numFmtId="6" fontId="20" fillId="3" borderId="0" xfId="19" applyNumberFormat="1" applyFont="1" applyFill="1" applyBorder="1"/>
    <xf numFmtId="0" fontId="20" fillId="3" borderId="0" xfId="0" applyFont="1" applyFill="1" applyBorder="1"/>
    <xf numFmtId="10" fontId="19" fillId="3" borderId="0" xfId="0" applyNumberFormat="1" applyFont="1" applyFill="1" applyBorder="1" applyAlignment="1">
      <alignment horizontal="right"/>
    </xf>
    <xf numFmtId="6" fontId="20" fillId="3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6" fontId="17" fillId="3" borderId="0" xfId="0" applyNumberFormat="1" applyFont="1" applyFill="1" applyBorder="1"/>
    <xf numFmtId="173" fontId="17" fillId="3" borderId="0" xfId="0" applyNumberFormat="1" applyFont="1" applyFill="1" applyBorder="1"/>
    <xf numFmtId="0" fontId="24" fillId="3" borderId="0" xfId="0" applyFont="1" applyFill="1"/>
    <xf numFmtId="0" fontId="29" fillId="2" borderId="0" xfId="15" applyFont="1" applyFill="1" applyAlignment="1" applyProtection="1"/>
    <xf numFmtId="0" fontId="24" fillId="3" borderId="0" xfId="19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0" fillId="3" borderId="0" xfId="19" applyFont="1" applyFill="1"/>
    <xf numFmtId="0" fontId="18" fillId="3" borderId="0" xfId="19" applyFont="1" applyFill="1" applyAlignment="1"/>
    <xf numFmtId="10" fontId="24" fillId="3" borderId="0" xfId="19" applyNumberFormat="1" applyFont="1" applyFill="1"/>
    <xf numFmtId="9" fontId="24" fillId="3" borderId="0" xfId="39" applyFont="1" applyFill="1" applyAlignment="1">
      <alignment horizontal="center"/>
    </xf>
    <xf numFmtId="0" fontId="24" fillId="3" borderId="0" xfId="0" applyFont="1" applyFill="1" applyAlignment="1"/>
    <xf numFmtId="10" fontId="31" fillId="3" borderId="0" xfId="19" applyNumberFormat="1" applyFont="1" applyFill="1" applyAlignment="1">
      <alignment horizontal="right"/>
    </xf>
    <xf numFmtId="165" fontId="30" fillId="3" borderId="0" xfId="19" applyNumberFormat="1" applyFont="1" applyFill="1"/>
    <xf numFmtId="0" fontId="24" fillId="3" borderId="0" xfId="19" applyFont="1" applyFill="1" applyAlignment="1">
      <alignment horizontal="center"/>
    </xf>
    <xf numFmtId="0" fontId="17" fillId="3" borderId="0" xfId="19" applyFont="1" applyFill="1" applyAlignment="1">
      <alignment horizontal="center"/>
    </xf>
    <xf numFmtId="0" fontId="32" fillId="4" borderId="0" xfId="19" applyFont="1" applyFill="1" applyBorder="1"/>
    <xf numFmtId="0" fontId="32" fillId="4" borderId="0" xfId="19" applyFont="1" applyFill="1" applyBorder="1" applyAlignment="1">
      <alignment horizontal="center"/>
    </xf>
    <xf numFmtId="10" fontId="20" fillId="3" borderId="4" xfId="39" applyNumberFormat="1" applyFont="1" applyFill="1" applyBorder="1" applyAlignment="1">
      <alignment horizontal="right"/>
    </xf>
    <xf numFmtId="0" fontId="20" fillId="3" borderId="4" xfId="19" applyFont="1" applyFill="1" applyBorder="1" applyAlignment="1">
      <alignment horizontal="center"/>
    </xf>
    <xf numFmtId="165" fontId="20" fillId="3" borderId="5" xfId="19" applyNumberFormat="1" applyFont="1" applyFill="1" applyBorder="1"/>
    <xf numFmtId="165" fontId="27" fillId="3" borderId="7" xfId="19" applyNumberFormat="1" applyFont="1" applyFill="1" applyBorder="1"/>
    <xf numFmtId="0" fontId="20" fillId="3" borderId="2" xfId="19" applyFont="1" applyFill="1" applyBorder="1" applyAlignment="1">
      <alignment horizontal="center"/>
    </xf>
    <xf numFmtId="0" fontId="33" fillId="2" borderId="0" xfId="15" applyFont="1" applyFill="1" applyAlignment="1" applyProtection="1">
      <alignment horizontal="center"/>
    </xf>
    <xf numFmtId="0" fontId="34" fillId="3" borderId="0" xfId="53" applyFont="1" applyFill="1"/>
    <xf numFmtId="0" fontId="34" fillId="3" borderId="0" xfId="53" applyFont="1" applyFill="1" applyAlignment="1">
      <alignment vertical="top"/>
    </xf>
    <xf numFmtId="180" fontId="37" fillId="3" borderId="0" xfId="53" applyNumberFormat="1" applyFont="1" applyFill="1" applyBorder="1" applyAlignment="1">
      <alignment horizontal="right"/>
    </xf>
    <xf numFmtId="0" fontId="36" fillId="3" borderId="0" xfId="53" applyFont="1" applyFill="1"/>
    <xf numFmtId="0" fontId="17" fillId="3" borderId="0" xfId="0" quotePrefix="1" applyFont="1" applyFill="1" applyAlignment="1"/>
    <xf numFmtId="184" fontId="19" fillId="3" borderId="0" xfId="19" applyNumberFormat="1" applyFont="1" applyFill="1" applyBorder="1" applyAlignment="1">
      <alignment horizontal="right"/>
    </xf>
    <xf numFmtId="8" fontId="21" fillId="3" borderId="7" xfId="19" applyNumberFormat="1" applyFont="1" applyFill="1" applyBorder="1"/>
    <xf numFmtId="0" fontId="36" fillId="3" borderId="0" xfId="53" applyFont="1" applyFill="1" applyAlignment="1">
      <alignment horizontal="center"/>
    </xf>
    <xf numFmtId="0" fontId="40" fillId="3" borderId="0" xfId="53" applyFont="1" applyFill="1"/>
    <xf numFmtId="0" fontId="39" fillId="3" borderId="0" xfId="53" applyFont="1" applyFill="1" applyAlignment="1">
      <alignment horizontal="center"/>
    </xf>
    <xf numFmtId="0" fontId="2" fillId="3" borderId="0" xfId="53" applyFill="1"/>
    <xf numFmtId="10" fontId="36" fillId="3" borderId="0" xfId="53" applyNumberFormat="1" applyFont="1" applyFill="1"/>
    <xf numFmtId="180" fontId="36" fillId="3" borderId="0" xfId="53" applyNumberFormat="1" applyFont="1" applyFill="1"/>
    <xf numFmtId="10" fontId="36" fillId="3" borderId="0" xfId="53" applyNumberFormat="1" applyFont="1" applyFill="1" applyBorder="1"/>
    <xf numFmtId="0" fontId="35" fillId="3" borderId="0" xfId="53" applyFont="1" applyFill="1"/>
    <xf numFmtId="10" fontId="36" fillId="3" borderId="3" xfId="53" applyNumberFormat="1" applyFont="1" applyFill="1" applyBorder="1"/>
    <xf numFmtId="10" fontId="36" fillId="3" borderId="4" xfId="53" applyNumberFormat="1" applyFont="1" applyFill="1" applyBorder="1"/>
    <xf numFmtId="10" fontId="36" fillId="3" borderId="6" xfId="53" applyNumberFormat="1" applyFont="1" applyFill="1" applyBorder="1"/>
    <xf numFmtId="185" fontId="37" fillId="3" borderId="0" xfId="56" applyNumberFormat="1" applyFont="1" applyFill="1" applyBorder="1" applyAlignment="1">
      <alignment horizontal="center"/>
    </xf>
    <xf numFmtId="185" fontId="37" fillId="3" borderId="0" xfId="53" applyNumberFormat="1" applyFont="1" applyFill="1" applyBorder="1" applyAlignment="1">
      <alignment horizontal="right"/>
    </xf>
    <xf numFmtId="185" fontId="36" fillId="3" borderId="0" xfId="53" applyNumberFormat="1" applyFont="1" applyFill="1"/>
    <xf numFmtId="183" fontId="19" fillId="5" borderId="0" xfId="19" applyNumberFormat="1" applyFont="1" applyFill="1" applyBorder="1" applyAlignment="1">
      <alignment horizontal="right"/>
    </xf>
    <xf numFmtId="10" fontId="20" fillId="3" borderId="2" xfId="19" applyNumberFormat="1" applyFont="1" applyFill="1" applyBorder="1" applyAlignment="1">
      <alignment horizontal="right"/>
    </xf>
    <xf numFmtId="10" fontId="27" fillId="3" borderId="0" xfId="39" applyNumberFormat="1" applyFont="1" applyFill="1" applyBorder="1" applyAlignment="1">
      <alignment horizontal="right"/>
    </xf>
    <xf numFmtId="0" fontId="15" fillId="3" borderId="0" xfId="15" applyFont="1" applyFill="1" applyAlignment="1" applyProtection="1">
      <alignment horizontal="center"/>
    </xf>
    <xf numFmtId="0" fontId="35" fillId="3" borderId="0" xfId="53" applyFont="1" applyFill="1" applyAlignment="1">
      <alignment horizontal="center"/>
    </xf>
    <xf numFmtId="0" fontId="17" fillId="3" borderId="0" xfId="0" applyFont="1" applyFill="1" applyBorder="1" applyAlignment="1">
      <alignment horizontal="right"/>
    </xf>
    <xf numFmtId="165" fontId="26" fillId="4" borderId="0" xfId="19" applyNumberFormat="1" applyFont="1" applyFill="1" applyBorder="1"/>
    <xf numFmtId="0" fontId="41" fillId="3" borderId="0" xfId="0" applyFont="1" applyFill="1" applyAlignment="1">
      <alignment horizontal="center"/>
    </xf>
    <xf numFmtId="0" fontId="28" fillId="3" borderId="0" xfId="15" applyFont="1" applyFill="1" applyAlignment="1" applyProtection="1">
      <alignment horizontal="center"/>
    </xf>
    <xf numFmtId="0" fontId="35" fillId="3" borderId="0" xfId="53" applyFont="1" applyFill="1" applyAlignment="1">
      <alignment horizontal="center"/>
    </xf>
  </cellXfs>
  <cellStyles count="63">
    <cellStyle name="_Comma" xfId="1" xr:uid="{00000000-0005-0000-0000-000000000000}"/>
    <cellStyle name="_Currency" xfId="2" xr:uid="{00000000-0005-0000-0000-000001000000}"/>
    <cellStyle name="_Multiple" xfId="3" xr:uid="{00000000-0005-0000-0000-000002000000}"/>
    <cellStyle name="Comma 10" xfId="4" xr:uid="{00000000-0005-0000-0000-000003000000}"/>
    <cellStyle name="Comma 12" xfId="5" xr:uid="{00000000-0005-0000-0000-000004000000}"/>
    <cellStyle name="Comma 2" xfId="6" xr:uid="{00000000-0005-0000-0000-000005000000}"/>
    <cellStyle name="Comma 2 2" xfId="7" xr:uid="{00000000-0005-0000-0000-000006000000}"/>
    <cellStyle name="Comma 3" xfId="8" xr:uid="{00000000-0005-0000-0000-000007000000}"/>
    <cellStyle name="Currency 2" xfId="9" xr:uid="{00000000-0005-0000-0000-000008000000}"/>
    <cellStyle name="Currency 3" xfId="10" xr:uid="{00000000-0005-0000-0000-000009000000}"/>
    <cellStyle name="Currency 4" xfId="11" xr:uid="{00000000-0005-0000-0000-00000A000000}"/>
    <cellStyle name="DATE" xfId="12" xr:uid="{00000000-0005-0000-0000-00000B000000}"/>
    <cellStyle name="Followed Hyperlink" xfId="51" builtinId="9" hidden="1"/>
    <cellStyle name="Followed Hyperlink" xfId="52" builtinId="9" hidden="1"/>
    <cellStyle name="FORMULA" xfId="13" xr:uid="{00000000-0005-0000-0000-00000E000000}"/>
    <cellStyle name="HIDE" xfId="14" xr:uid="{00000000-0005-0000-0000-00000F000000}"/>
    <cellStyle name="Hyperlink" xfId="15" builtinId="8"/>
    <cellStyle name="Hyperlink 2" xfId="16" xr:uid="{00000000-0005-0000-0000-000011000000}"/>
    <cellStyle name="Hyperlink 3" xfId="57" xr:uid="{00000000-0005-0000-0000-000012000000}"/>
    <cellStyle name="Hyperlink 3 2" xfId="60" xr:uid="{00000000-0005-0000-0000-000013000000}"/>
    <cellStyle name="LINK" xfId="17" xr:uid="{00000000-0005-0000-0000-000014000000}"/>
    <cellStyle name="Nor@„l_IRRSENS" xfId="18" xr:uid="{00000000-0005-0000-0000-000015000000}"/>
    <cellStyle name="Normal" xfId="0" builtinId="0"/>
    <cellStyle name="Normal 10" xfId="19" xr:uid="{00000000-0005-0000-0000-000017000000}"/>
    <cellStyle name="Normal 10 2" xfId="53" xr:uid="{00000000-0005-0000-0000-000018000000}"/>
    <cellStyle name="Normal 10 2 2" xfId="61" xr:uid="{00000000-0005-0000-0000-000019000000}"/>
    <cellStyle name="Normal 11" xfId="20" xr:uid="{00000000-0005-0000-0000-00001A000000}"/>
    <cellStyle name="Normal 13" xfId="56" xr:uid="{00000000-0005-0000-0000-00001B000000}"/>
    <cellStyle name="Normal 13 2" xfId="58" xr:uid="{00000000-0005-0000-0000-00001C000000}"/>
    <cellStyle name="Normal 2" xfId="21" xr:uid="{00000000-0005-0000-0000-00001D000000}"/>
    <cellStyle name="Normal 2 2" xfId="22" xr:uid="{00000000-0005-0000-0000-00001E000000}"/>
    <cellStyle name="Normal 2_Clark Comparison (2)" xfId="23" xr:uid="{00000000-0005-0000-0000-00001F000000}"/>
    <cellStyle name="Normal 28" xfId="24" xr:uid="{00000000-0005-0000-0000-000020000000}"/>
    <cellStyle name="Normal 3" xfId="25" xr:uid="{00000000-0005-0000-0000-000021000000}"/>
    <cellStyle name="Normal 4" xfId="26" xr:uid="{00000000-0005-0000-0000-000022000000}"/>
    <cellStyle name="Normal 4 2" xfId="27" xr:uid="{00000000-0005-0000-0000-000023000000}"/>
    <cellStyle name="Normal 4 3" xfId="28" xr:uid="{00000000-0005-0000-0000-000024000000}"/>
    <cellStyle name="Normal 4 4" xfId="29" xr:uid="{00000000-0005-0000-0000-000025000000}"/>
    <cellStyle name="Normal 4 5" xfId="30" xr:uid="{00000000-0005-0000-0000-000026000000}"/>
    <cellStyle name="Normal 4 6" xfId="31" xr:uid="{00000000-0005-0000-0000-000027000000}"/>
    <cellStyle name="Normal 4 7" xfId="32" xr:uid="{00000000-0005-0000-0000-000028000000}"/>
    <cellStyle name="Normal 5" xfId="33" xr:uid="{00000000-0005-0000-0000-000029000000}"/>
    <cellStyle name="Normal 6" xfId="34" xr:uid="{00000000-0005-0000-0000-00002A000000}"/>
    <cellStyle name="Normal 6 2" xfId="55" xr:uid="{00000000-0005-0000-0000-00002B000000}"/>
    <cellStyle name="Normal 6 3" xfId="62" xr:uid="{00000000-0005-0000-0000-00002C000000}"/>
    <cellStyle name="Normal 7" xfId="35" xr:uid="{00000000-0005-0000-0000-00002D000000}"/>
    <cellStyle name="Normal 8" xfId="36" xr:uid="{00000000-0005-0000-0000-00002E000000}"/>
    <cellStyle name="Normal 9" xfId="37" xr:uid="{00000000-0005-0000-0000-00002F000000}"/>
    <cellStyle name="OVERWRITE" xfId="38" xr:uid="{00000000-0005-0000-0000-000030000000}"/>
    <cellStyle name="Percent" xfId="39" builtinId="5"/>
    <cellStyle name="Percent 2" xfId="40" xr:uid="{00000000-0005-0000-0000-000032000000}"/>
    <cellStyle name="Percent 2 2" xfId="41" xr:uid="{00000000-0005-0000-0000-000033000000}"/>
    <cellStyle name="Percent 2 2 2" xfId="59" xr:uid="{00000000-0005-0000-0000-000034000000}"/>
    <cellStyle name="Percent 2 3" xfId="54" xr:uid="{00000000-0005-0000-0000-000035000000}"/>
    <cellStyle name="Percent 3" xfId="42" xr:uid="{00000000-0005-0000-0000-000036000000}"/>
    <cellStyle name="Percent 4" xfId="43" xr:uid="{00000000-0005-0000-0000-000037000000}"/>
    <cellStyle name="Percent 4 2" xfId="44" xr:uid="{00000000-0005-0000-0000-000038000000}"/>
    <cellStyle name="Percent 4 3" xfId="45" xr:uid="{00000000-0005-0000-0000-000039000000}"/>
    <cellStyle name="Percent 4 4" xfId="46" xr:uid="{00000000-0005-0000-0000-00003A000000}"/>
    <cellStyle name="Percent 4 5" xfId="47" xr:uid="{00000000-0005-0000-0000-00003B000000}"/>
    <cellStyle name="Percent 4 6" xfId="48" xr:uid="{00000000-0005-0000-0000-00003C000000}"/>
    <cellStyle name="Percent 4 7" xfId="49" xr:uid="{00000000-0005-0000-0000-00003D000000}"/>
    <cellStyle name="Percent 5" xfId="50" xr:uid="{00000000-0005-0000-0000-00003E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  <sheetName val="A"/>
    </sheetNames>
    <sheetDataSet>
      <sheetData sheetId="0">
        <row r="11">
          <cell r="D11">
            <v>0.10256580965724643</v>
          </cell>
        </row>
      </sheetData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8"/>
  <sheetViews>
    <sheetView tabSelected="1" zoomScaleNormal="100" workbookViewId="0"/>
  </sheetViews>
  <sheetFormatPr defaultColWidth="9.1796875" defaultRowHeight="13" outlineLevelRow="1" x14ac:dyDescent="0.3"/>
  <cols>
    <col min="1" max="1" width="4.81640625" style="101" customWidth="1"/>
    <col min="2" max="2" width="31.26953125" style="81" customWidth="1"/>
    <col min="3" max="3" width="22.54296875" style="81" customWidth="1"/>
    <col min="4" max="4" width="15.26953125" style="91" customWidth="1"/>
    <col min="5" max="5" width="12.26953125" style="91" customWidth="1"/>
    <col min="6" max="6" width="19.26953125" style="81" customWidth="1"/>
    <col min="7" max="7" width="2.7265625" style="81" customWidth="1"/>
    <col min="8" max="8" width="20.81640625" style="81" customWidth="1"/>
    <col min="9" max="9" width="11.54296875" style="81" customWidth="1"/>
    <col min="10" max="16384" width="9.1796875" style="81"/>
  </cols>
  <sheetData>
    <row r="1" spans="1:9" x14ac:dyDescent="0.3">
      <c r="A1" s="100"/>
      <c r="B1" s="80"/>
      <c r="C1" s="80"/>
      <c r="D1" s="80"/>
      <c r="E1" s="80"/>
      <c r="F1" s="80"/>
    </row>
    <row r="2" spans="1:9" ht="17" x14ac:dyDescent="0.4">
      <c r="B2" s="129" t="s">
        <v>0</v>
      </c>
      <c r="C2" s="129"/>
      <c r="D2" s="129"/>
      <c r="E2" s="129"/>
      <c r="F2" s="129"/>
      <c r="H2" s="92"/>
    </row>
    <row r="3" spans="1:9" ht="7.5" customHeight="1" x14ac:dyDescent="0.35">
      <c r="B3" s="82"/>
      <c r="C3" s="82"/>
      <c r="D3" s="4"/>
      <c r="E3" s="83"/>
      <c r="F3" s="83"/>
    </row>
    <row r="4" spans="1:9" ht="15.5" x14ac:dyDescent="0.35">
      <c r="A4" s="102"/>
      <c r="B4" s="73"/>
      <c r="C4" s="2"/>
      <c r="D4" s="3"/>
      <c r="E4" s="4"/>
      <c r="F4" s="127" t="s">
        <v>1</v>
      </c>
      <c r="G4" s="85"/>
      <c r="H4" s="85"/>
    </row>
    <row r="5" spans="1:9" ht="15.5" x14ac:dyDescent="0.35">
      <c r="B5" s="1" t="s">
        <v>2</v>
      </c>
      <c r="C5" s="2"/>
      <c r="D5" s="3"/>
      <c r="E5" s="4"/>
      <c r="F5" s="4"/>
      <c r="G5" s="85"/>
      <c r="H5" s="85"/>
    </row>
    <row r="6" spans="1:9" ht="15.5" x14ac:dyDescent="0.35">
      <c r="B6" s="5" t="s">
        <v>3</v>
      </c>
      <c r="C6" s="6"/>
      <c r="D6" s="7"/>
      <c r="E6" s="7"/>
      <c r="F6" s="8">
        <v>25000</v>
      </c>
      <c r="G6" s="84"/>
      <c r="H6" s="84"/>
    </row>
    <row r="7" spans="1:9" ht="15.5" x14ac:dyDescent="0.35">
      <c r="B7" s="9" t="s">
        <v>4</v>
      </c>
      <c r="C7" s="10"/>
      <c r="D7" s="11">
        <v>8</v>
      </c>
      <c r="E7" s="11"/>
      <c r="F7" s="12">
        <f>F6*D7</f>
        <v>200000</v>
      </c>
      <c r="G7" s="84"/>
      <c r="H7" s="84"/>
    </row>
    <row r="8" spans="1:9" ht="15.5" x14ac:dyDescent="0.35">
      <c r="B8" s="9" t="s">
        <v>5</v>
      </c>
      <c r="C8" s="10"/>
      <c r="D8" s="4"/>
      <c r="E8" s="4"/>
      <c r="F8" s="13">
        <v>12000</v>
      </c>
      <c r="G8" s="84"/>
      <c r="H8" s="84"/>
      <c r="I8" s="86"/>
    </row>
    <row r="9" spans="1:9" ht="15.5" x14ac:dyDescent="0.35">
      <c r="B9" s="9" t="s">
        <v>6</v>
      </c>
      <c r="C9" s="10"/>
      <c r="D9" s="4"/>
      <c r="E9" s="4"/>
      <c r="F9" s="14">
        <f>F7-F8</f>
        <v>188000</v>
      </c>
      <c r="G9" s="84"/>
      <c r="H9" s="84"/>
      <c r="I9" s="86"/>
    </row>
    <row r="10" spans="1:9" ht="15.5" x14ac:dyDescent="0.35">
      <c r="B10" s="9" t="s">
        <v>7</v>
      </c>
      <c r="C10" s="10"/>
      <c r="D10" s="15">
        <v>0.91</v>
      </c>
      <c r="E10" s="16" t="s">
        <v>8</v>
      </c>
      <c r="F10" s="17">
        <f>F9*D10</f>
        <v>171080</v>
      </c>
      <c r="G10" s="84"/>
      <c r="H10" s="84"/>
      <c r="I10" s="86"/>
    </row>
    <row r="11" spans="1:9" ht="15.5" x14ac:dyDescent="0.35">
      <c r="B11" s="18" t="s">
        <v>9</v>
      </c>
      <c r="C11" s="19"/>
      <c r="D11" s="20">
        <v>1.2</v>
      </c>
      <c r="E11" s="21"/>
      <c r="F11" s="22">
        <f>F10/1000*D11</f>
        <v>205.29600000000002</v>
      </c>
      <c r="G11" s="84"/>
      <c r="H11" s="84"/>
      <c r="I11" s="86"/>
    </row>
    <row r="12" spans="1:9" ht="15.5" x14ac:dyDescent="0.35">
      <c r="B12" s="10"/>
      <c r="C12" s="10"/>
      <c r="D12" s="23"/>
      <c r="E12" s="23"/>
      <c r="F12" s="10"/>
      <c r="G12" s="84"/>
      <c r="H12" s="84"/>
      <c r="I12" s="86"/>
    </row>
    <row r="13" spans="1:9" ht="15.5" x14ac:dyDescent="0.35">
      <c r="B13" s="1" t="s">
        <v>10</v>
      </c>
      <c r="C13" s="10"/>
      <c r="D13" s="23"/>
      <c r="E13" s="23"/>
      <c r="F13" s="10"/>
      <c r="G13" s="84"/>
      <c r="H13" s="84"/>
      <c r="I13" s="86"/>
    </row>
    <row r="14" spans="1:9" ht="15.5" outlineLevel="1" x14ac:dyDescent="0.35">
      <c r="B14" s="5" t="s">
        <v>11</v>
      </c>
      <c r="C14" s="6"/>
      <c r="D14" s="24"/>
      <c r="E14" s="24"/>
      <c r="F14" s="25">
        <v>65</v>
      </c>
      <c r="G14" s="84"/>
      <c r="H14" s="84"/>
      <c r="I14" s="86"/>
    </row>
    <row r="15" spans="1:9" ht="15.5" outlineLevel="1" x14ac:dyDescent="0.35">
      <c r="B15" s="9" t="s">
        <v>12</v>
      </c>
      <c r="C15" s="10"/>
      <c r="D15" s="23"/>
      <c r="E15" s="23"/>
      <c r="F15" s="26">
        <v>200</v>
      </c>
      <c r="G15" s="84"/>
      <c r="H15" s="84"/>
      <c r="I15" s="86"/>
    </row>
    <row r="16" spans="1:9" ht="15.5" outlineLevel="1" x14ac:dyDescent="0.35">
      <c r="B16" s="9"/>
      <c r="C16" s="10"/>
      <c r="D16" s="23"/>
      <c r="E16" s="23"/>
      <c r="F16" s="27"/>
      <c r="G16" s="84"/>
      <c r="H16" s="84"/>
      <c r="I16" s="86"/>
    </row>
    <row r="17" spans="2:9" ht="15.5" outlineLevel="1" x14ac:dyDescent="0.35">
      <c r="B17" s="28" t="s">
        <v>13</v>
      </c>
      <c r="C17" s="10"/>
      <c r="D17" s="23"/>
      <c r="E17" s="23"/>
      <c r="F17" s="29">
        <f>(F14*F10)</f>
        <v>11120200</v>
      </c>
      <c r="G17" s="84"/>
      <c r="H17" s="84"/>
      <c r="I17" s="86"/>
    </row>
    <row r="18" spans="2:9" ht="15.5" outlineLevel="1" x14ac:dyDescent="0.35">
      <c r="B18" s="28" t="s">
        <v>14</v>
      </c>
      <c r="C18" s="10"/>
      <c r="D18" s="23"/>
      <c r="E18" s="23"/>
      <c r="F18" s="29">
        <f>F15*F11*12</f>
        <v>492710.40000000002</v>
      </c>
      <c r="G18" s="84"/>
      <c r="H18" s="84"/>
      <c r="I18" s="86"/>
    </row>
    <row r="19" spans="2:9" ht="15.5" outlineLevel="1" x14ac:dyDescent="0.35">
      <c r="B19" s="9" t="s">
        <v>15</v>
      </c>
      <c r="C19" s="10"/>
      <c r="D19" s="30">
        <v>0.05</v>
      </c>
      <c r="E19" s="30"/>
      <c r="F19" s="107">
        <f>-D19*SUM(F17:F18)</f>
        <v>-580645.52</v>
      </c>
      <c r="G19" s="84"/>
      <c r="H19" s="84"/>
      <c r="I19" s="86"/>
    </row>
    <row r="20" spans="2:9" ht="15.5" outlineLevel="1" x14ac:dyDescent="0.35">
      <c r="B20" s="9" t="s">
        <v>16</v>
      </c>
      <c r="C20" s="10"/>
      <c r="D20" s="23"/>
      <c r="E20" s="23"/>
      <c r="F20" s="29">
        <f>SUM(F17:F19)</f>
        <v>11032264.880000001</v>
      </c>
      <c r="G20" s="84"/>
      <c r="H20" s="84"/>
      <c r="I20" s="86"/>
    </row>
    <row r="21" spans="2:9" ht="15.5" outlineLevel="1" x14ac:dyDescent="0.35">
      <c r="B21" s="9"/>
      <c r="C21" s="10"/>
      <c r="D21" s="23" t="s">
        <v>17</v>
      </c>
      <c r="E21" s="23"/>
      <c r="F21" s="32"/>
      <c r="G21" s="84"/>
      <c r="H21" s="84"/>
      <c r="I21" s="86"/>
    </row>
    <row r="22" spans="2:9" ht="15.5" outlineLevel="1" x14ac:dyDescent="0.35">
      <c r="B22" s="9" t="s">
        <v>18</v>
      </c>
      <c r="C22" s="10"/>
      <c r="D22" s="33">
        <v>17</v>
      </c>
      <c r="E22" s="10"/>
      <c r="F22" s="34">
        <f>-D22*F10</f>
        <v>-2908360</v>
      </c>
      <c r="G22" s="84"/>
      <c r="H22" s="84"/>
      <c r="I22" s="86"/>
    </row>
    <row r="23" spans="2:9" ht="15.5" outlineLevel="1" x14ac:dyDescent="0.35">
      <c r="B23" s="9" t="s">
        <v>19</v>
      </c>
      <c r="C23" s="10"/>
      <c r="D23" s="35">
        <v>15</v>
      </c>
      <c r="E23" s="10"/>
      <c r="F23" s="31">
        <f>-D23*F10</f>
        <v>-2566200</v>
      </c>
      <c r="G23" s="84"/>
      <c r="H23" s="84"/>
      <c r="I23" s="86"/>
    </row>
    <row r="24" spans="2:9" ht="15.5" outlineLevel="1" x14ac:dyDescent="0.35">
      <c r="B24" s="9" t="s">
        <v>20</v>
      </c>
      <c r="C24" s="10"/>
      <c r="D24" s="36">
        <f>SUM(D22:D23)</f>
        <v>32</v>
      </c>
      <c r="E24" s="10"/>
      <c r="F24" s="34">
        <f>SUM(F22:F23)</f>
        <v>-5474560</v>
      </c>
      <c r="G24" s="84"/>
      <c r="H24" s="84"/>
      <c r="I24" s="86"/>
    </row>
    <row r="25" spans="2:9" ht="15.5" outlineLevel="1" x14ac:dyDescent="0.35">
      <c r="B25" s="9"/>
      <c r="C25" s="10"/>
      <c r="D25" s="37"/>
      <c r="E25" s="37"/>
      <c r="F25" s="34"/>
      <c r="G25" s="84"/>
      <c r="H25" s="84"/>
      <c r="I25" s="86"/>
    </row>
    <row r="26" spans="2:9" ht="15.5" outlineLevel="1" x14ac:dyDescent="0.35">
      <c r="B26" s="9" t="s">
        <v>21</v>
      </c>
      <c r="C26" s="10"/>
      <c r="D26" s="38">
        <v>35</v>
      </c>
      <c r="E26" s="10"/>
      <c r="F26" s="39">
        <f>D26*F8</f>
        <v>420000</v>
      </c>
      <c r="G26" s="84"/>
      <c r="H26" s="84"/>
      <c r="I26" s="86"/>
    </row>
    <row r="27" spans="2:9" ht="15.5" outlineLevel="1" x14ac:dyDescent="0.35">
      <c r="B27" s="9"/>
      <c r="C27" s="10"/>
      <c r="D27" s="23"/>
      <c r="E27" s="23"/>
      <c r="F27" s="39"/>
      <c r="G27" s="84"/>
      <c r="H27" s="84"/>
      <c r="I27" s="86"/>
    </row>
    <row r="28" spans="2:9" ht="15.5" x14ac:dyDescent="0.35">
      <c r="B28" s="40" t="s">
        <v>22</v>
      </c>
      <c r="C28" s="41"/>
      <c r="D28" s="42"/>
      <c r="E28" s="42"/>
      <c r="F28" s="43">
        <f>F20+F24+F26</f>
        <v>5977704.8800000008</v>
      </c>
      <c r="G28" s="84"/>
      <c r="H28" s="84"/>
      <c r="I28" s="86"/>
    </row>
    <row r="29" spans="2:9" ht="15.5" x14ac:dyDescent="0.35">
      <c r="B29" s="10"/>
      <c r="C29" s="10"/>
      <c r="D29" s="23"/>
      <c r="E29" s="23"/>
      <c r="F29" s="10"/>
      <c r="G29" s="84"/>
      <c r="H29" s="84"/>
      <c r="I29" s="86"/>
    </row>
    <row r="30" spans="2:9" ht="15.5" x14ac:dyDescent="0.35">
      <c r="B30" s="1" t="s">
        <v>23</v>
      </c>
      <c r="C30" s="10"/>
      <c r="D30" s="23"/>
      <c r="E30" s="23"/>
      <c r="F30" s="10"/>
      <c r="G30" s="84"/>
      <c r="H30" s="84"/>
      <c r="I30" s="86"/>
    </row>
    <row r="31" spans="2:9" ht="15.5" outlineLevel="1" x14ac:dyDescent="0.35">
      <c r="B31" s="5" t="s">
        <v>24</v>
      </c>
      <c r="C31" s="6"/>
      <c r="D31" s="44"/>
      <c r="E31" s="44"/>
      <c r="F31" s="45">
        <v>18</v>
      </c>
      <c r="G31" s="84"/>
      <c r="H31" s="84"/>
    </row>
    <row r="32" spans="2:9" ht="15.5" outlineLevel="1" x14ac:dyDescent="0.35">
      <c r="B32" s="9" t="s">
        <v>25</v>
      </c>
      <c r="C32" s="10"/>
      <c r="D32" s="23"/>
      <c r="E32" s="23"/>
      <c r="F32" s="46">
        <v>24</v>
      </c>
      <c r="G32" s="84"/>
      <c r="H32" s="84"/>
    </row>
    <row r="33" spans="2:8" ht="15.5" outlineLevel="1" x14ac:dyDescent="0.35">
      <c r="B33" s="9" t="s">
        <v>26</v>
      </c>
      <c r="C33" s="10"/>
      <c r="D33" s="47"/>
      <c r="E33" s="23"/>
      <c r="F33" s="48">
        <v>21</v>
      </c>
      <c r="G33" s="84"/>
      <c r="H33" s="84"/>
    </row>
    <row r="34" spans="2:8" ht="15.5" outlineLevel="1" x14ac:dyDescent="0.35">
      <c r="B34" s="9" t="s">
        <v>27</v>
      </c>
      <c r="C34" s="10"/>
      <c r="D34" s="23"/>
      <c r="E34" s="23"/>
      <c r="F34" s="49">
        <f>SUM(F31:F33)</f>
        <v>63</v>
      </c>
      <c r="G34" s="84"/>
      <c r="H34" s="84"/>
    </row>
    <row r="35" spans="2:8" ht="15.5" outlineLevel="1" x14ac:dyDescent="0.35">
      <c r="B35" s="9"/>
      <c r="C35" s="10"/>
      <c r="D35" s="10"/>
      <c r="E35" s="10"/>
      <c r="F35" s="51"/>
      <c r="G35" s="84"/>
      <c r="H35" s="84"/>
    </row>
    <row r="36" spans="2:8" ht="15.5" outlineLevel="1" x14ac:dyDescent="0.35">
      <c r="B36" s="9"/>
      <c r="C36" s="10"/>
      <c r="D36" s="10"/>
      <c r="E36" s="50" t="s">
        <v>28</v>
      </c>
      <c r="F36" s="51"/>
      <c r="G36" s="84"/>
    </row>
    <row r="37" spans="2:8" ht="15.5" outlineLevel="1" x14ac:dyDescent="0.35">
      <c r="B37" s="9" t="s">
        <v>29</v>
      </c>
      <c r="C37" s="10"/>
      <c r="D37" s="33">
        <v>225</v>
      </c>
      <c r="E37" s="52">
        <f>F37/$F$44</f>
        <v>0.48136348060735978</v>
      </c>
      <c r="F37" s="39">
        <f>D37*F7</f>
        <v>45000000</v>
      </c>
      <c r="G37" s="84"/>
    </row>
    <row r="38" spans="2:8" ht="15.5" outlineLevel="1" x14ac:dyDescent="0.35">
      <c r="B38" s="9" t="s">
        <v>30</v>
      </c>
      <c r="C38" s="10"/>
      <c r="D38" s="33">
        <v>50</v>
      </c>
      <c r="E38" s="52">
        <f>F38/$F$44</f>
        <v>9.1501849180341238E-2</v>
      </c>
      <c r="F38" s="39">
        <f>D38*F10</f>
        <v>8554000</v>
      </c>
      <c r="G38" s="84"/>
    </row>
    <row r="39" spans="2:8" ht="15.5" outlineLevel="1" x14ac:dyDescent="0.35">
      <c r="B39" s="9" t="s">
        <v>31</v>
      </c>
      <c r="C39" s="10"/>
      <c r="D39" s="33">
        <v>25</v>
      </c>
      <c r="E39" s="52">
        <f>F39/$F$44</f>
        <v>3.2090898707157318E-3</v>
      </c>
      <c r="F39" s="39">
        <f>D39*F8</f>
        <v>300000</v>
      </c>
      <c r="G39" s="84"/>
    </row>
    <row r="40" spans="2:8" ht="15.5" outlineLevel="1" x14ac:dyDescent="0.35">
      <c r="B40" s="9" t="s">
        <v>32</v>
      </c>
      <c r="C40" s="10"/>
      <c r="D40" s="30">
        <v>0.3</v>
      </c>
      <c r="E40" s="52">
        <f>F40/$F$44</f>
        <v>0.17282232589752503</v>
      </c>
      <c r="F40" s="39">
        <f>D40*(F37+F38+F39)</f>
        <v>16156200</v>
      </c>
      <c r="G40" s="84"/>
    </row>
    <row r="41" spans="2:8" ht="15.5" outlineLevel="1" x14ac:dyDescent="0.35">
      <c r="B41" s="9" t="s">
        <v>33</v>
      </c>
      <c r="C41" s="10"/>
      <c r="D41" s="30">
        <v>0.65</v>
      </c>
      <c r="E41" s="53"/>
      <c r="F41" s="39"/>
      <c r="G41" s="84"/>
    </row>
    <row r="42" spans="2:8" ht="15.5" outlineLevel="1" x14ac:dyDescent="0.35">
      <c r="B42" s="9" t="s">
        <v>34</v>
      </c>
      <c r="C42" s="10"/>
      <c r="D42" s="106">
        <v>7.0000000000000007E-2</v>
      </c>
      <c r="E42" s="52">
        <f>F42/$F$44</f>
        <v>0.10669421026185026</v>
      </c>
      <c r="F42" s="39">
        <f>D42*((SUM(F31:F33)/12/2))*D41*SUM(F37:F40,F43)</f>
        <v>9974249.5125000011</v>
      </c>
      <c r="G42" s="84"/>
      <c r="H42" s="82"/>
    </row>
    <row r="43" spans="2:8" ht="15.5" x14ac:dyDescent="0.35">
      <c r="B43" s="9" t="s">
        <v>35</v>
      </c>
      <c r="C43" s="10"/>
      <c r="D43" s="122">
        <v>67.5</v>
      </c>
      <c r="E43" s="54">
        <f>F43/$F$44</f>
        <v>0.14440904418220793</v>
      </c>
      <c r="F43" s="98">
        <f>D43*F7</f>
        <v>13500000</v>
      </c>
      <c r="G43" s="84"/>
      <c r="H43" s="82"/>
    </row>
    <row r="44" spans="2:8" ht="15.5" x14ac:dyDescent="0.35">
      <c r="B44" s="55" t="s">
        <v>36</v>
      </c>
      <c r="C44" s="56"/>
      <c r="D44" s="57"/>
      <c r="E44" s="52">
        <f>SUM(E37:E43)</f>
        <v>0.99999999999999989</v>
      </c>
      <c r="F44" s="58">
        <f>SUM(F37:F43)</f>
        <v>93484449.512500003</v>
      </c>
      <c r="G44" s="84"/>
      <c r="H44" s="105"/>
    </row>
    <row r="45" spans="2:8" ht="15.5" x14ac:dyDescent="0.35">
      <c r="B45" s="59" t="s">
        <v>37</v>
      </c>
      <c r="C45" s="60"/>
      <c r="D45" s="61"/>
      <c r="E45" s="19"/>
      <c r="F45" s="62">
        <f>F44/F7</f>
        <v>467.42224756249999</v>
      </c>
      <c r="G45" s="84"/>
      <c r="H45" s="87"/>
    </row>
    <row r="46" spans="2:8" ht="15.5" x14ac:dyDescent="0.35">
      <c r="B46" s="10"/>
      <c r="C46" s="10"/>
      <c r="D46" s="23"/>
      <c r="E46" s="23"/>
      <c r="F46" s="10"/>
      <c r="G46" s="84"/>
      <c r="H46" s="79"/>
    </row>
    <row r="47" spans="2:8" ht="15.5" x14ac:dyDescent="0.35">
      <c r="B47" s="63" t="s">
        <v>38</v>
      </c>
      <c r="C47" s="63"/>
      <c r="D47" s="64"/>
      <c r="E47" s="64"/>
      <c r="F47" s="65">
        <f>F28/F44</f>
        <v>6.3943307268453348E-2</v>
      </c>
      <c r="G47" s="84"/>
      <c r="H47" s="79"/>
    </row>
    <row r="48" spans="2:8" ht="15.5" outlineLevel="1" x14ac:dyDescent="0.35">
      <c r="B48" s="10"/>
      <c r="C48" s="10"/>
      <c r="D48" s="10"/>
      <c r="E48" s="10"/>
      <c r="F48" s="10"/>
      <c r="G48" s="84"/>
      <c r="H48" s="79"/>
    </row>
    <row r="49" spans="2:16" ht="15.5" outlineLevel="1" x14ac:dyDescent="0.35">
      <c r="B49" s="1" t="s">
        <v>39</v>
      </c>
      <c r="C49" s="10"/>
      <c r="D49" s="10"/>
      <c r="E49" s="10"/>
      <c r="F49" s="10"/>
      <c r="G49" s="84"/>
      <c r="H49" s="79"/>
    </row>
    <row r="50" spans="2:16" ht="15.5" outlineLevel="1" x14ac:dyDescent="0.35">
      <c r="B50" s="5" t="s">
        <v>40</v>
      </c>
      <c r="C50" s="6"/>
      <c r="D50" s="95">
        <f>F50/F44</f>
        <v>0.65</v>
      </c>
      <c r="E50" s="96"/>
      <c r="F50" s="97">
        <f>D41*F44</f>
        <v>60764892.183125004</v>
      </c>
      <c r="G50" s="84"/>
      <c r="H50" s="88"/>
    </row>
    <row r="51" spans="2:16" ht="15.5" outlineLevel="1" x14ac:dyDescent="0.35">
      <c r="B51" s="9" t="s">
        <v>41</v>
      </c>
      <c r="C51" s="10"/>
      <c r="D51" s="124">
        <f>1-D50</f>
        <v>0.35</v>
      </c>
      <c r="E51" s="10"/>
      <c r="F51" s="98">
        <f>F44-F50</f>
        <v>32719557.329374999</v>
      </c>
      <c r="G51" s="84"/>
      <c r="H51" s="79"/>
    </row>
    <row r="52" spans="2:16" ht="15.5" outlineLevel="1" x14ac:dyDescent="0.35">
      <c r="B52" s="18"/>
      <c r="C52" s="19"/>
      <c r="D52" s="123">
        <f>SUM(D50:D51)</f>
        <v>1</v>
      </c>
      <c r="E52" s="99"/>
      <c r="F52" s="43">
        <f>SUM(F50:F51)</f>
        <v>93484449.512500003</v>
      </c>
      <c r="G52" s="84"/>
      <c r="H52" s="79"/>
    </row>
    <row r="53" spans="2:16" ht="15.5" outlineLevel="1" x14ac:dyDescent="0.35">
      <c r="B53" s="10"/>
      <c r="C53" s="10"/>
      <c r="D53" s="23"/>
      <c r="E53" s="23"/>
      <c r="F53" s="67"/>
      <c r="G53" s="84"/>
      <c r="H53" s="79"/>
    </row>
    <row r="54" spans="2:16" ht="15.5" outlineLevel="1" x14ac:dyDescent="0.35">
      <c r="B54" s="10" t="s">
        <v>42</v>
      </c>
      <c r="C54" s="10"/>
      <c r="D54" s="30">
        <v>0.03</v>
      </c>
      <c r="E54" s="30"/>
      <c r="F54" s="66"/>
      <c r="G54" s="84"/>
      <c r="H54" s="79"/>
    </row>
    <row r="55" spans="2:16" ht="15.5" outlineLevel="1" x14ac:dyDescent="0.35">
      <c r="B55" s="10" t="s">
        <v>43</v>
      </c>
      <c r="C55" s="10"/>
      <c r="D55" s="30">
        <v>0.03</v>
      </c>
      <c r="E55" s="30"/>
      <c r="F55" s="66"/>
      <c r="G55" s="84"/>
      <c r="H55" s="79"/>
    </row>
    <row r="56" spans="2:16" ht="15.5" outlineLevel="1" x14ac:dyDescent="0.35">
      <c r="B56" s="10" t="s">
        <v>44</v>
      </c>
      <c r="C56" s="10"/>
      <c r="D56" s="68">
        <f>ROUNDUP(F34/12,0)</f>
        <v>6</v>
      </c>
      <c r="E56" s="69"/>
      <c r="F56" s="66"/>
      <c r="G56" s="84"/>
      <c r="H56" s="79"/>
    </row>
    <row r="57" spans="2:16" ht="8.25" customHeight="1" outlineLevel="1" x14ac:dyDescent="0.35">
      <c r="B57" s="10"/>
      <c r="C57" s="10"/>
      <c r="D57" s="23"/>
      <c r="E57" s="23"/>
      <c r="F57" s="66"/>
      <c r="G57" s="84"/>
      <c r="H57" s="79"/>
      <c r="N57" s="89"/>
      <c r="O57" s="89"/>
      <c r="P57" s="90"/>
    </row>
    <row r="58" spans="2:16" ht="15.5" outlineLevel="1" x14ac:dyDescent="0.35">
      <c r="B58" s="10" t="s">
        <v>45</v>
      </c>
      <c r="C58" s="10"/>
      <c r="D58" s="70">
        <v>0.3</v>
      </c>
      <c r="E58" s="23"/>
      <c r="F58" s="10"/>
      <c r="G58" s="84"/>
      <c r="H58" s="79"/>
      <c r="I58" s="89"/>
      <c r="J58" s="90"/>
    </row>
    <row r="59" spans="2:16" ht="11.25" customHeight="1" x14ac:dyDescent="0.35">
      <c r="B59" s="10"/>
      <c r="C59" s="10"/>
      <c r="D59" s="10"/>
      <c r="E59" s="10"/>
      <c r="F59" s="10"/>
      <c r="G59" s="84"/>
      <c r="H59" s="79"/>
    </row>
    <row r="60" spans="2:16" ht="15.5" outlineLevel="1" x14ac:dyDescent="0.35">
      <c r="B60" s="63" t="s">
        <v>46</v>
      </c>
      <c r="C60" s="93"/>
      <c r="D60" s="94"/>
      <c r="E60" s="94"/>
      <c r="F60" s="128">
        <f>F20*(1+D54)^(ROUNDDOWN(D56,0)+1)+(F24-(D58*F10))*(1+D55)^(ROUNDDOWN(D56,0)+1)+F26*(1+D54)^(ROUNDDOWN(D56,0)+1)</f>
        <v>7288700.9608656447</v>
      </c>
      <c r="G60" s="84"/>
      <c r="H60" s="82" t="s">
        <v>47</v>
      </c>
    </row>
    <row r="61" spans="2:16" ht="15.5" outlineLevel="1" x14ac:dyDescent="0.35">
      <c r="B61" s="63" t="s">
        <v>48</v>
      </c>
      <c r="C61" s="93"/>
      <c r="D61" s="94"/>
      <c r="E61" s="94"/>
      <c r="F61" s="65">
        <f>F60/F44</f>
        <v>7.7966988080633209E-2</v>
      </c>
      <c r="G61" s="84"/>
      <c r="H61" s="84"/>
    </row>
    <row r="62" spans="2:16" ht="8.25" customHeight="1" outlineLevel="1" x14ac:dyDescent="0.35">
      <c r="B62" s="56"/>
      <c r="C62" s="10"/>
      <c r="D62" s="23"/>
      <c r="E62" s="23"/>
      <c r="F62" s="67"/>
      <c r="G62" s="84"/>
      <c r="H62" s="84"/>
    </row>
    <row r="63" spans="2:16" ht="15.5" outlineLevel="1" x14ac:dyDescent="0.35">
      <c r="B63" s="10" t="s">
        <v>49</v>
      </c>
      <c r="C63" s="10"/>
      <c r="D63" s="23"/>
      <c r="E63" s="23"/>
      <c r="F63" s="30">
        <v>0.06</v>
      </c>
      <c r="G63" s="84"/>
      <c r="H63" s="84"/>
    </row>
    <row r="64" spans="2:16" ht="15.5" outlineLevel="1" x14ac:dyDescent="0.35">
      <c r="B64" s="10" t="s">
        <v>50</v>
      </c>
      <c r="C64" s="10"/>
      <c r="D64" s="23"/>
      <c r="E64" s="23"/>
      <c r="F64" s="72">
        <f>F60/F63</f>
        <v>121478349.34776075</v>
      </c>
      <c r="G64" s="84"/>
      <c r="H64" s="84"/>
    </row>
    <row r="65" spans="2:17" ht="15.5" outlineLevel="1" x14ac:dyDescent="0.35">
      <c r="B65" s="73" t="s">
        <v>51</v>
      </c>
      <c r="C65" s="73"/>
      <c r="D65" s="74">
        <v>0.04</v>
      </c>
      <c r="E65" s="4"/>
      <c r="F65" s="75">
        <f>D65*-F64</f>
        <v>-4859133.9739104304</v>
      </c>
      <c r="G65" s="84"/>
      <c r="H65" s="84"/>
    </row>
    <row r="66" spans="2:17" ht="15.5" outlineLevel="1" x14ac:dyDescent="0.35">
      <c r="B66" s="1" t="s">
        <v>52</v>
      </c>
      <c r="C66" s="1"/>
      <c r="D66" s="76"/>
      <c r="E66" s="76"/>
      <c r="F66" s="77">
        <f>F64+F65</f>
        <v>116619215.37385032</v>
      </c>
      <c r="G66" s="84"/>
      <c r="H66" s="84"/>
    </row>
    <row r="67" spans="2:17" ht="15.5" outlineLevel="1" x14ac:dyDescent="0.35">
      <c r="B67" s="1" t="s">
        <v>53</v>
      </c>
      <c r="C67" s="73"/>
      <c r="D67" s="4"/>
      <c r="E67" s="4"/>
      <c r="F67" s="77">
        <f>F66-F44</f>
        <v>23134765.861350313</v>
      </c>
      <c r="G67" s="84"/>
      <c r="H67" s="84"/>
    </row>
    <row r="68" spans="2:17" ht="15.5" outlineLevel="1" x14ac:dyDescent="0.35">
      <c r="B68" s="56" t="s">
        <v>54</v>
      </c>
      <c r="C68" s="10"/>
      <c r="D68" s="23"/>
      <c r="E68" s="23"/>
      <c r="F68" s="71">
        <f>F67/F44</f>
        <v>0.24747180929013135</v>
      </c>
      <c r="G68" s="84"/>
      <c r="H68" s="84"/>
    </row>
    <row r="69" spans="2:17" ht="15.5" outlineLevel="1" x14ac:dyDescent="0.35">
      <c r="B69" s="1" t="s">
        <v>55</v>
      </c>
      <c r="C69" s="10"/>
      <c r="D69" s="23"/>
      <c r="E69" s="23"/>
      <c r="F69" s="78">
        <f>F67/F51+1</f>
        <v>1.7070623122575181</v>
      </c>
    </row>
    <row r="70" spans="2:17" ht="21" customHeight="1" x14ac:dyDescent="0.35">
      <c r="B70" s="130"/>
      <c r="C70" s="130"/>
      <c r="D70" s="130"/>
      <c r="E70" s="130"/>
      <c r="F70" s="130"/>
    </row>
    <row r="71" spans="2:17" ht="15.5" x14ac:dyDescent="0.35">
      <c r="B71" s="125"/>
      <c r="C71" s="125"/>
      <c r="D71" s="125"/>
      <c r="E71" s="125"/>
      <c r="F71" s="125"/>
      <c r="H71" s="104"/>
      <c r="I71" s="115" t="s">
        <v>56</v>
      </c>
      <c r="J71" s="109"/>
      <c r="K71" s="104"/>
      <c r="L71" s="104"/>
      <c r="M71" s="104"/>
      <c r="N71" s="104"/>
      <c r="O71" s="104"/>
      <c r="P71" s="104"/>
      <c r="Q71" s="111"/>
    </row>
    <row r="72" spans="2:17" ht="15.5" x14ac:dyDescent="0.35">
      <c r="H72" s="104"/>
      <c r="I72" s="104"/>
      <c r="J72" s="131" t="s">
        <v>57</v>
      </c>
      <c r="K72" s="131"/>
      <c r="L72" s="131"/>
      <c r="M72" s="131"/>
      <c r="N72" s="131"/>
      <c r="O72" s="104"/>
      <c r="P72" s="108" t="s">
        <v>58</v>
      </c>
      <c r="Q72" s="111"/>
    </row>
    <row r="73" spans="2:17" ht="15.5" x14ac:dyDescent="0.35">
      <c r="H73" s="104"/>
      <c r="I73" s="114">
        <f>F47</f>
        <v>6.3943307268453348E-2</v>
      </c>
      <c r="J73" s="120">
        <v>66</v>
      </c>
      <c r="K73" s="121">
        <f>J73+$P$74</f>
        <v>67.5</v>
      </c>
      <c r="L73" s="121">
        <f>K73+$P$74</f>
        <v>69</v>
      </c>
      <c r="M73" s="121">
        <f>L73+$P$74</f>
        <v>70.5</v>
      </c>
      <c r="N73" s="121">
        <f>M73+$P$74</f>
        <v>72</v>
      </c>
      <c r="O73" s="104"/>
      <c r="P73" s="108" t="s">
        <v>59</v>
      </c>
      <c r="Q73" s="111"/>
    </row>
    <row r="74" spans="2:17" ht="15.5" x14ac:dyDescent="0.35">
      <c r="H74" s="126" t="s">
        <v>60</v>
      </c>
      <c r="I74" s="103">
        <v>63</v>
      </c>
      <c r="J74" s="116">
        <f t="dataTable" ref="J74:N78" dt2D="1" dtr="1" r1="D43" r2="F14" ca="1"/>
        <v>6.0684237570442411E-2</v>
      </c>
      <c r="K74" s="117">
        <v>6.0466236999600374E-2</v>
      </c>
      <c r="L74" s="117">
        <v>6.0249797102071435E-2</v>
      </c>
      <c r="M74" s="117">
        <v>6.0034901178264079E-2</v>
      </c>
      <c r="N74" s="117">
        <v>5.9821532765993057E-2</v>
      </c>
      <c r="O74" s="104"/>
      <c r="P74" s="119">
        <v>1.5</v>
      </c>
      <c r="Q74" s="111"/>
    </row>
    <row r="75" spans="2:17" ht="15.5" x14ac:dyDescent="0.35">
      <c r="H75" s="110"/>
      <c r="I75" s="113">
        <f>I74+$H$78</f>
        <v>64</v>
      </c>
      <c r="J75" s="118">
        <v>6.2429040692931995E-2</v>
      </c>
      <c r="K75" s="112">
        <v>6.2204772134026858E-2</v>
      </c>
      <c r="L75" s="112">
        <v>6.1982109121169138E-2</v>
      </c>
      <c r="M75" s="112">
        <v>6.1761034474617935E-2</v>
      </c>
      <c r="N75" s="112">
        <v>6.1541531258864565E-2</v>
      </c>
      <c r="O75" s="104"/>
      <c r="P75" s="104"/>
      <c r="Q75" s="111"/>
    </row>
    <row r="76" spans="2:17" ht="15.5" x14ac:dyDescent="0.35">
      <c r="H76" s="108" t="s">
        <v>60</v>
      </c>
      <c r="I76" s="113">
        <f>I75+$H$78</f>
        <v>65</v>
      </c>
      <c r="J76" s="118">
        <v>6.4173843815421572E-2</v>
      </c>
      <c r="K76" s="112">
        <v>6.3943307268453348E-2</v>
      </c>
      <c r="L76" s="112">
        <v>6.3714421140266847E-2</v>
      </c>
      <c r="M76" s="112">
        <v>6.3487167770971797E-2</v>
      </c>
      <c r="N76" s="112">
        <v>6.3261529751736073E-2</v>
      </c>
      <c r="O76" s="104"/>
      <c r="P76" s="104"/>
      <c r="Q76" s="111"/>
    </row>
    <row r="77" spans="2:17" ht="15.5" x14ac:dyDescent="0.35">
      <c r="H77" s="108" t="s">
        <v>59</v>
      </c>
      <c r="I77" s="113">
        <f>I76+$H$78</f>
        <v>66</v>
      </c>
      <c r="J77" s="118">
        <v>6.5918646937911149E-2</v>
      </c>
      <c r="K77" s="112">
        <v>6.5681842402879831E-2</v>
      </c>
      <c r="L77" s="112">
        <v>6.5446733159364542E-2</v>
      </c>
      <c r="M77" s="112">
        <v>6.521330106732566E-2</v>
      </c>
      <c r="N77" s="112">
        <v>6.4981528244607581E-2</v>
      </c>
      <c r="O77" s="104"/>
      <c r="P77" s="104"/>
      <c r="Q77" s="111"/>
    </row>
    <row r="78" spans="2:17" ht="15.5" x14ac:dyDescent="0.35">
      <c r="H78" s="119">
        <v>1</v>
      </c>
      <c r="I78" s="113">
        <f>I77+$H$78</f>
        <v>67</v>
      </c>
      <c r="J78" s="118">
        <v>6.766345006040074E-2</v>
      </c>
      <c r="K78" s="112">
        <v>6.7420377537306314E-2</v>
      </c>
      <c r="L78" s="112">
        <v>6.7179045178462252E-2</v>
      </c>
      <c r="M78" s="112">
        <v>6.6939434363679523E-2</v>
      </c>
      <c r="N78" s="112">
        <v>6.6701526737479089E-2</v>
      </c>
      <c r="O78" s="104"/>
      <c r="P78" s="104"/>
      <c r="Q78" s="111"/>
    </row>
  </sheetData>
  <mergeCells count="3">
    <mergeCell ref="B2:F2"/>
    <mergeCell ref="B70:F70"/>
    <mergeCell ref="J72:N72"/>
  </mergeCells>
  <conditionalFormatting sqref="J74:N78">
    <cfRule type="cellIs" dxfId="2" priority="1" operator="equal">
      <formula>$I$73</formula>
    </cfRule>
    <cfRule type="cellIs" dxfId="1" priority="2" operator="equal">
      <formula>$I$73</formula>
    </cfRule>
    <cfRule type="cellIs" dxfId="0" priority="3" operator="equal">
      <formula>$I$73</formula>
    </cfRule>
  </conditionalFormatting>
  <printOptions horizontalCentered="1" verticalCentered="1"/>
  <pageMargins left="0.65" right="0.5" top="0.24" bottom="0.2" header="0.22" footer="0.17"/>
  <pageSetup scale="70" orientation="portrait" verticalDpi="1200" r:id="rId1"/>
  <ignoredErrors>
    <ignoredError sqref="F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>The Clarett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bkirsch</dc:creator>
  <cp:keywords/>
  <dc:description/>
  <cp:lastModifiedBy>Bruce Kirsch</cp:lastModifiedBy>
  <cp:revision/>
  <dcterms:created xsi:type="dcterms:W3CDTF">2018-02-09T15:02:33Z</dcterms:created>
  <dcterms:modified xsi:type="dcterms:W3CDTF">2019-02-10T14:34:56Z</dcterms:modified>
  <cp:category/>
  <cp:contentStatus/>
</cp:coreProperties>
</file>