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ce\OneDrive\Documents\Level 2 Test\"/>
    </mc:Choice>
  </mc:AlternateContent>
  <xr:revisionPtr revIDLastSave="1" documentId="110_{CF5AAEE9-CDD6-4F80-8607-CD758BE3E6A4}" xr6:coauthVersionLast="40" xr6:coauthVersionMax="40" xr10:uidLastSave="{6EFC3FCA-0F95-49B9-BE6A-052C66834FE9}"/>
  <bookViews>
    <workbookView xWindow="0" yWindow="0" windowWidth="29700" windowHeight="16970" xr2:uid="{A9596918-7A7A-4EFD-91A9-2B9E6CC4EBA3}"/>
  </bookViews>
  <sheets>
    <sheet name="Sheet 1" sheetId="1" r:id="rId1"/>
  </sheets>
  <externalReferences>
    <externalReference r:id="rId2"/>
    <externalReference r:id="rId3"/>
    <externalReference r:id="rId4"/>
  </externalReferences>
  <definedNames>
    <definedName name="___wrn2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wrn3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123Graph_X" hidden="1">#REF!</definedName>
    <definedName name="__wrn2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wrn3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1__123Graph_ACHART_1" hidden="1">'[1]REITs &amp; S&amp;P'!$F$11:$F$31</definedName>
    <definedName name="_2__123Graph_ACHART_2" hidden="1">[2]A!$E$171:$E$177</definedName>
    <definedName name="_3__123Graph_BCHART_1" hidden="1">[3]A!$E$135:$E$141</definedName>
    <definedName name="_4__123Graph_XCHART_1" hidden="1">'[1]REITs &amp; S&amp;P'!$D$11:$D$31</definedName>
    <definedName name="_5__123Graph_XCHART_2" hidden="1">[2]A!$D$171:$D$177</definedName>
    <definedName name="_wrn2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2" hidden="1">{#N/A,#N/A,FALSE,"OperatingAssumptions"}</definedName>
    <definedName name="asdf3" hidden="1">{#N/A,#N/A,FALSE,"LoanAssumptions"}</definedName>
    <definedName name="asdf5" hidden="1">{"MonthlyRentRoll",#N/A,FALSE,"RentRoll"}</definedName>
    <definedName name="asdf7" hidden="1">{#N/A,#N/A,TRUE,"Summary";"AnnualRentRoll",#N/A,TRUE,"RentRoll";#N/A,#N/A,TRUE,"ExitStratigy";#N/A,#N/A,TRUE,"OperatingAssumptions"}</definedName>
    <definedName name="HTML_CodePage" hidden="1">1252</definedName>
    <definedName name="HTML_Control" hidden="1">{"'Cash Requirements 5F '!$A$1:$AC$48"}</definedName>
    <definedName name="HTML_Description" hidden="1">""</definedName>
    <definedName name="HTML_Email" hidden="1">""</definedName>
    <definedName name="HTML_Header" hidden="1">"Cash Requirements 5F"</definedName>
    <definedName name="HTML_LastUpdate" hidden="1">"7/10/00"</definedName>
    <definedName name="HTML_LineAfter" hidden="1">FALSE</definedName>
    <definedName name="HTML_LineBefore" hidden="1">FALSE</definedName>
    <definedName name="HTML_Name" hidden="1">"ERICK"</definedName>
    <definedName name="HTML_OBDlg2" hidden="1">TRUE</definedName>
    <definedName name="HTML_OBDlg4" hidden="1">TRUE</definedName>
    <definedName name="HTML_OS" hidden="1">0</definedName>
    <definedName name="HTML_PathFile" hidden="1">"C:\xldata\july2000cash.htm"</definedName>
    <definedName name="HTML_Title" hidden="1">"Discover July 2000 Cashflow"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Print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Print2" hidden="1">{#N/A,#N/A,FALSE,"Cover";#N/A,#N/A,FALSE,"Stack";#N/A,#N/A,FALSE,"Cost S";#N/A,#N/A,FALSE," CF";#N/A,#N/A,FALSE,"Investor"}</definedName>
    <definedName name="Residu" hidden="1">{#N/A,#N/A,TRUE,"Summary";"AnnualRentRoll",#N/A,TRUE,"RentRoll";#N/A,#N/A,TRUE,"ExitStratigy";#N/A,#N/A,TRUE,"OperatingAssumptions"}</definedName>
    <definedName name="sadd" hidden="1">{"MonthlyRentRoll",#N/A,FALSE,"RentRoll"}</definedName>
    <definedName name="sadd1" hidden="1">{"MonthlyRentRoll",#N/A,FALSE,"RentRoll"}</definedName>
    <definedName name="sadd2" hidden="1">{"MonthlyRentRoll",#N/A,FALSE,"RentRoll"}</definedName>
    <definedName name="saddd" hidden="1">{"AnnualRentRoll",#N/A,FALSE,"RentRoll"}</definedName>
    <definedName name="saddd2" hidden="1">{"AnnualRentRoll",#N/A,FALSE,"RentRoll"}</definedName>
    <definedName name="sadddd2" hidden="1">{"AnnualRentRoll",#N/A,FALSE,"RentRoll"}</definedName>
    <definedName name="saddddd" hidden="1">{"AnnualRentRoll",#N/A,FALSE,"RentRoll"}</definedName>
    <definedName name="saddddddd2" hidden="1">{#N/A,#N/A,FALSE,"ExitStratigy"}</definedName>
    <definedName name="sadddddddd" hidden="1">{#N/A,#N/A,FALSE,"ExitStratigy"}</definedName>
    <definedName name="saddddddddd2" hidden="1">{#N/A,#N/A,FALSE,"LoanAssumptions"}</definedName>
    <definedName name="sadddddddddd" hidden="1">{#N/A,#N/A,FALSE,"LoanAssumptions"}</definedName>
    <definedName name="saddddddddddd2" hidden="1">{#N/A,#N/A,FALSE,"OperatingAssumptions"}</definedName>
    <definedName name="saddddddddddddd" hidden="1">{#N/A,#N/A,FALSE,"OperatingAssumptions"}</definedName>
    <definedName name="what_asdf2" hidden="1">{#N/A,#N/A,FALSE,"OperatingAssumptions"}</definedName>
    <definedName name="wrn.2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nnualRentRoll" hidden="1">{"AnnualRentRoll",#N/A,FALSE,"RentRoll"}</definedName>
    <definedName name="wrn.AnnualRentRoll." hidden="1">{"AnnualRentRoll",#N/A,FALSE,"RentRoll"}</definedName>
    <definedName name="wrn.annualrentroll2" hidden="1">{"AnnualRentRoll",#N/A,FALSE,"RentRoll"}</definedName>
    <definedName name="wrn.CF._.Print.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ExitAndSalesAssumptions." hidden="1">{#N/A,#N/A,FALSE,"ExitStratigy"}</definedName>
    <definedName name="wrn.FCG.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wrn.Full_Template.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Schedule";#N/A,#N/A,FALSE,"13Residual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Hold._.Sell." hidden="1">{#N/A,#N/A,FALSE,"13Residual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Leasing._.Variance." hidden="1">{#N/A,#N/A,FALSE,"Leasing 6A"}</definedName>
    <definedName name="wrn.LoanInformation." hidden="1">{#N/A,#N/A,FALSE,"LoanAssumptions"}</definedName>
    <definedName name="wrn.Marketing." hidden="1">{#N/A,#N/A,FALSE,"2Assumptions";#N/A,#N/A,FALSE,"3Cash Flow";#N/A,#N/A,FALSE,"I&amp;E";#N/A,#N/A,FALSE,"I&amp;E (2)";#N/A,#N/A,FALSE,"10Vacancy Matrix";#N/A,#N/A,FALSE,"11Expiration Schedule"}</definedName>
    <definedName name="wrn.monthly._.financial." hidden="1">{#N/A,#N/A,FALSE,"SUMMARY 4a";#N/A,#N/A,FALSE,"GBA 4b";#N/A,#N/A,FALSE,"TENANT 4c";#N/A,#N/A,FALSE,"BUDGET DETAIL";#N/A,#N/A,FALSE,"PRO FORMA"}</definedName>
    <definedName name="wrn.MonthlyRentRoll." hidden="1">{"MonthlyRentRoll",#N/A,FALSE,"RentRoll"}</definedName>
    <definedName name="wrn.ontario." hidden="1">{"page1",#N/A,FALSE,"sheet 1";"Page2",#N/A,FALSE,"sheet 1";"page3",#N/A,FALSE,"sheet 1";"page4",#N/A,FALSE,"sheet 1"}</definedName>
    <definedName name="wrn.OperatingAssumtions." hidden="1">{#N/A,#N/A,FALSE,"OperatingAssumptions"}</definedName>
    <definedName name="wrn.p3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ackage." hidden="1">{#N/A,#N/A,FALSE,"Executive Summary";#N/A,#N/A,FALSE,"Assumptions";#N/A,#N/A,FALSE,"Cash Flow";#N/A,#N/A,FALSE,"I&amp;E ";#N/A,#N/A,FALSE,"Occupancy Cost";#N/A,#N/A,FALSE,"Vacancy (Mall)";#N/A,#N/A,FALSE,"Expiration Schedule";#N/A,#N/A,FALSE,"Expiration Graph ";#N/A,#N/A,FALSE,"sales graph";#N/A,#N/A,FALSE,"Vacant rents";#N/A,#N/A,FALSE,"Hist Sales";#N/A,#N/A,FALSE,"Monthly Sales";#N/A,#N/A,FALSE,"Rent Roll"}</definedName>
    <definedName name="wrn.Partial." hidden="1">{#N/A,#N/A,FALSE,"Assumptions";#N/A,#N/A,FALSE,"Year One Pro Forma";#N/A,#N/A,FALSE,"Rent Roll Summary";#N/A,#N/A,FALSE,"Market Rent Detail";#N/A,#N/A,FALSE,"Rent Roll Summary";#N/A,#N/A,FALSE,"Market Rent Increases";#N/A,#N/A,FALSE,"Exec Sum 10Yr";#N/A,#N/A,FALSE,"Cash Flow Projections";#N/A,#N/A,FALSE,"Net Residual Value";#N/A,#N/A,FALSE,"Effective Rental Income Detail";#N/A,#N/A,FALSE,"Turnovers";#N/A,#N/A,FALSE,"Matrices"}</definedName>
    <definedName name="wrn.PR_TRIAL_BALANCE.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esentation." hidden="1">{#N/A,#N/A,TRUE,"Summary";"AnnualRentRoll",#N/A,TRUE,"RentRoll";#N/A,#N/A,TRUE,"ExitStratigy";#N/A,#N/A,TRUE,"OperatingAssumptions"}</definedName>
    <definedName name="wrn.Pricing._.Strategy.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Schedule"}</definedName>
    <definedName name="wrn.Print." localSheetId="0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wrn.Print.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wrn.PrintAll." hidden="1">{#N/A,#N/A,FALSE,"Broker Sheet";#N/A,#N/A,FALSE,"Exec.Summary";#N/A,#N/A,FALSE,"Argus Cash Flow";#N/A,#N/A,FALSE,"SPF";#N/A,#N/A,FALSE,"RentRoll"}</definedName>
    <definedName name="wrn.Proforma." hidden="1">{#N/A,#N/A,TRUE,"Summary";#N/A,#N/A,TRUE,"InPlace";#N/A,#N/A,TRUE,"Stable";#N/A,#N/A,TRUE,"RentRoll";#N/A,#N/A,TRUE,"I&amp;E";#N/A,#N/A,TRUE,"Expense Detail";#N/A,#N/A,TRUE,"CAM Recov(InPlace)";#N/A,#N/A,TRUE,"CAM Recov(Stable)";#N/A,#N/A,TRUE,"Tax Recov";#N/A,#N/A,TRUE,"Expiration";#N/A,#N/A,TRUE,"Sales";#N/A,#N/A,TRUE,"Tax"}</definedName>
    <definedName name="wrn.PropertyInformation." hidden="1">{#N/A,#N/A,FALSE,"PropertyInfo"}</definedName>
    <definedName name="wrn.Report." hidden="1">{#N/A,#N/A,FALSE,"Summary";#N/A,#N/A,FALSE,"Assumptions";#N/A,#N/A,FALSE,"Notes";#N/A,#N/A,FALSE,"Cash Flow";#N/A,#N/A,FALSE,"Eff. Rent Detail";#N/A,#N/A,FALSE,"Residual";#N/A,#N/A,FALSE,"Value Matrix";#N/A,#N/A,FALSE,"Pro Forma";#N/A,#N/A,FALSE,"Historical Op";#N/A,#N/A,FALSE,"Value Comp";#N/A,#N/A,FALSE,"Matrices"}</definedName>
    <definedName name="wrn.Short._.Print." localSheetId="0" hidden="1">{#N/A,#N/A,FALSE,"Cover";#N/A,#N/A,FALSE,"Stack";#N/A,#N/A,FALSE,"Cost S";#N/A,#N/A,FALSE," CF";#N/A,#N/A,FALSE,"Investor"}</definedName>
    <definedName name="wrn.Short._.Print." hidden="1">{#N/A,#N/A,FALSE,"Cover";#N/A,#N/A,FALSE,"Stack";#N/A,#N/A,FALSE,"Cost S";#N/A,#N/A,FALSE," CF";#N/A,#N/A,FALSE,"Investor"}</definedName>
    <definedName name="wrn.Summary." hidden="1">{#N/A,#N/A,FALSE,"Summary"}</definedName>
    <definedName name="wrn.Template.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USSC_Reports." hidden="1">{#N/A,#N/A,FALSE,"9Pricing Matrix";#N/A,#N/A,FALSE,"1Summary";#N/A,#N/A,FALSE,"2Assumptions";#N/A,#N/A,FALSE,"3Cash Flow";#N/A,#N/A,FALSE,"5Residual";#N/A,#N/A,FALSE,"Occupancy Cost";#N/A,#N/A,FALSE,"7Financing Sensitivity";#N/A,#N/A,FALSE,"8Residual Sensitivity";#N/A,#N/A,FALSE,"10Vacancy Matrix";#N/A,#N/A,FALSE,"11Expiration Schedule";#N/A,#N/A,FALSE,"12Lease-up Schedule";#N/A,#N/A,FALSE,"OFS-Lease-up Schedule";#N/A,#N/A,FALSE,"Short Holds"}</definedName>
    <definedName name="xxx3" hidden="1">{"AnnualRentRoll",#N/A,FALSE,"RentRoll"}</definedName>
    <definedName name="xxx4" hidden="1">{#N/A,#N/A,FALSE,"ExitStratigy"}</definedName>
  </definedNames>
  <calcPr calcId="191029" calcMode="autoNoTable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U33" i="1" s="1"/>
  <c r="F26" i="1"/>
  <c r="F21" i="1"/>
  <c r="W23" i="1" s="1"/>
  <c r="D31" i="1"/>
  <c r="D26" i="1"/>
  <c r="E47" i="1"/>
  <c r="D21" i="1" s="1"/>
  <c r="U51" i="1"/>
  <c r="T51" i="1"/>
  <c r="S51" i="1"/>
  <c r="R51" i="1"/>
  <c r="Q51" i="1"/>
  <c r="P51" i="1"/>
  <c r="O51" i="1"/>
  <c r="N51" i="1"/>
  <c r="N47" i="1"/>
  <c r="N45" i="1"/>
  <c r="U42" i="1"/>
  <c r="T42" i="1"/>
  <c r="S42" i="1"/>
  <c r="R42" i="1"/>
  <c r="Q42" i="1"/>
  <c r="P42" i="1"/>
  <c r="O42" i="1"/>
  <c r="N42" i="1"/>
  <c r="N41" i="1"/>
  <c r="N38" i="1"/>
  <c r="Y33" i="1"/>
  <c r="X33" i="1"/>
  <c r="S28" i="1"/>
  <c r="S23" i="1"/>
  <c r="N21" i="1"/>
  <c r="L17" i="1"/>
  <c r="L14" i="1"/>
  <c r="L11" i="1"/>
  <c r="O7" i="1"/>
  <c r="O47" i="1" s="1"/>
  <c r="N6" i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Q33" i="1"/>
  <c r="V23" i="1"/>
  <c r="R23" i="1"/>
  <c r="N23" i="1"/>
  <c r="Y23" i="1"/>
  <c r="U23" i="1"/>
  <c r="L23" i="1" s="1"/>
  <c r="Q23" i="1"/>
  <c r="X23" i="1"/>
  <c r="T23" i="1"/>
  <c r="P23" i="1"/>
  <c r="O23" i="1"/>
  <c r="V28" i="1"/>
  <c r="R28" i="1"/>
  <c r="N28" i="1"/>
  <c r="L28" i="1" s="1"/>
  <c r="Y28" i="1"/>
  <c r="U28" i="1"/>
  <c r="Q28" i="1"/>
  <c r="X28" i="1"/>
  <c r="T28" i="1"/>
  <c r="P28" i="1"/>
  <c r="O28" i="1"/>
  <c r="W28" i="1"/>
  <c r="P7" i="1"/>
  <c r="N22" i="1"/>
  <c r="O21" i="1"/>
  <c r="O22" i="1" s="1"/>
  <c r="N33" i="1"/>
  <c r="R33" i="1"/>
  <c r="V33" i="1"/>
  <c r="O33" i="1"/>
  <c r="L33" i="1" s="1"/>
  <c r="S33" i="1"/>
  <c r="W33" i="1"/>
  <c r="P33" i="1"/>
  <c r="T33" i="1"/>
  <c r="N26" i="1"/>
  <c r="N29" i="1" s="1"/>
  <c r="N24" i="1"/>
  <c r="P47" i="1"/>
  <c r="Q7" i="1"/>
  <c r="Q47" i="1"/>
  <c r="R7" i="1"/>
  <c r="N27" i="1"/>
  <c r="R47" i="1"/>
  <c r="S7" i="1"/>
  <c r="S47" i="1" s="1"/>
  <c r="N40" i="1"/>
  <c r="O40" i="1"/>
  <c r="L40" i="1" s="1"/>
  <c r="N43" i="1"/>
  <c r="O38" i="1" s="1"/>
  <c r="P40" i="1"/>
  <c r="Q40" i="1"/>
  <c r="S40" i="1"/>
  <c r="R40" i="1"/>
  <c r="T40" i="1"/>
  <c r="U40" i="1"/>
  <c r="V40" i="1"/>
  <c r="W40" i="1"/>
  <c r="L39" i="1"/>
  <c r="X40" i="1"/>
  <c r="Y40" i="1"/>
  <c r="O43" i="1" l="1"/>
  <c r="P38" i="1" s="1"/>
  <c r="O41" i="1"/>
  <c r="O26" i="1"/>
  <c r="O27" i="1" s="1"/>
  <c r="D38" i="1"/>
  <c r="D47" i="1" s="1"/>
  <c r="T7" i="1"/>
  <c r="N31" i="1"/>
  <c r="P21" i="1"/>
  <c r="D45" i="1"/>
  <c r="O24" i="1"/>
  <c r="O31" i="1" l="1"/>
  <c r="O34" i="1" s="1"/>
  <c r="P41" i="1"/>
  <c r="P43" i="1"/>
  <c r="Q38" i="1" s="1"/>
  <c r="O36" i="1"/>
  <c r="P24" i="1"/>
  <c r="Q21" i="1"/>
  <c r="P22" i="1"/>
  <c r="T47" i="1"/>
  <c r="U7" i="1"/>
  <c r="N46" i="1"/>
  <c r="N34" i="1"/>
  <c r="N32" i="1"/>
  <c r="O32" i="1" s="1"/>
  <c r="O29" i="1"/>
  <c r="Q41" i="1" l="1"/>
  <c r="Q43" i="1"/>
  <c r="R38" i="1" s="1"/>
  <c r="Q24" i="1"/>
  <c r="R21" i="1"/>
  <c r="N36" i="1"/>
  <c r="U47" i="1"/>
  <c r="V7" i="1"/>
  <c r="N48" i="1"/>
  <c r="N49" i="1"/>
  <c r="P26" i="1"/>
  <c r="Q22" i="1"/>
  <c r="N54" i="1"/>
  <c r="R24" i="1" l="1"/>
  <c r="V47" i="1"/>
  <c r="W7" i="1"/>
  <c r="Q26" i="1"/>
  <c r="R22" i="1"/>
  <c r="R41" i="1"/>
  <c r="R43" i="1"/>
  <c r="S38" i="1" s="1"/>
  <c r="S21" i="1"/>
  <c r="T21" i="1" s="1"/>
  <c r="P29" i="1"/>
  <c r="P27" i="1"/>
  <c r="N50" i="1"/>
  <c r="N13" i="1"/>
  <c r="N52" i="1"/>
  <c r="O45" i="1" s="1"/>
  <c r="T24" i="1" l="1"/>
  <c r="S22" i="1"/>
  <c r="R26" i="1"/>
  <c r="Q29" i="1"/>
  <c r="O46" i="1"/>
  <c r="S24" i="1"/>
  <c r="S41" i="1"/>
  <c r="S43" i="1"/>
  <c r="T38" i="1" s="1"/>
  <c r="P31" i="1"/>
  <c r="Q27" i="1"/>
  <c r="W47" i="1"/>
  <c r="X7" i="1"/>
  <c r="N12" i="1"/>
  <c r="U21" i="1"/>
  <c r="V21" i="1" s="1"/>
  <c r="V24" i="1" l="1"/>
  <c r="W21" i="1"/>
  <c r="Y21" i="1" s="1"/>
  <c r="R29" i="1"/>
  <c r="P34" i="1"/>
  <c r="P32" i="1"/>
  <c r="O49" i="1"/>
  <c r="T22" i="1"/>
  <c r="S26" i="1"/>
  <c r="T41" i="1"/>
  <c r="T43" i="1"/>
  <c r="U38" i="1" s="1"/>
  <c r="U24" i="1"/>
  <c r="N15" i="1"/>
  <c r="O48" i="1"/>
  <c r="O52" i="1" s="1"/>
  <c r="P45" i="1" s="1"/>
  <c r="X21" i="1"/>
  <c r="X47" i="1"/>
  <c r="Y7" i="1"/>
  <c r="Y47" i="1" s="1"/>
  <c r="R27" i="1"/>
  <c r="Q31" i="1"/>
  <c r="P46" i="1" l="1"/>
  <c r="Y24" i="1"/>
  <c r="L21" i="1"/>
  <c r="O50" i="1"/>
  <c r="U41" i="1"/>
  <c r="U43" i="1"/>
  <c r="V38" i="1" s="1"/>
  <c r="Q32" i="1"/>
  <c r="R32" i="1" s="1"/>
  <c r="Q34" i="1"/>
  <c r="Q36" i="1" s="1"/>
  <c r="N55" i="1"/>
  <c r="W24" i="1"/>
  <c r="R31" i="1"/>
  <c r="S27" i="1"/>
  <c r="X24" i="1"/>
  <c r="O54" i="1"/>
  <c r="S29" i="1"/>
  <c r="P36" i="1"/>
  <c r="L24" i="1"/>
  <c r="O13" i="1"/>
  <c r="L47" i="1"/>
  <c r="T26" i="1"/>
  <c r="U22" i="1"/>
  <c r="S32" i="1" l="1"/>
  <c r="S31" i="1"/>
  <c r="T27" i="1"/>
  <c r="P48" i="1"/>
  <c r="U26" i="1"/>
  <c r="V22" i="1"/>
  <c r="R34" i="1"/>
  <c r="V41" i="1"/>
  <c r="O12" i="1"/>
  <c r="P49" i="1"/>
  <c r="P52" i="1" s="1"/>
  <c r="Q45" i="1" s="1"/>
  <c r="T29" i="1"/>
  <c r="N56" i="1"/>
  <c r="Q46" i="1" l="1"/>
  <c r="U29" i="1"/>
  <c r="T32" i="1"/>
  <c r="P54" i="1"/>
  <c r="N57" i="1"/>
  <c r="O15" i="1"/>
  <c r="R36" i="1"/>
  <c r="P13" i="1"/>
  <c r="P50" i="1"/>
  <c r="T31" i="1"/>
  <c r="U27" i="1"/>
  <c r="V26" i="1"/>
  <c r="W22" i="1"/>
  <c r="S34" i="1"/>
  <c r="S36" i="1" s="1"/>
  <c r="T34" i="1" l="1"/>
  <c r="U31" i="1"/>
  <c r="V27" i="1"/>
  <c r="P12" i="1"/>
  <c r="Q48" i="1"/>
  <c r="Q49" i="1"/>
  <c r="Q52" i="1" s="1"/>
  <c r="R45" i="1" s="1"/>
  <c r="O55" i="1"/>
  <c r="W26" i="1"/>
  <c r="X22" i="1"/>
  <c r="V29" i="1"/>
  <c r="R46" i="1" l="1"/>
  <c r="O56" i="1"/>
  <c r="Q13" i="1"/>
  <c r="P15" i="1"/>
  <c r="W27" i="1"/>
  <c r="V31" i="1"/>
  <c r="U34" i="1"/>
  <c r="U36" i="1" s="1"/>
  <c r="Y22" i="1"/>
  <c r="X26" i="1"/>
  <c r="U32" i="1"/>
  <c r="W29" i="1"/>
  <c r="Q50" i="1"/>
  <c r="Q54" i="1"/>
  <c r="T36" i="1"/>
  <c r="R48" i="1" l="1"/>
  <c r="Q12" i="1"/>
  <c r="O57" i="1"/>
  <c r="X27" i="1"/>
  <c r="W31" i="1"/>
  <c r="V32" i="1"/>
  <c r="V34" i="1"/>
  <c r="V36" i="1" s="1"/>
  <c r="X29" i="1"/>
  <c r="R49" i="1"/>
  <c r="Y26" i="1"/>
  <c r="P55" i="1"/>
  <c r="Y29" i="1" l="1"/>
  <c r="L26" i="1"/>
  <c r="Q15" i="1"/>
  <c r="R50" i="1"/>
  <c r="P56" i="1"/>
  <c r="W34" i="1"/>
  <c r="W36" i="1" s="1"/>
  <c r="R54" i="1"/>
  <c r="W32" i="1"/>
  <c r="R52" i="1"/>
  <c r="S45" i="1" s="1"/>
  <c r="X31" i="1"/>
  <c r="Y27" i="1"/>
  <c r="Y31" i="1" s="1"/>
  <c r="R13" i="1"/>
  <c r="Y34" i="1" l="1"/>
  <c r="L31" i="1"/>
  <c r="Q55" i="1"/>
  <c r="X34" i="1"/>
  <c r="X36" i="1" s="1"/>
  <c r="S46" i="1"/>
  <c r="P57" i="1"/>
  <c r="L29" i="1"/>
  <c r="Y36" i="1"/>
  <c r="X32" i="1"/>
  <c r="Y32" i="1" s="1"/>
  <c r="R12" i="1"/>
  <c r="Q56" i="1" l="1"/>
  <c r="S48" i="1"/>
  <c r="L36" i="1"/>
  <c r="R15" i="1"/>
  <c r="L34" i="1"/>
  <c r="R55" i="1" l="1"/>
  <c r="Q57" i="1"/>
  <c r="S49" i="1"/>
  <c r="S50" i="1" l="1"/>
  <c r="S12" i="1" s="1"/>
  <c r="S54" i="1"/>
  <c r="S52" i="1"/>
  <c r="T45" i="1" s="1"/>
  <c r="S13" i="1"/>
  <c r="R56" i="1"/>
  <c r="T46" i="1" l="1"/>
  <c r="R57" i="1"/>
  <c r="S15" i="1"/>
  <c r="T48" i="1" l="1"/>
  <c r="S55" i="1"/>
  <c r="S56" i="1" s="1"/>
  <c r="S57" i="1" s="1"/>
  <c r="T49" i="1" l="1"/>
  <c r="T50" i="1" l="1"/>
  <c r="T12" i="1" s="1"/>
  <c r="T54" i="1"/>
  <c r="T52" i="1"/>
  <c r="U45" i="1" s="1"/>
  <c r="T13" i="1"/>
  <c r="U46" i="1" l="1"/>
  <c r="T15" i="1"/>
  <c r="T55" i="1" l="1"/>
  <c r="T56" i="1" s="1"/>
  <c r="T57" i="1" s="1"/>
  <c r="U48" i="1"/>
  <c r="U49" i="1" l="1"/>
  <c r="U13" i="1" s="1"/>
  <c r="U50" i="1" l="1"/>
  <c r="U12" i="1" s="1"/>
  <c r="U15" i="1" s="1"/>
  <c r="U52" i="1"/>
  <c r="V45" i="1" s="1"/>
  <c r="U54" i="1"/>
  <c r="V46" i="1" l="1"/>
  <c r="U55" i="1"/>
  <c r="U56" i="1" s="1"/>
  <c r="U57" i="1" s="1"/>
  <c r="V48" i="1" l="1"/>
  <c r="V49" i="1" l="1"/>
  <c r="V50" i="1" l="1"/>
  <c r="V12" i="1" s="1"/>
  <c r="V54" i="1"/>
  <c r="V51" i="1"/>
  <c r="V13" i="1"/>
  <c r="V42" i="1" l="1"/>
  <c r="V15" i="1"/>
  <c r="V52" i="1"/>
  <c r="W45" i="1" s="1"/>
  <c r="W46" i="1" l="1"/>
  <c r="V43" i="1"/>
  <c r="W38" i="1" s="1"/>
  <c r="V55" i="1"/>
  <c r="V56" i="1" s="1"/>
  <c r="V57" i="1" s="1"/>
  <c r="W41" i="1" l="1"/>
  <c r="W48" i="1"/>
  <c r="W49" i="1" l="1"/>
  <c r="W50" i="1" l="1"/>
  <c r="W12" i="1" s="1"/>
  <c r="W54" i="1"/>
  <c r="W51" i="1"/>
  <c r="W52" i="1" s="1"/>
  <c r="X45" i="1" s="1"/>
  <c r="W13" i="1"/>
  <c r="X46" i="1" l="1"/>
  <c r="W42" i="1"/>
  <c r="W15" i="1"/>
  <c r="W43" i="1" l="1"/>
  <c r="X38" i="1" s="1"/>
  <c r="X48" i="1"/>
  <c r="X49" i="1"/>
  <c r="X50" i="1" s="1"/>
  <c r="W55" i="1"/>
  <c r="W56" i="1" s="1"/>
  <c r="W57" i="1"/>
  <c r="X13" i="1" l="1"/>
  <c r="X41" i="1"/>
  <c r="X12" i="1" s="1"/>
  <c r="X15" i="1" s="1"/>
  <c r="X54" i="1"/>
  <c r="X51" i="1"/>
  <c r="X52" i="1" s="1"/>
  <c r="Y45" i="1" s="1"/>
  <c r="Y46" i="1" l="1"/>
  <c r="X42" i="1"/>
  <c r="X56" i="1"/>
  <c r="X57" i="1" s="1"/>
  <c r="X55" i="1"/>
  <c r="Y48" i="1" l="1"/>
  <c r="L46" i="1"/>
  <c r="X43" i="1"/>
  <c r="Y38" i="1" s="1"/>
  <c r="Y49" i="1"/>
  <c r="Y54" i="1" s="1"/>
  <c r="L54" i="1" l="1"/>
  <c r="Y41" i="1"/>
  <c r="L49" i="1"/>
  <c r="Y50" i="1"/>
  <c r="L50" i="1" s="1"/>
  <c r="Y51" i="1"/>
  <c r="Y13" i="1"/>
  <c r="L13" i="1" s="1"/>
  <c r="L48" i="1"/>
  <c r="Y42" i="1" l="1"/>
  <c r="L51" i="1"/>
  <c r="Y12" i="1"/>
  <c r="L41" i="1"/>
  <c r="Y52" i="1"/>
  <c r="L52" i="1" s="1"/>
  <c r="L42" i="1" l="1"/>
  <c r="Y43" i="1"/>
  <c r="L43" i="1" s="1"/>
  <c r="Y15" i="1"/>
  <c r="L12" i="1"/>
  <c r="L15" i="1" s="1"/>
  <c r="Y55" i="1" l="1"/>
  <c r="L55" i="1" l="1"/>
  <c r="Y56" i="1"/>
  <c r="L56" i="1" l="1"/>
  <c r="Y57" i="1"/>
  <c r="L5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REFM 2</author>
    <author>Bruce Kirsch</author>
    <author>REFM</author>
  </authors>
  <commentList>
    <comment ref="K41" authorId="0" shapeId="0" xr:uid="{0F2E2D1B-EBF1-4DFE-8205-2439F124D79D}">
      <text>
        <r>
          <rPr>
            <sz val="14"/>
            <color indexed="81"/>
            <rFont val="Tahoma"/>
            <family val="2"/>
          </rPr>
          <t>The Interest Rate for the Mezzanine Loan is so high because it is not secured by the real estate, but rather by the equity.</t>
        </r>
      </text>
    </comment>
    <comment ref="E45" authorId="1" shapeId="0" xr:uid="{93F900D0-DFE4-4A24-B415-ED7C78B9CA9A}">
      <text>
        <r>
          <rPr>
            <b/>
            <sz val="16"/>
            <color indexed="81"/>
            <rFont val="Tahoma"/>
            <family val="2"/>
          </rPr>
          <t>REFM:</t>
        </r>
        <r>
          <rPr>
            <sz val="16"/>
            <color indexed="81"/>
            <rFont val="Tahoma"/>
            <family val="2"/>
          </rPr>
          <t xml:space="preserve"> This total amount includes funded interest and fees.
</t>
        </r>
      </text>
    </comment>
    <comment ref="N49" authorId="2" shapeId="0" xr:uid="{6918B3B6-F62F-43A5-B2CC-92C84062BC1A}">
      <text>
        <r>
          <rPr>
            <b/>
            <sz val="12"/>
            <color indexed="81"/>
            <rFont val="Tahoma"/>
            <family val="2"/>
          </rPr>
          <t>REFM:</t>
        </r>
        <r>
          <rPr>
            <sz val="12"/>
            <color indexed="81"/>
            <rFont val="Tahoma"/>
            <family val="2"/>
          </rPr>
          <t xml:space="preserve">
The greater of 0 and a value, where that value is defined as the Lesser of: a) the BOP Balance * the Monthly Interest rate, and b) the Loan Size less all cumulative repayment less the Beg. Balance and all amounts Drawn and Accrued in the current period.</t>
        </r>
      </text>
    </comment>
  </commentList>
</comments>
</file>

<file path=xl/sharedStrings.xml><?xml version="1.0" encoding="utf-8"?>
<sst xmlns="http://schemas.openxmlformats.org/spreadsheetml/2006/main" count="77" uniqueCount="49">
  <si>
    <t>Park Tower Apartments</t>
  </si>
  <si>
    <t>Sources and Uses of Funds</t>
  </si>
  <si>
    <t>Calendar Month</t>
  </si>
  <si>
    <t>Assumptions:</t>
  </si>
  <si>
    <t>Month #</t>
  </si>
  <si>
    <t>1. All equity funds before debt; Mezzanine Loan funds second; Senior Loan funds last.
2. Mezzanine Loan requires current cash payments, Senior Loan has a funded interest reserve.
3. Mezzanine Loan is repaid only after Senior Loan is repaid in full.</t>
  </si>
  <si>
    <t>Event</t>
  </si>
  <si>
    <t/>
  </si>
  <si>
    <t>Construx. Start</t>
  </si>
  <si>
    <t>First C of O and First Tenant Rent Commences</t>
  </si>
  <si>
    <t>Construx. End/Final C of O Received</t>
  </si>
  <si>
    <t>Fully Leased</t>
  </si>
  <si>
    <t>Asset and Retail Condominium Sale</t>
  </si>
  <si>
    <t>USES OF FUNDS</t>
  </si>
  <si>
    <t>Total</t>
  </si>
  <si>
    <t>Eligible Loan Costs</t>
  </si>
  <si>
    <t>Cash Financing Costs</t>
  </si>
  <si>
    <t>Capitalized Financing Costs</t>
  </si>
  <si>
    <t>Operating Deficit (paid out of Equity)</t>
  </si>
  <si>
    <t>Total Development Costs (TDC)</t>
  </si>
  <si>
    <t>Positive Revenue After Cash Financing Costs (from Cash Flow Tab)</t>
  </si>
  <si>
    <t>SOURCES OF FUNDS</t>
  </si>
  <si>
    <t>% TDC</t>
  </si>
  <si>
    <t>% Equity</t>
  </si>
  <si>
    <t>Sponsor Equity</t>
  </si>
  <si>
    <t>Draw</t>
  </si>
  <si>
    <t>Invests fully first</t>
  </si>
  <si>
    <t>Cumulative Draw</t>
  </si>
  <si>
    <t>Pro-Rata Operating Deficit Funding</t>
  </si>
  <si>
    <t>Total Funding</t>
  </si>
  <si>
    <t>Partner Equity</t>
  </si>
  <si>
    <t>Invests after Sponsor is fully invested</t>
  </si>
  <si>
    <t>Third Party Investor Equity</t>
  </si>
  <si>
    <t>Invests after Partner is fully invested</t>
  </si>
  <si>
    <t>Total Equity Draw</t>
  </si>
  <si>
    <t>Mezzanine Loan</t>
  </si>
  <si>
    <t>Beginning Balance</t>
  </si>
  <si>
    <t>Loan Fees - Front End</t>
  </si>
  <si>
    <t>Cash Interest Payments</t>
  </si>
  <si>
    <t>Loan Repayment</t>
  </si>
  <si>
    <t>Ending Balance</t>
  </si>
  <si>
    <t>Senior Loan</t>
  </si>
  <si>
    <t>Loan Fees - At Loan Draws</t>
  </si>
  <si>
    <t>Funded Interest Reserve</t>
  </si>
  <si>
    <t>Repayment</t>
  </si>
  <si>
    <t>Sources of Funds before Net Revenue</t>
  </si>
  <si>
    <t>Revenue Paid Towards Financing Costs</t>
  </si>
  <si>
    <t>Total Sources of Funds</t>
  </si>
  <si>
    <t>Equivalency Check - Uses and Sources of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</si>
</sst>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[$-409]mmm\-yy;@"/>
    <numFmt numFmtId="165" formatCode="&quot;$&quot;#,##0"/>
    <numFmt numFmtId="166" formatCode="&quot;Month&quot;\ 0"/>
    <numFmt numFmtId="167" formatCode="0.0%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Times New Roman"/>
      <family val="1"/>
    </font>
    <font>
      <sz val="10"/>
      <name val="Arial"/>
      <family val="2"/>
    </font>
    <font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i/>
      <sz val="12"/>
      <color indexed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66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85">
    <xf numFmtId="0" fontId="0" fillId="0" borderId="0" xfId="0"/>
    <xf numFmtId="0" fontId="9" fillId="2" borderId="0" xfId="2" applyFont="1" applyFill="1" applyAlignment="1" applyProtection="1"/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12" fillId="2" borderId="0" xfId="0" applyFont="1" applyFill="1"/>
    <xf numFmtId="0" fontId="10" fillId="3" borderId="0" xfId="0" applyFont="1" applyFill="1" applyAlignment="1">
      <alignment horizontal="left"/>
    </xf>
    <xf numFmtId="164" fontId="13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4" fillId="3" borderId="0" xfId="0" applyFont="1" applyFill="1"/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center" vertical="top" wrapText="1"/>
    </xf>
    <xf numFmtId="164" fontId="10" fillId="2" borderId="0" xfId="0" applyNumberFormat="1" applyFont="1" applyFill="1" applyAlignment="1">
      <alignment horizontal="center" vertical="top" wrapText="1"/>
    </xf>
    <xf numFmtId="164" fontId="10" fillId="2" borderId="0" xfId="0" applyNumberFormat="1" applyFont="1" applyFill="1"/>
    <xf numFmtId="0" fontId="15" fillId="2" borderId="0" xfId="0" applyFont="1" applyFill="1"/>
    <xf numFmtId="0" fontId="14" fillId="4" borderId="0" xfId="0" applyFont="1" applyFill="1" applyAlignment="1">
      <alignment horizontal="center"/>
    </xf>
    <xf numFmtId="6" fontId="10" fillId="2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right"/>
    </xf>
    <xf numFmtId="6" fontId="14" fillId="4" borderId="0" xfId="0" applyNumberFormat="1" applyFont="1" applyFill="1" applyAlignment="1">
      <alignment horizontal="center"/>
    </xf>
    <xf numFmtId="6" fontId="14" fillId="3" borderId="0" xfId="3" applyNumberFormat="1" applyFont="1" applyFill="1" applyAlignment="1">
      <alignment horizontal="right"/>
    </xf>
    <xf numFmtId="0" fontId="10" fillId="3" borderId="0" xfId="0" applyFont="1" applyFill="1" applyAlignment="1">
      <alignment horizontal="right"/>
    </xf>
    <xf numFmtId="6" fontId="10" fillId="2" borderId="0" xfId="0" applyNumberFormat="1" applyFont="1" applyFill="1" applyAlignment="1">
      <alignment horizontal="right"/>
    </xf>
    <xf numFmtId="6" fontId="14" fillId="4" borderId="1" xfId="0" applyNumberFormat="1" applyFont="1" applyFill="1" applyBorder="1" applyAlignment="1">
      <alignment horizontal="center"/>
    </xf>
    <xf numFmtId="0" fontId="10" fillId="3" borderId="1" xfId="0" applyFont="1" applyFill="1" applyBorder="1"/>
    <xf numFmtId="6" fontId="10" fillId="3" borderId="1" xfId="0" applyNumberFormat="1" applyFont="1" applyFill="1" applyBorder="1" applyAlignment="1">
      <alignment horizontal="right"/>
    </xf>
    <xf numFmtId="10" fontId="14" fillId="2" borderId="0" xfId="0" applyNumberFormat="1" applyFont="1" applyFill="1" applyAlignment="1">
      <alignment horizontal="center"/>
    </xf>
    <xf numFmtId="6" fontId="10" fillId="3" borderId="0" xfId="0" applyNumberFormat="1" applyFont="1" applyFill="1" applyAlignment="1">
      <alignment horizontal="right"/>
    </xf>
    <xf numFmtId="0" fontId="12" fillId="3" borderId="0" xfId="0" applyFont="1" applyFill="1"/>
    <xf numFmtId="6" fontId="12" fillId="3" borderId="0" xfId="0" applyNumberFormat="1" applyFont="1" applyFill="1" applyAlignment="1">
      <alignment horizontal="right"/>
    </xf>
    <xf numFmtId="0" fontId="16" fillId="5" borderId="2" xfId="3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10" fontId="10" fillId="2" borderId="0" xfId="1" applyNumberFormat="1" applyFont="1" applyFill="1" applyAlignment="1">
      <alignment horizontal="center" vertical="center"/>
    </xf>
    <xf numFmtId="6" fontId="17" fillId="2" borderId="0" xfId="0" applyNumberFormat="1" applyFont="1" applyFill="1" applyAlignment="1">
      <alignment horizontal="center" vertical="center"/>
    </xf>
    <xf numFmtId="10" fontId="10" fillId="2" borderId="0" xfId="0" applyNumberFormat="1" applyFont="1" applyFill="1" applyAlignment="1">
      <alignment horizontal="center" vertical="center"/>
    </xf>
    <xf numFmtId="165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9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Border="1" applyAlignment="1">
      <alignment horizontal="right"/>
    </xf>
    <xf numFmtId="6" fontId="10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6" fillId="6" borderId="2" xfId="3" applyFont="1" applyFill="1" applyBorder="1" applyAlignment="1">
      <alignment horizontal="center" vertical="center"/>
    </xf>
    <xf numFmtId="0" fontId="16" fillId="7" borderId="2" xfId="3" applyFont="1" applyFill="1" applyBorder="1" applyAlignment="1">
      <alignment horizontal="center" vertical="center"/>
    </xf>
    <xf numFmtId="0" fontId="10" fillId="8" borderId="2" xfId="3" applyFont="1" applyFill="1" applyBorder="1" applyAlignment="1">
      <alignment horizontal="center" vertical="center"/>
    </xf>
    <xf numFmtId="166" fontId="17" fillId="3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vertical="center"/>
    </xf>
    <xf numFmtId="9" fontId="10" fillId="2" borderId="0" xfId="0" applyNumberFormat="1" applyFont="1" applyFill="1" applyBorder="1" applyAlignment="1">
      <alignment horizontal="center" vertical="center"/>
    </xf>
    <xf numFmtId="6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10" fontId="13" fillId="2" borderId="0" xfId="0" applyNumberFormat="1" applyFont="1" applyFill="1" applyBorder="1" applyAlignment="1">
      <alignment horizontal="center"/>
    </xf>
    <xf numFmtId="6" fontId="10" fillId="3" borderId="0" xfId="0" applyNumberFormat="1" applyFont="1" applyFill="1" applyBorder="1" applyAlignment="1">
      <alignment horizontal="right"/>
    </xf>
    <xf numFmtId="6" fontId="10" fillId="3" borderId="0" xfId="0" applyNumberFormat="1" applyFont="1" applyFill="1" applyBorder="1" applyAlignment="1">
      <alignment horizontal="center"/>
    </xf>
    <xf numFmtId="0" fontId="10" fillId="3" borderId="0" xfId="0" applyFont="1" applyFill="1" applyBorder="1"/>
    <xf numFmtId="9" fontId="13" fillId="2" borderId="0" xfId="0" applyNumberFormat="1" applyFont="1" applyFill="1" applyBorder="1" applyAlignment="1">
      <alignment horizontal="center"/>
    </xf>
    <xf numFmtId="165" fontId="14" fillId="4" borderId="0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0" fillId="2" borderId="0" xfId="0" quotePrefix="1" applyFont="1" applyFill="1" applyBorder="1" applyAlignment="1">
      <alignment horizontal="right"/>
    </xf>
    <xf numFmtId="0" fontId="16" fillId="9" borderId="2" xfId="3" applyFont="1" applyFill="1" applyBorder="1" applyAlignment="1">
      <alignment horizontal="center" vertical="center"/>
    </xf>
    <xf numFmtId="10" fontId="11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10" fontId="10" fillId="3" borderId="0" xfId="0" applyNumberFormat="1" applyFont="1" applyFill="1" applyAlignment="1">
      <alignment horizontal="center"/>
    </xf>
    <xf numFmtId="6" fontId="10" fillId="3" borderId="0" xfId="0" applyNumberFormat="1" applyFont="1" applyFill="1" applyAlignment="1">
      <alignment horizontal="center"/>
    </xf>
    <xf numFmtId="166" fontId="17" fillId="2" borderId="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165" fontId="10" fillId="2" borderId="0" xfId="0" applyNumberFormat="1" applyFont="1" applyFill="1" applyBorder="1"/>
    <xf numFmtId="6" fontId="14" fillId="2" borderId="0" xfId="0" applyNumberFormat="1" applyFont="1" applyFill="1" applyBorder="1" applyAlignment="1">
      <alignment horizontal="center"/>
    </xf>
    <xf numFmtId="6" fontId="14" fillId="2" borderId="0" xfId="0" applyNumberFormat="1" applyFont="1" applyFill="1" applyAlignment="1">
      <alignment horizontal="center"/>
    </xf>
    <xf numFmtId="167" fontId="10" fillId="2" borderId="0" xfId="0" applyNumberFormat="1" applyFont="1" applyFill="1" applyAlignment="1">
      <alignment horizontal="center"/>
    </xf>
    <xf numFmtId="0" fontId="14" fillId="3" borderId="0" xfId="0" quotePrefix="1" applyFont="1" applyFill="1" applyBorder="1" applyAlignment="1"/>
    <xf numFmtId="0" fontId="14" fillId="3" borderId="0" xfId="0" applyFont="1" applyFill="1" applyBorder="1" applyAlignment="1"/>
    <xf numFmtId="8" fontId="10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left"/>
    </xf>
    <xf numFmtId="0" fontId="10" fillId="3" borderId="0" xfId="0" applyFont="1" applyFill="1" applyAlignment="1">
      <alignment horizontal="left" indent="1"/>
    </xf>
    <xf numFmtId="0" fontId="19" fillId="2" borderId="0" xfId="0" applyFont="1" applyFill="1"/>
    <xf numFmtId="0" fontId="20" fillId="2" borderId="0" xfId="0" applyFont="1" applyFill="1" applyAlignment="1">
      <alignment horizontal="right"/>
    </xf>
    <xf numFmtId="167" fontId="10" fillId="2" borderId="0" xfId="0" applyNumberFormat="1" applyFont="1" applyFill="1" applyAlignment="1">
      <alignment horizontal="right"/>
    </xf>
    <xf numFmtId="6" fontId="17" fillId="3" borderId="0" xfId="0" applyNumberFormat="1" applyFont="1" applyFill="1" applyAlignment="1">
      <alignment horizontal="center"/>
    </xf>
    <xf numFmtId="167" fontId="14" fillId="2" borderId="0" xfId="0" applyNumberFormat="1" applyFont="1" applyFill="1" applyAlignment="1">
      <alignment horizontal="right"/>
    </xf>
    <xf numFmtId="6" fontId="14" fillId="2" borderId="0" xfId="0" applyNumberFormat="1" applyFont="1" applyFill="1" applyAlignment="1">
      <alignment horizontal="right"/>
    </xf>
    <xf numFmtId="6" fontId="10" fillId="3" borderId="0" xfId="0" applyNumberFormat="1" applyFont="1" applyFill="1"/>
    <xf numFmtId="0" fontId="21" fillId="2" borderId="0" xfId="0" applyFont="1" applyFill="1" applyAlignment="1">
      <alignment horizontal="left"/>
    </xf>
    <xf numFmtId="0" fontId="18" fillId="3" borderId="0" xfId="0" applyFont="1" applyFill="1" applyAlignment="1">
      <alignment horizontal="right"/>
    </xf>
    <xf numFmtId="0" fontId="18" fillId="2" borderId="0" xfId="0" applyFont="1" applyFill="1" applyAlignment="1">
      <alignment horizontal="right"/>
    </xf>
    <xf numFmtId="0" fontId="10" fillId="3" borderId="0" xfId="0" applyFont="1" applyFill="1" applyAlignment="1">
      <alignment horizontal="left" vertical="top" wrapText="1"/>
    </xf>
  </cellXfs>
  <cellStyles count="4">
    <cellStyle name="Hyperlink" xfId="2" builtinId="8"/>
    <cellStyle name="Normal" xfId="0" builtinId="0"/>
    <cellStyle name="Normal 10" xfId="3" xr:uid="{3D6A02C3-92A3-4F3C-AD10-57FE8E450F24}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Funding of Individual Equity Layers and Debt</a:t>
            </a:r>
          </a:p>
        </c:rich>
      </c:tx>
      <c:layout>
        <c:manualLayout>
          <c:xMode val="edge"/>
          <c:yMode val="edge"/>
          <c:x val="0.26237083972125813"/>
          <c:y val="2.89406571588031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35393635791123"/>
          <c:y val="0.12416954753161157"/>
          <c:w val="0.82405999768259697"/>
          <c:h val="0.77026608378794958"/>
        </c:manualLayout>
      </c:layout>
      <c:barChart>
        <c:barDir val="col"/>
        <c:grouping val="clustered"/>
        <c:varyColors val="0"/>
        <c:ser>
          <c:idx val="0"/>
          <c:order val="0"/>
          <c:tx>
            <c:v>Sponsor</c:v>
          </c:tx>
          <c:spPr>
            <a:ln>
              <a:solidFill>
                <a:srgbClr val="0000FF"/>
              </a:solidFill>
            </a:ln>
          </c:spPr>
          <c:invertIfNegative val="0"/>
          <c:cat>
            <c:numRef>
              <c:f>'Sheet 1'!$N$6:$Y$6</c:f>
              <c:numCache>
                <c:formatCode>[$-409]mmm\-yy;@</c:formatCode>
                <c:ptCount val="12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</c:numCache>
            </c:numRef>
          </c:cat>
          <c:val>
            <c:numRef>
              <c:f>'Sheet 1'!$N$24:$Y$24</c:f>
              <c:numCache>
                <c:formatCode>"$"#,##0_);[Red]\("$"#,##0\)</c:formatCode>
                <c:ptCount val="12"/>
                <c:pt idx="0">
                  <c:v>350000</c:v>
                </c:pt>
                <c:pt idx="1">
                  <c:v>50000</c:v>
                </c:pt>
                <c:pt idx="2">
                  <c:v>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4000</c:v>
                </c:pt>
                <c:pt idx="7">
                  <c:v>1500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F-4E10-B991-BCA8D8D81DCC}"/>
            </c:ext>
          </c:extLst>
        </c:ser>
        <c:ser>
          <c:idx val="1"/>
          <c:order val="1"/>
          <c:tx>
            <c:v>Partner</c:v>
          </c:tx>
          <c:invertIfNegative val="0"/>
          <c:val>
            <c:numRef>
              <c:f>'Sheet 1'!$N$29:$Y$29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1600000</c:v>
                </c:pt>
                <c:pt idx="2">
                  <c:v>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16000</c:v>
                </c:pt>
                <c:pt idx="7">
                  <c:v>6000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1F-4E10-B991-BCA8D8D81DCC}"/>
            </c:ext>
          </c:extLst>
        </c:ser>
        <c:ser>
          <c:idx val="2"/>
          <c:order val="2"/>
          <c:tx>
            <c:v>Third Party</c:v>
          </c:tx>
          <c:invertIfNegative val="0"/>
          <c:val>
            <c:numRef>
              <c:f>'Sheet 1'!$N$34:$Y$34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8350000</c:v>
                </c:pt>
                <c:pt idx="2">
                  <c:v>9650000</c:v>
                </c:pt>
                <c:pt idx="3">
                  <c:v>225000</c:v>
                </c:pt>
                <c:pt idx="4">
                  <c:v>225000</c:v>
                </c:pt>
                <c:pt idx="5">
                  <c:v>225000</c:v>
                </c:pt>
                <c:pt idx="6">
                  <c:v>180000</c:v>
                </c:pt>
                <c:pt idx="7">
                  <c:v>67500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1F-4E10-B991-BCA8D8D81DCC}"/>
            </c:ext>
          </c:extLst>
        </c:ser>
        <c:ser>
          <c:idx val="3"/>
          <c:order val="3"/>
          <c:tx>
            <c:v>Mezzanine</c:v>
          </c:tx>
          <c:invertIfNegative val="0"/>
          <c:val>
            <c:numRef>
              <c:f>'Sheet 1'!$N$39:$Y$39</c:f>
              <c:numCache>
                <c:formatCode>"$"#,##0_);[Red]\("$"#,##0\)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A61F-4E10-B991-BCA8D8D81DCC}"/>
            </c:ext>
          </c:extLst>
        </c:ser>
        <c:ser>
          <c:idx val="4"/>
          <c:order val="4"/>
          <c:tx>
            <c:v>Senior</c:v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'Sheet 1'!$N$46:$Y$46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15350000</c:v>
                </c:pt>
                <c:pt idx="3">
                  <c:v>19000000</c:v>
                </c:pt>
                <c:pt idx="4">
                  <c:v>17400000</c:v>
                </c:pt>
                <c:pt idx="5">
                  <c:v>12048971.860670188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1F-4E10-B991-BCA8D8D81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748224"/>
        <c:axId val="115762304"/>
      </c:barChart>
      <c:dateAx>
        <c:axId val="115748224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5762304"/>
        <c:crosses val="autoZero"/>
        <c:auto val="1"/>
        <c:lblOffset val="100"/>
        <c:baseTimeUnit val="months"/>
      </c:dateAx>
      <c:valAx>
        <c:axId val="115762304"/>
        <c:scaling>
          <c:orientation val="minMax"/>
          <c:max val="20000000"/>
          <c:min val="0.1"/>
        </c:scaling>
        <c:delete val="0"/>
        <c:axPos val="l"/>
        <c:numFmt formatCode="&quot;$&quot;#,##0_);[Red]\(&quot;$&quot;#,##0\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5748224"/>
        <c:crosses val="autoZero"/>
        <c:crossBetween val="between"/>
        <c:majorUnit val="1000000"/>
      </c:valAx>
    </c:plotArea>
    <c:legend>
      <c:legendPos val="r"/>
      <c:layout>
        <c:manualLayout>
          <c:xMode val="edge"/>
          <c:yMode val="edge"/>
          <c:x val="0.78217710296285481"/>
          <c:y val="0.18289019327129563"/>
          <c:w val="9.6866837428453978E-2"/>
          <c:h val="0.21938831072689341"/>
        </c:manualLayout>
      </c:layout>
      <c:overlay val="0"/>
      <c:txPr>
        <a:bodyPr/>
        <a:lstStyle/>
        <a:p>
          <a:pPr>
            <a:defRPr sz="18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Funding of Total Equity and Debt</a:t>
            </a:r>
          </a:p>
        </c:rich>
      </c:tx>
      <c:layout>
        <c:manualLayout>
          <c:xMode val="edge"/>
          <c:yMode val="edge"/>
          <c:x val="0.32406412247122368"/>
          <c:y val="3.21728959416982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10829485982018"/>
          <c:y val="0.12416954753161165"/>
          <c:w val="0.83330565313677829"/>
          <c:h val="0.77026608378794936"/>
        </c:manualLayout>
      </c:layout>
      <c:barChart>
        <c:barDir val="col"/>
        <c:grouping val="clustered"/>
        <c:varyColors val="0"/>
        <c:ser>
          <c:idx val="2"/>
          <c:order val="0"/>
          <c:tx>
            <c:v>Total Equity Draw</c:v>
          </c:tx>
          <c:invertIfNegative val="0"/>
          <c:val>
            <c:numRef>
              <c:f>'Sheet 1'!$N$36:$Y$36</c:f>
              <c:numCache>
                <c:formatCode>"$"#,##0_);[Red]\("$"#,##0\)</c:formatCode>
                <c:ptCount val="12"/>
                <c:pt idx="0">
                  <c:v>350000</c:v>
                </c:pt>
                <c:pt idx="1">
                  <c:v>10000000</c:v>
                </c:pt>
                <c:pt idx="2">
                  <c:v>9650000</c:v>
                </c:pt>
                <c:pt idx="3">
                  <c:v>250000</c:v>
                </c:pt>
                <c:pt idx="4">
                  <c:v>250000</c:v>
                </c:pt>
                <c:pt idx="5">
                  <c:v>250000</c:v>
                </c:pt>
                <c:pt idx="6">
                  <c:v>200000</c:v>
                </c:pt>
                <c:pt idx="7">
                  <c:v>75000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9-4382-A4E7-21355AD53F5A}"/>
            </c:ext>
          </c:extLst>
        </c:ser>
        <c:ser>
          <c:idx val="3"/>
          <c:order val="1"/>
          <c:tx>
            <c:v>Mezzanine</c:v>
          </c:tx>
          <c:invertIfNegative val="0"/>
          <c:val>
            <c:numRef>
              <c:f>'Sheet 1'!$N$39:$Y$39</c:f>
              <c:numCache>
                <c:formatCode>"$"#,##0_);[Red]\("$"#,##0\)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4C69-4382-A4E7-21355AD53F5A}"/>
            </c:ext>
          </c:extLst>
        </c:ser>
        <c:ser>
          <c:idx val="4"/>
          <c:order val="2"/>
          <c:tx>
            <c:v>Senior</c:v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'Sheet 1'!$N$46:$Y$46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15350000</c:v>
                </c:pt>
                <c:pt idx="3">
                  <c:v>19000000</c:v>
                </c:pt>
                <c:pt idx="4">
                  <c:v>17400000</c:v>
                </c:pt>
                <c:pt idx="5">
                  <c:v>12048971.860670188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69-4382-A4E7-21355AD53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535296"/>
        <c:axId val="116536832"/>
      </c:barChart>
      <c:catAx>
        <c:axId val="11653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536832"/>
        <c:crosses val="autoZero"/>
        <c:auto val="1"/>
        <c:lblAlgn val="ctr"/>
        <c:lblOffset val="100"/>
        <c:noMultiLvlLbl val="0"/>
      </c:catAx>
      <c:valAx>
        <c:axId val="116536832"/>
        <c:scaling>
          <c:orientation val="minMax"/>
          <c:max val="20000000"/>
          <c:min val="0.1"/>
        </c:scaling>
        <c:delete val="0"/>
        <c:axPos val="l"/>
        <c:numFmt formatCode="&quot;$&quot;#,##0_);[Red]\(&quot;$&quot;#,##0\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535296"/>
        <c:crosses val="autoZero"/>
        <c:crossBetween val="between"/>
        <c:majorUnit val="1000000"/>
      </c:valAx>
    </c:plotArea>
    <c:legend>
      <c:legendPos val="r"/>
      <c:layout>
        <c:manualLayout>
          <c:xMode val="edge"/>
          <c:yMode val="edge"/>
          <c:x val="0.78217710296285481"/>
          <c:y val="0.18289019327129563"/>
          <c:w val="0.14162353621258966"/>
          <c:h val="0.13689830589358148"/>
        </c:manualLayout>
      </c:layout>
      <c:overlay val="0"/>
      <c:txPr>
        <a:bodyPr/>
        <a:lstStyle/>
        <a:p>
          <a:pPr>
            <a:defRPr sz="18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Funding of Individual Equity Layers</a:t>
            </a:r>
          </a:p>
        </c:rich>
      </c:tx>
      <c:layout>
        <c:manualLayout>
          <c:xMode val="edge"/>
          <c:yMode val="edge"/>
          <c:x val="0.31218396630375694"/>
          <c:y val="2.081497351794455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08681014895823"/>
          <c:y val="0.12416954753161165"/>
          <c:w val="0.82832713784764012"/>
          <c:h val="0.77026608378794936"/>
        </c:manualLayout>
      </c:layout>
      <c:barChart>
        <c:barDir val="col"/>
        <c:grouping val="clustered"/>
        <c:varyColors val="0"/>
        <c:ser>
          <c:idx val="0"/>
          <c:order val="0"/>
          <c:tx>
            <c:v>sponsor</c:v>
          </c:tx>
          <c:spPr>
            <a:ln>
              <a:solidFill>
                <a:srgbClr val="0000FF"/>
              </a:solidFill>
            </a:ln>
          </c:spPr>
          <c:invertIfNegative val="0"/>
          <c:cat>
            <c:numRef>
              <c:f>'Sheet 1'!$N$6:$Y$6</c:f>
              <c:numCache>
                <c:formatCode>[$-409]mmm\-yy;@</c:formatCode>
                <c:ptCount val="12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</c:numCache>
            </c:numRef>
          </c:cat>
          <c:val>
            <c:numRef>
              <c:f>'Sheet 1'!$N$24:$Y$24</c:f>
              <c:numCache>
                <c:formatCode>"$"#,##0_);[Red]\("$"#,##0\)</c:formatCode>
                <c:ptCount val="12"/>
                <c:pt idx="0">
                  <c:v>350000</c:v>
                </c:pt>
                <c:pt idx="1">
                  <c:v>50000</c:v>
                </c:pt>
                <c:pt idx="2">
                  <c:v>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4000</c:v>
                </c:pt>
                <c:pt idx="7">
                  <c:v>1500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5-44FA-B3D5-C64D0A4D9C7B}"/>
            </c:ext>
          </c:extLst>
        </c:ser>
        <c:ser>
          <c:idx val="1"/>
          <c:order val="1"/>
          <c:tx>
            <c:v>Partner</c:v>
          </c:tx>
          <c:invertIfNegative val="0"/>
          <c:val>
            <c:numRef>
              <c:f>'Sheet 1'!$N$29:$Y$29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1600000</c:v>
                </c:pt>
                <c:pt idx="2">
                  <c:v>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16000</c:v>
                </c:pt>
                <c:pt idx="7">
                  <c:v>6000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5-44FA-B3D5-C64D0A4D9C7B}"/>
            </c:ext>
          </c:extLst>
        </c:ser>
        <c:ser>
          <c:idx val="2"/>
          <c:order val="2"/>
          <c:tx>
            <c:v>Third Party</c:v>
          </c:tx>
          <c:invertIfNegative val="0"/>
          <c:val>
            <c:numRef>
              <c:f>'Sheet 1'!$N$34:$Y$34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8350000</c:v>
                </c:pt>
                <c:pt idx="2">
                  <c:v>9650000</c:v>
                </c:pt>
                <c:pt idx="3">
                  <c:v>225000</c:v>
                </c:pt>
                <c:pt idx="4">
                  <c:v>225000</c:v>
                </c:pt>
                <c:pt idx="5">
                  <c:v>225000</c:v>
                </c:pt>
                <c:pt idx="6">
                  <c:v>180000</c:v>
                </c:pt>
                <c:pt idx="7">
                  <c:v>67500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75-44FA-B3D5-C64D0A4D9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577024"/>
        <c:axId val="116578560"/>
      </c:barChart>
      <c:dateAx>
        <c:axId val="116577024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578560"/>
        <c:crosses val="autoZero"/>
        <c:auto val="1"/>
        <c:lblOffset val="100"/>
        <c:baseTimeUnit val="months"/>
      </c:dateAx>
      <c:valAx>
        <c:axId val="116578560"/>
        <c:scaling>
          <c:orientation val="minMax"/>
          <c:max val="14000000"/>
          <c:min val="0.1"/>
        </c:scaling>
        <c:delete val="0"/>
        <c:axPos val="l"/>
        <c:numFmt formatCode="&quot;$&quot;#,##0_);[Red]\(&quot;$&quot;#,##0\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577024"/>
        <c:crosses val="autoZero"/>
        <c:crossBetween val="between"/>
        <c:majorUnit val="1000000"/>
      </c:valAx>
    </c:plotArea>
    <c:legend>
      <c:legendPos val="r"/>
      <c:layout>
        <c:manualLayout>
          <c:xMode val="edge"/>
          <c:yMode val="edge"/>
          <c:x val="0.78217710296285481"/>
          <c:y val="0.18289019327129563"/>
          <c:w val="9.719211223513112E-2"/>
          <c:h val="0.13163298643613605"/>
        </c:manualLayout>
      </c:layout>
      <c:overlay val="0"/>
      <c:txPr>
        <a:bodyPr/>
        <a:lstStyle/>
        <a:p>
          <a:pPr>
            <a:defRPr sz="18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125</xdr:row>
      <xdr:rowOff>66675</xdr:rowOff>
    </xdr:from>
    <xdr:to>
      <xdr:col>22</xdr:col>
      <xdr:colOff>971550</xdr:colOff>
      <xdr:row>158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303FA2-4914-4821-9355-7B796987A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317500</xdr:colOff>
      <xdr:row>58</xdr:row>
      <xdr:rowOff>0</xdr:rowOff>
    </xdr:from>
    <xdr:to>
      <xdr:col>22</xdr:col>
      <xdr:colOff>936625</xdr:colOff>
      <xdr:row>91</xdr:row>
      <xdr:rowOff>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D0501A7B-0083-456E-863B-B59F60FCD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320675</xdr:colOff>
      <xdr:row>91</xdr:row>
      <xdr:rowOff>165100</xdr:rowOff>
    </xdr:from>
    <xdr:to>
      <xdr:col>22</xdr:col>
      <xdr:colOff>939800</xdr:colOff>
      <xdr:row>124</xdr:row>
      <xdr:rowOff>165100</xdr:rowOff>
    </xdr:to>
    <xdr:graphicFrame macro="">
      <xdr:nvGraphicFramePr>
        <xdr:cNvPr id="4" name="Chart 8">
          <a:extLst>
            <a:ext uri="{FF2B5EF4-FFF2-40B4-BE49-F238E27FC236}">
              <a16:creationId xmlns:a16="http://schemas.microsoft.com/office/drawing/2014/main" id="{5E3FC9A5-AB9D-4840-9B7C-A24AE2189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\REFinInv\Ex20_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\REFinInv\Finance\10th%20edition\Chapters\Chapter%2019%20templates\cm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Finance\10th%20edition\Chapters\Chapter%2019%20templates\IO-P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REIF &amp; S&amp;P"/>
      <sheetName val="REITs &amp; S&amp;P"/>
      <sheetName val="A"/>
    </sheetNames>
    <sheetDataSet>
      <sheetData sheetId="0">
        <row r="11">
          <cell r="D11">
            <v>0.10256580965724643</v>
          </cell>
        </row>
      </sheetData>
      <sheetData sheetId="1">
        <row r="11">
          <cell r="D11">
            <v>0.10256580965724643</v>
          </cell>
          <cell r="F11">
            <v>3.9374304347826112</v>
          </cell>
        </row>
        <row r="12">
          <cell r="D12">
            <v>9.9699466842594398E-2</v>
          </cell>
          <cell r="F12">
            <v>3.9434344565217412</v>
          </cell>
        </row>
        <row r="13">
          <cell r="D13">
            <v>9.6926697633896594E-2</v>
          </cell>
          <cell r="F13">
            <v>3.949438478260872</v>
          </cell>
        </row>
        <row r="14">
          <cell r="D14">
            <v>9.4255760498720725E-2</v>
          </cell>
          <cell r="F14">
            <v>3.955442500000002</v>
          </cell>
        </row>
        <row r="15">
          <cell r="D15">
            <v>9.1695554459503378E-2</v>
          </cell>
          <cell r="F15">
            <v>3.9614465217391328</v>
          </cell>
        </row>
        <row r="16">
          <cell r="D16">
            <v>8.9255608650344487E-2</v>
          </cell>
          <cell r="F16">
            <v>3.9674505434782628</v>
          </cell>
        </row>
        <row r="17">
          <cell r="D17">
            <v>8.6946048161577236E-2</v>
          </cell>
          <cell r="F17">
            <v>3.9734545652173923</v>
          </cell>
        </row>
        <row r="18">
          <cell r="D18">
            <v>8.4777529769104062E-2</v>
          </cell>
          <cell r="F18">
            <v>3.9794585869565231</v>
          </cell>
        </row>
        <row r="19">
          <cell r="D19">
            <v>8.2761141026761451E-2</v>
          </cell>
          <cell r="F19">
            <v>3.9854626086956535</v>
          </cell>
        </row>
        <row r="20">
          <cell r="D20">
            <v>8.0908256821018112E-2</v>
          </cell>
          <cell r="F20">
            <v>3.9914666304347839</v>
          </cell>
        </row>
        <row r="21">
          <cell r="D21">
            <v>7.9230349153871005E-2</v>
          </cell>
          <cell r="F21">
            <v>3.9974706521739138</v>
          </cell>
        </row>
        <row r="22">
          <cell r="D22">
            <v>7.7738748894852619E-2</v>
          </cell>
          <cell r="F22">
            <v>4.0034746739130451</v>
          </cell>
        </row>
        <row r="23">
          <cell r="D23">
            <v>7.6444362642995103E-2</v>
          </cell>
          <cell r="F23">
            <v>4.0094786956521746</v>
          </cell>
        </row>
        <row r="24">
          <cell r="D24">
            <v>7.5357353506573591E-2</v>
          </cell>
          <cell r="F24">
            <v>4.015482717391305</v>
          </cell>
        </row>
        <row r="25">
          <cell r="D25">
            <v>7.4486800995879857E-2</v>
          </cell>
          <cell r="F25">
            <v>4.0214867391304354</v>
          </cell>
        </row>
        <row r="26">
          <cell r="D26">
            <v>7.3840361355759068E-2</v>
          </cell>
          <cell r="F26">
            <v>4.0274907608695658</v>
          </cell>
        </row>
        <row r="27">
          <cell r="D27">
            <v>7.3423954232678723E-2</v>
          </cell>
          <cell r="F27">
            <v>4.0334947826086962</v>
          </cell>
        </row>
        <row r="28">
          <cell r="D28">
            <v>7.3241503211226341E-2</v>
          </cell>
          <cell r="F28">
            <v>4.0394988043478257</v>
          </cell>
        </row>
        <row r="29">
          <cell r="D29">
            <v>7.329475545754835E-2</v>
          </cell>
          <cell r="F29">
            <v>4.045502826086957</v>
          </cell>
        </row>
        <row r="30">
          <cell r="D30">
            <v>7.358319923724238E-2</v>
          </cell>
          <cell r="F30">
            <v>4.0515068478260865</v>
          </cell>
        </row>
        <row r="31">
          <cell r="D31">
            <v>7.4104088212849348E-2</v>
          </cell>
          <cell r="F31">
            <v>4.0575108695652169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EITs &amp; S&amp;P"/>
    </sheetNames>
    <sheetDataSet>
      <sheetData sheetId="0">
        <row r="171">
          <cell r="D171">
            <v>0</v>
          </cell>
          <cell r="E171">
            <v>0.19104004814636055</v>
          </cell>
        </row>
        <row r="172">
          <cell r="D172">
            <v>0.05</v>
          </cell>
          <cell r="E172">
            <v>0.17331256212247201</v>
          </cell>
        </row>
        <row r="173">
          <cell r="D173">
            <v>0.1</v>
          </cell>
          <cell r="E173">
            <v>0.16098670463276857</v>
          </cell>
        </row>
        <row r="174">
          <cell r="D174">
            <v>0.15000000000000002</v>
          </cell>
          <cell r="E174">
            <v>0.15532835618367249</v>
          </cell>
        </row>
        <row r="175">
          <cell r="D175">
            <v>0.2</v>
          </cell>
          <cell r="E175">
            <v>0.14993493952328116</v>
          </cell>
        </row>
        <row r="176">
          <cell r="D176">
            <v>0.25</v>
          </cell>
          <cell r="E176">
            <v>0.14737549187106463</v>
          </cell>
        </row>
        <row r="177">
          <cell r="D177">
            <v>0.3</v>
          </cell>
          <cell r="E177">
            <v>0.14738328611616652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0">
          <cell r="F60">
            <v>0.2</v>
          </cell>
        </row>
        <row r="135">
          <cell r="E135">
            <v>5.3792676242975117E-2</v>
          </cell>
        </row>
        <row r="136">
          <cell r="E136">
            <v>6.5681770075035173E-2</v>
          </cell>
        </row>
        <row r="137">
          <cell r="E137">
            <v>7.9037589924664753E-2</v>
          </cell>
        </row>
        <row r="138">
          <cell r="E138">
            <v>9.3672789192370182E-2</v>
          </cell>
        </row>
        <row r="139">
          <cell r="E139">
            <v>0.10935888548657445</v>
          </cell>
        </row>
        <row r="140">
          <cell r="E140">
            <v>0.12586561470778773</v>
          </cell>
        </row>
        <row r="141">
          <cell r="E141">
            <v>0.14298917762938032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52763-E668-41BC-9004-CCF50B302459}">
  <sheetPr>
    <pageSetUpPr fitToPage="1"/>
  </sheetPr>
  <dimension ref="A1:AD57"/>
  <sheetViews>
    <sheetView tabSelected="1" zoomScale="80" zoomScaleNormal="80" zoomScaleSheetLayoutView="40" workbookViewId="0"/>
  </sheetViews>
  <sheetFormatPr defaultColWidth="9.1796875" defaultRowHeight="15.5" x14ac:dyDescent="0.35"/>
  <cols>
    <col min="1" max="1" width="5.26953125" style="3" customWidth="1"/>
    <col min="2" max="2" width="26.1796875" style="3" customWidth="1"/>
    <col min="3" max="3" width="3.1796875" style="3" customWidth="1"/>
    <col min="4" max="4" width="15.453125" style="3" customWidth="1"/>
    <col min="5" max="5" width="17" style="3" customWidth="1"/>
    <col min="6" max="6" width="13.26953125" style="3" customWidth="1"/>
    <col min="7" max="7" width="33.54296875" style="3" customWidth="1"/>
    <col min="8" max="8" width="12.81640625" style="3" customWidth="1"/>
    <col min="9" max="9" width="19.1796875" style="3" customWidth="1"/>
    <col min="10" max="10" width="1.453125" style="3" customWidth="1"/>
    <col min="11" max="11" width="16" style="3" customWidth="1"/>
    <col min="12" max="12" width="23.26953125" style="3" customWidth="1"/>
    <col min="13" max="13" width="5.7265625" style="3" customWidth="1"/>
    <col min="14" max="15" width="19.54296875" style="3" customWidth="1"/>
    <col min="16" max="16" width="21" style="3" customWidth="1"/>
    <col min="17" max="17" width="20.7265625" style="3" customWidth="1"/>
    <col min="18" max="18" width="21.81640625" style="3" customWidth="1"/>
    <col min="19" max="25" width="19.54296875" style="3" customWidth="1"/>
    <col min="26" max="26" width="3.81640625" style="3" customWidth="1"/>
    <col min="27" max="30" width="15.453125" style="3" customWidth="1"/>
    <col min="31" max="16384" width="9.1796875" style="3"/>
  </cols>
  <sheetData>
    <row r="1" spans="1:26" s="2" customFormat="1" x14ac:dyDescent="0.35">
      <c r="A1" s="1"/>
    </row>
    <row r="2" spans="1:26" s="2" customFormat="1" ht="21" x14ac:dyDescent="0.5">
      <c r="B2" s="81" t="s">
        <v>0</v>
      </c>
    </row>
    <row r="3" spans="1:26" x14ac:dyDescent="0.35">
      <c r="B3" s="4" t="s">
        <v>1</v>
      </c>
    </row>
    <row r="4" spans="1:26" ht="6.75" customHeight="1" x14ac:dyDescent="0.35"/>
    <row r="5" spans="1:26" x14ac:dyDescent="0.35">
      <c r="Z5" s="5"/>
    </row>
    <row r="6" spans="1:26" x14ac:dyDescent="0.35">
      <c r="I6" s="5" t="s">
        <v>2</v>
      </c>
      <c r="N6" s="6">
        <f ca="1">EOMONTH(TODAY(),3)+1</f>
        <v>43617</v>
      </c>
      <c r="O6" s="7">
        <f ca="1">EDATE(N6,1)</f>
        <v>43647</v>
      </c>
      <c r="P6" s="7">
        <f t="shared" ref="P6:Y6" ca="1" si="0">EDATE(O6,1)</f>
        <v>43678</v>
      </c>
      <c r="Q6" s="7">
        <f t="shared" ca="1" si="0"/>
        <v>43709</v>
      </c>
      <c r="R6" s="7">
        <f t="shared" ca="1" si="0"/>
        <v>43739</v>
      </c>
      <c r="S6" s="7">
        <f t="shared" ca="1" si="0"/>
        <v>43770</v>
      </c>
      <c r="T6" s="7">
        <f t="shared" ca="1" si="0"/>
        <v>43800</v>
      </c>
      <c r="U6" s="7">
        <f t="shared" ca="1" si="0"/>
        <v>43831</v>
      </c>
      <c r="V6" s="7">
        <f t="shared" ca="1" si="0"/>
        <v>43862</v>
      </c>
      <c r="W6" s="7">
        <f t="shared" ca="1" si="0"/>
        <v>43891</v>
      </c>
      <c r="X6" s="7">
        <f t="shared" ca="1" si="0"/>
        <v>43922</v>
      </c>
      <c r="Y6" s="7">
        <f t="shared" ca="1" si="0"/>
        <v>43952</v>
      </c>
      <c r="Z6" s="5"/>
    </row>
    <row r="7" spans="1:26" x14ac:dyDescent="0.35">
      <c r="B7" s="8" t="s">
        <v>3</v>
      </c>
      <c r="I7" s="5" t="s">
        <v>4</v>
      </c>
      <c r="N7" s="9">
        <v>1</v>
      </c>
      <c r="O7" s="2">
        <f>N7+1</f>
        <v>2</v>
      </c>
      <c r="P7" s="2">
        <f t="shared" ref="P7:Y7" si="1">O7+1</f>
        <v>3</v>
      </c>
      <c r="Q7" s="2">
        <f t="shared" si="1"/>
        <v>4</v>
      </c>
      <c r="R7" s="2">
        <f t="shared" si="1"/>
        <v>5</v>
      </c>
      <c r="S7" s="2">
        <f t="shared" si="1"/>
        <v>6</v>
      </c>
      <c r="T7" s="2">
        <f t="shared" si="1"/>
        <v>7</v>
      </c>
      <c r="U7" s="2">
        <f t="shared" si="1"/>
        <v>8</v>
      </c>
      <c r="V7" s="2">
        <f t="shared" si="1"/>
        <v>9</v>
      </c>
      <c r="W7" s="2">
        <f t="shared" si="1"/>
        <v>10</v>
      </c>
      <c r="X7" s="2">
        <f t="shared" si="1"/>
        <v>11</v>
      </c>
      <c r="Y7" s="2">
        <f t="shared" si="1"/>
        <v>12</v>
      </c>
      <c r="Z7" s="5"/>
    </row>
    <row r="8" spans="1:26" ht="54" customHeight="1" x14ac:dyDescent="0.35">
      <c r="B8" s="84" t="s">
        <v>5</v>
      </c>
      <c r="C8" s="84"/>
      <c r="D8" s="84"/>
      <c r="E8" s="84"/>
      <c r="F8" s="84"/>
      <c r="G8" s="84"/>
      <c r="I8" s="10" t="s">
        <v>6</v>
      </c>
      <c r="J8" s="11"/>
      <c r="K8" s="11"/>
      <c r="L8" s="11"/>
      <c r="M8" s="11"/>
      <c r="N8" s="12" t="s">
        <v>7</v>
      </c>
      <c r="O8" s="12" t="s">
        <v>7</v>
      </c>
      <c r="P8" s="12" t="s">
        <v>8</v>
      </c>
      <c r="Q8" s="12" t="s">
        <v>9</v>
      </c>
      <c r="R8" s="12"/>
      <c r="S8" s="12" t="s">
        <v>10</v>
      </c>
      <c r="T8" s="12" t="s">
        <v>7</v>
      </c>
      <c r="U8" s="12" t="s">
        <v>7</v>
      </c>
      <c r="V8" s="12" t="s">
        <v>11</v>
      </c>
      <c r="W8" s="12" t="s">
        <v>7</v>
      </c>
      <c r="X8" s="12" t="s">
        <v>7</v>
      </c>
      <c r="Y8" s="12" t="s">
        <v>12</v>
      </c>
      <c r="Z8" s="5"/>
    </row>
    <row r="9" spans="1:26" x14ac:dyDescent="0.35"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5"/>
    </row>
    <row r="10" spans="1:26" x14ac:dyDescent="0.35">
      <c r="B10" s="14" t="s">
        <v>13</v>
      </c>
      <c r="L10" s="15" t="s">
        <v>14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5"/>
    </row>
    <row r="11" spans="1:26" x14ac:dyDescent="0.35">
      <c r="I11" s="17" t="s">
        <v>15</v>
      </c>
      <c r="J11" s="8"/>
      <c r="K11" s="8"/>
      <c r="L11" s="18">
        <f>SUM(N11:Y11)</f>
        <v>98000000</v>
      </c>
      <c r="M11" s="8"/>
      <c r="N11" s="19">
        <v>350000</v>
      </c>
      <c r="O11" s="19">
        <v>10000000</v>
      </c>
      <c r="P11" s="19">
        <v>25000000</v>
      </c>
      <c r="Q11" s="19">
        <v>19000000</v>
      </c>
      <c r="R11" s="19">
        <v>17400000</v>
      </c>
      <c r="S11" s="19">
        <v>18000000</v>
      </c>
      <c r="T11" s="19">
        <v>5000000</v>
      </c>
      <c r="U11" s="19">
        <v>2000000</v>
      </c>
      <c r="V11" s="19">
        <v>1000000</v>
      </c>
      <c r="W11" s="19">
        <v>250000</v>
      </c>
      <c r="X11" s="19">
        <v>0</v>
      </c>
      <c r="Y11" s="19">
        <v>0</v>
      </c>
      <c r="Z11" s="5"/>
    </row>
    <row r="12" spans="1:26" x14ac:dyDescent="0.35">
      <c r="I12" s="20" t="s">
        <v>16</v>
      </c>
      <c r="L12" s="18">
        <f>SUM(N12:Y12)</f>
        <v>1470682.1212148147</v>
      </c>
      <c r="N12" s="21">
        <f>N41+N50</f>
        <v>0</v>
      </c>
      <c r="O12" s="21">
        <f t="shared" ref="O12:Y12" si="2">O41+O50</f>
        <v>0</v>
      </c>
      <c r="P12" s="21">
        <f t="shared" si="2"/>
        <v>0</v>
      </c>
      <c r="Q12" s="21">
        <f t="shared" si="2"/>
        <v>0</v>
      </c>
      <c r="R12" s="21">
        <f t="shared" si="2"/>
        <v>0</v>
      </c>
      <c r="S12" s="21">
        <f t="shared" si="2"/>
        <v>176182.12121481483</v>
      </c>
      <c r="T12" s="21">
        <f t="shared" si="2"/>
        <v>216666.66666666666</v>
      </c>
      <c r="U12" s="21">
        <f t="shared" si="2"/>
        <v>216666.66666666666</v>
      </c>
      <c r="V12" s="21">
        <f t="shared" si="2"/>
        <v>216666.66666666666</v>
      </c>
      <c r="W12" s="21">
        <f t="shared" si="2"/>
        <v>215750</v>
      </c>
      <c r="X12" s="21">
        <f t="shared" si="2"/>
        <v>214833.33333333334</v>
      </c>
      <c r="Y12" s="21">
        <f t="shared" si="2"/>
        <v>213916.66666666666</v>
      </c>
      <c r="Z12" s="5"/>
    </row>
    <row r="13" spans="1:26" x14ac:dyDescent="0.35">
      <c r="I13" s="20" t="s">
        <v>17</v>
      </c>
      <c r="L13" s="18">
        <f>SUM(N13:Y13)</f>
        <v>1201028.139329806</v>
      </c>
      <c r="N13" s="21">
        <f>N47+N48+N49</f>
        <v>0</v>
      </c>
      <c r="O13" s="21">
        <f t="shared" ref="O13:Y13" si="3">O47+O48+O49</f>
        <v>0</v>
      </c>
      <c r="P13" s="21">
        <f t="shared" si="3"/>
        <v>642800</v>
      </c>
      <c r="Q13" s="21">
        <f t="shared" si="3"/>
        <v>205309.33333333334</v>
      </c>
      <c r="R13" s="21">
        <f t="shared" si="3"/>
        <v>256527.03111111111</v>
      </c>
      <c r="S13" s="21">
        <f t="shared" si="3"/>
        <v>96391.774885361505</v>
      </c>
      <c r="T13" s="21">
        <f t="shared" si="3"/>
        <v>0</v>
      </c>
      <c r="U13" s="21">
        <f t="shared" si="3"/>
        <v>0</v>
      </c>
      <c r="V13" s="21">
        <f t="shared" si="3"/>
        <v>0</v>
      </c>
      <c r="W13" s="21">
        <f t="shared" si="3"/>
        <v>0</v>
      </c>
      <c r="X13" s="21">
        <f t="shared" si="3"/>
        <v>0</v>
      </c>
      <c r="Y13" s="21">
        <f t="shared" si="3"/>
        <v>0</v>
      </c>
      <c r="Z13" s="5"/>
    </row>
    <row r="14" spans="1:26" x14ac:dyDescent="0.35">
      <c r="I14" s="20" t="s">
        <v>18</v>
      </c>
      <c r="L14" s="22">
        <f>SUM(N14:Y14)</f>
        <v>1025000</v>
      </c>
      <c r="M14" s="23"/>
      <c r="N14" s="24">
        <v>0</v>
      </c>
      <c r="O14" s="24">
        <v>0</v>
      </c>
      <c r="P14" s="24">
        <v>0</v>
      </c>
      <c r="Q14" s="24">
        <v>250000</v>
      </c>
      <c r="R14" s="24">
        <v>250000</v>
      </c>
      <c r="S14" s="24">
        <v>250000</v>
      </c>
      <c r="T14" s="24">
        <v>200000</v>
      </c>
      <c r="U14" s="24">
        <v>75000</v>
      </c>
      <c r="V14" s="24">
        <v>0</v>
      </c>
      <c r="W14" s="24">
        <v>0</v>
      </c>
      <c r="X14" s="24">
        <v>0</v>
      </c>
      <c r="Y14" s="24">
        <v>0</v>
      </c>
      <c r="Z14" s="5"/>
    </row>
    <row r="15" spans="1:26" s="8" customFormat="1" ht="19.75" customHeight="1" x14ac:dyDescent="0.35">
      <c r="A15" s="3"/>
      <c r="G15" s="25"/>
      <c r="I15" s="17" t="s">
        <v>19</v>
      </c>
      <c r="L15" s="18">
        <f>SUM(L11:L14)</f>
        <v>101696710.26054463</v>
      </c>
      <c r="N15" s="19">
        <f t="shared" ref="N15:Y15" si="4">N11+N12+N13+N14</f>
        <v>350000</v>
      </c>
      <c r="O15" s="19">
        <f t="shared" si="4"/>
        <v>10000000</v>
      </c>
      <c r="P15" s="19">
        <f t="shared" si="4"/>
        <v>25642800</v>
      </c>
      <c r="Q15" s="19">
        <f t="shared" si="4"/>
        <v>19455309.333333332</v>
      </c>
      <c r="R15" s="19">
        <f t="shared" si="4"/>
        <v>17906527.03111111</v>
      </c>
      <c r="S15" s="19">
        <f t="shared" si="4"/>
        <v>18522573.896100175</v>
      </c>
      <c r="T15" s="19">
        <f t="shared" si="4"/>
        <v>5416666.666666667</v>
      </c>
      <c r="U15" s="19">
        <f t="shared" si="4"/>
        <v>2291666.6666666665</v>
      </c>
      <c r="V15" s="19">
        <f t="shared" si="4"/>
        <v>1216666.6666666667</v>
      </c>
      <c r="W15" s="19">
        <f t="shared" si="4"/>
        <v>465750</v>
      </c>
      <c r="X15" s="19">
        <f t="shared" si="4"/>
        <v>214833.33333333334</v>
      </c>
      <c r="Y15" s="19">
        <f t="shared" si="4"/>
        <v>213916.66666666666</v>
      </c>
      <c r="Z15" s="5"/>
    </row>
    <row r="16" spans="1:26" x14ac:dyDescent="0.35">
      <c r="L16" s="18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5"/>
    </row>
    <row r="17" spans="1:26" s="27" customFormat="1" ht="19.75" customHeight="1" x14ac:dyDescent="0.35">
      <c r="A17" s="3"/>
      <c r="I17" s="17" t="s">
        <v>20</v>
      </c>
      <c r="L17" s="18">
        <f>SUM(N17:Y17)</f>
        <v>121825000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275000</v>
      </c>
      <c r="W17" s="28">
        <v>275000</v>
      </c>
      <c r="X17" s="28">
        <v>275000</v>
      </c>
      <c r="Y17" s="28">
        <v>121000000</v>
      </c>
      <c r="Z17" s="5"/>
    </row>
    <row r="18" spans="1:26" ht="19.75" customHeight="1" x14ac:dyDescent="0.35">
      <c r="Z18" s="5"/>
    </row>
    <row r="19" spans="1:26" ht="19.75" customHeight="1" x14ac:dyDescent="0.35">
      <c r="B19" s="14" t="s">
        <v>21</v>
      </c>
      <c r="K19" s="2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5"/>
    </row>
    <row r="20" spans="1:26" ht="19.75" customHeight="1" x14ac:dyDescent="0.35">
      <c r="D20" s="2" t="s">
        <v>22</v>
      </c>
      <c r="E20" s="2" t="s">
        <v>14</v>
      </c>
      <c r="F20" s="2" t="s">
        <v>23</v>
      </c>
      <c r="K20" s="2"/>
      <c r="L20" s="15" t="s">
        <v>14</v>
      </c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5"/>
    </row>
    <row r="21" spans="1:26" ht="19.75" customHeight="1" x14ac:dyDescent="0.35">
      <c r="B21" s="29" t="s">
        <v>24</v>
      </c>
      <c r="C21" s="30"/>
      <c r="D21" s="31">
        <f>E21/E47</f>
        <v>4.0000000000000001E-3</v>
      </c>
      <c r="E21" s="32">
        <v>400000</v>
      </c>
      <c r="F21" s="33">
        <f>E21/($E$21+$E$26+$E$31)</f>
        <v>0.02</v>
      </c>
      <c r="G21" s="29" t="s">
        <v>24</v>
      </c>
      <c r="H21" s="2"/>
      <c r="I21" s="20" t="s">
        <v>25</v>
      </c>
      <c r="J21" s="2"/>
      <c r="K21" s="2"/>
      <c r="L21" s="18">
        <f>SUM(N21:Y21)</f>
        <v>400000</v>
      </c>
      <c r="M21" s="34"/>
      <c r="N21" s="26">
        <f>MIN(N11,$E$21-SUM($M$21:M21))</f>
        <v>350000</v>
      </c>
      <c r="O21" s="26">
        <f>MIN(O11,$E$21-SUM($M$21:N21))</f>
        <v>50000</v>
      </c>
      <c r="P21" s="26">
        <f>MIN(P11,$E$21-SUM($M$21:O21))</f>
        <v>0</v>
      </c>
      <c r="Q21" s="26">
        <f>MIN(Q11,$E$21-SUM($M$21:P21))</f>
        <v>0</v>
      </c>
      <c r="R21" s="26">
        <f>MIN(R11,$E$21-SUM($M$21:Q21))</f>
        <v>0</v>
      </c>
      <c r="S21" s="26">
        <f>MIN(S11,$E$21-SUM($M$21:R21))</f>
        <v>0</v>
      </c>
      <c r="T21" s="26">
        <f>MIN(T11,$E$21-SUM($M$21:S21))</f>
        <v>0</v>
      </c>
      <c r="U21" s="26">
        <f>MIN(U11,$E$21-SUM($M$21:T21))</f>
        <v>0</v>
      </c>
      <c r="V21" s="26">
        <f>MIN(V11,$E$21-SUM($M$21:U21))</f>
        <v>0</v>
      </c>
      <c r="W21" s="26">
        <f>MIN(W11,$E$21-SUM($M$21:V21))</f>
        <v>0</v>
      </c>
      <c r="X21" s="26">
        <f>MIN(X11,$E$21-SUM($M$21:W21))</f>
        <v>0</v>
      </c>
      <c r="Y21" s="26">
        <f>MIN(Y11,$E$21-SUM($M$21:X21))</f>
        <v>0</v>
      </c>
      <c r="Z21" s="5"/>
    </row>
    <row r="22" spans="1:26" ht="19.75" customHeight="1" x14ac:dyDescent="0.35">
      <c r="B22" s="35"/>
      <c r="C22" s="30"/>
      <c r="D22" s="36"/>
      <c r="E22" s="82" t="s">
        <v>26</v>
      </c>
      <c r="F22" s="82"/>
      <c r="G22" s="82"/>
      <c r="H22" s="2"/>
      <c r="I22" s="37" t="s">
        <v>27</v>
      </c>
      <c r="J22" s="2"/>
      <c r="K22" s="2"/>
      <c r="L22" s="15"/>
      <c r="M22" s="2"/>
      <c r="N22" s="21">
        <f>M22+N21</f>
        <v>350000</v>
      </c>
      <c r="O22" s="21">
        <f t="shared" ref="O22:Y22" si="5">N22+O21</f>
        <v>400000</v>
      </c>
      <c r="P22" s="21">
        <f t="shared" si="5"/>
        <v>400000</v>
      </c>
      <c r="Q22" s="21">
        <f t="shared" si="5"/>
        <v>400000</v>
      </c>
      <c r="R22" s="21">
        <f t="shared" si="5"/>
        <v>400000</v>
      </c>
      <c r="S22" s="21">
        <f t="shared" si="5"/>
        <v>400000</v>
      </c>
      <c r="T22" s="21">
        <f t="shared" si="5"/>
        <v>400000</v>
      </c>
      <c r="U22" s="21">
        <f t="shared" si="5"/>
        <v>400000</v>
      </c>
      <c r="V22" s="21">
        <f t="shared" si="5"/>
        <v>400000</v>
      </c>
      <c r="W22" s="21">
        <f t="shared" si="5"/>
        <v>400000</v>
      </c>
      <c r="X22" s="21">
        <f t="shared" si="5"/>
        <v>400000</v>
      </c>
      <c r="Y22" s="21">
        <f t="shared" si="5"/>
        <v>400000</v>
      </c>
      <c r="Z22" s="5"/>
    </row>
    <row r="23" spans="1:26" ht="19.75" customHeight="1" x14ac:dyDescent="0.35">
      <c r="B23" s="35"/>
      <c r="C23" s="30"/>
      <c r="D23" s="36"/>
      <c r="E23" s="38"/>
      <c r="F23" s="38"/>
      <c r="G23" s="39"/>
      <c r="H23" s="2"/>
      <c r="I23" s="37" t="s">
        <v>28</v>
      </c>
      <c r="J23" s="2"/>
      <c r="K23" s="2"/>
      <c r="L23" s="18">
        <f>SUM(N23:Y23)</f>
        <v>20500</v>
      </c>
      <c r="M23" s="2"/>
      <c r="N23" s="21">
        <f t="shared" ref="N23:Y23" si="6">$F$21*N14</f>
        <v>0</v>
      </c>
      <c r="O23" s="21">
        <f t="shared" si="6"/>
        <v>0</v>
      </c>
      <c r="P23" s="21">
        <f t="shared" si="6"/>
        <v>0</v>
      </c>
      <c r="Q23" s="21">
        <f t="shared" si="6"/>
        <v>5000</v>
      </c>
      <c r="R23" s="21">
        <f t="shared" si="6"/>
        <v>5000</v>
      </c>
      <c r="S23" s="21">
        <f t="shared" si="6"/>
        <v>5000</v>
      </c>
      <c r="T23" s="21">
        <f t="shared" si="6"/>
        <v>4000</v>
      </c>
      <c r="U23" s="21">
        <f t="shared" si="6"/>
        <v>1500</v>
      </c>
      <c r="V23" s="21">
        <f t="shared" si="6"/>
        <v>0</v>
      </c>
      <c r="W23" s="21">
        <f t="shared" si="6"/>
        <v>0</v>
      </c>
      <c r="X23" s="21">
        <f t="shared" si="6"/>
        <v>0</v>
      </c>
      <c r="Y23" s="21">
        <f t="shared" si="6"/>
        <v>0</v>
      </c>
      <c r="Z23" s="5"/>
    </row>
    <row r="24" spans="1:26" ht="19.75" customHeight="1" x14ac:dyDescent="0.35">
      <c r="B24" s="35"/>
      <c r="C24" s="30"/>
      <c r="D24" s="36"/>
      <c r="E24" s="38"/>
      <c r="F24" s="38"/>
      <c r="G24" s="39"/>
      <c r="H24" s="2"/>
      <c r="I24" s="37" t="s">
        <v>29</v>
      </c>
      <c r="J24" s="2"/>
      <c r="K24" s="2"/>
      <c r="L24" s="18">
        <f>SUM(N24:Y24)</f>
        <v>420500</v>
      </c>
      <c r="M24" s="2"/>
      <c r="N24" s="21">
        <f>N21+N23</f>
        <v>350000</v>
      </c>
      <c r="O24" s="21">
        <f t="shared" ref="O24:Y24" si="7">O21+O23</f>
        <v>50000</v>
      </c>
      <c r="P24" s="21">
        <f t="shared" si="7"/>
        <v>0</v>
      </c>
      <c r="Q24" s="21">
        <f t="shared" si="7"/>
        <v>5000</v>
      </c>
      <c r="R24" s="21">
        <f t="shared" si="7"/>
        <v>5000</v>
      </c>
      <c r="S24" s="21">
        <f t="shared" si="7"/>
        <v>5000</v>
      </c>
      <c r="T24" s="21">
        <f t="shared" si="7"/>
        <v>4000</v>
      </c>
      <c r="U24" s="21">
        <f t="shared" si="7"/>
        <v>1500</v>
      </c>
      <c r="V24" s="21">
        <f t="shared" si="7"/>
        <v>0</v>
      </c>
      <c r="W24" s="21">
        <f t="shared" si="7"/>
        <v>0</v>
      </c>
      <c r="X24" s="21">
        <f t="shared" si="7"/>
        <v>0</v>
      </c>
      <c r="Y24" s="21">
        <f t="shared" si="7"/>
        <v>0</v>
      </c>
      <c r="Z24" s="5"/>
    </row>
    <row r="25" spans="1:26" ht="19.75" customHeight="1" x14ac:dyDescent="0.35">
      <c r="B25" s="35"/>
      <c r="C25" s="30"/>
      <c r="D25" s="36"/>
      <c r="E25" s="38"/>
      <c r="F25" s="38"/>
      <c r="G25" s="2"/>
      <c r="H25" s="2"/>
      <c r="I25" s="37"/>
      <c r="J25" s="2"/>
      <c r="K25" s="2"/>
      <c r="L25" s="15"/>
      <c r="M25" s="2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5"/>
    </row>
    <row r="26" spans="1:26" ht="19.75" customHeight="1" x14ac:dyDescent="0.35">
      <c r="B26" s="40" t="s">
        <v>30</v>
      </c>
      <c r="C26" s="30"/>
      <c r="D26" s="33">
        <f>E26/E47</f>
        <v>1.6E-2</v>
      </c>
      <c r="E26" s="32">
        <v>1600000</v>
      </c>
      <c r="F26" s="33">
        <f>E26/($E$21+$E$26+$E$31)</f>
        <v>0.08</v>
      </c>
      <c r="G26" s="40" t="s">
        <v>30</v>
      </c>
      <c r="H26" s="2"/>
      <c r="I26" s="20" t="s">
        <v>25</v>
      </c>
      <c r="J26" s="2"/>
      <c r="K26" s="2"/>
      <c r="L26" s="18">
        <f>SUM(N26:Y26)</f>
        <v>1600000</v>
      </c>
      <c r="M26" s="34"/>
      <c r="N26" s="26">
        <f>IF(N22=$E$21,MIN(N11-N21,$E$26-SUM($M26:M26)),0)</f>
        <v>0</v>
      </c>
      <c r="O26" s="26">
        <f>IF(O22=$E$21,MIN(O11-O21,$E$26-SUM($M26:N26)),0)</f>
        <v>1600000</v>
      </c>
      <c r="P26" s="26">
        <f>IF(P22=$E$21,MIN(P11-P21,$E$26-SUM($M26:O26)),0)</f>
        <v>0</v>
      </c>
      <c r="Q26" s="26">
        <f>IF(Q22=$E$21,MIN(Q11-Q21,$E$26-SUM($M26:P26)),0)</f>
        <v>0</v>
      </c>
      <c r="R26" s="26">
        <f>IF(R22=$E$21,MIN(R11-R21,$E$26-SUM($M26:Q26)),0)</f>
        <v>0</v>
      </c>
      <c r="S26" s="26">
        <f>IF(S22=$E$21,MIN(S11-S21,$E$26-SUM($M26:R26)),0)</f>
        <v>0</v>
      </c>
      <c r="T26" s="26">
        <f>IF(T22=$E$21,MIN(T11-T21,$E$26-SUM($M26:S26)),0)</f>
        <v>0</v>
      </c>
      <c r="U26" s="26">
        <f>IF(U22=$E$21,MIN(U11-U21,$E$26-SUM($M26:T26)),0)</f>
        <v>0</v>
      </c>
      <c r="V26" s="26">
        <f>IF(V22=$E$21,MIN(V11-V21,$E$26-SUM($M26:U26)),0)</f>
        <v>0</v>
      </c>
      <c r="W26" s="26">
        <f>IF(W22=$E$21,MIN(W11-W21,$E$26-SUM($M26:V26)),0)</f>
        <v>0</v>
      </c>
      <c r="X26" s="26">
        <f>IF(X22=$E$21,MIN(X11-X21,$E$26-SUM($M26:W26)),0)</f>
        <v>0</v>
      </c>
      <c r="Y26" s="26">
        <f>IF(Y22=$E$21,MIN(Y11-Y21,$E$26-SUM($M26:X26)),0)</f>
        <v>0</v>
      </c>
      <c r="Z26" s="5"/>
    </row>
    <row r="27" spans="1:26" ht="19.75" customHeight="1" x14ac:dyDescent="0.35">
      <c r="B27" s="35"/>
      <c r="C27" s="30"/>
      <c r="D27" s="36"/>
      <c r="E27" s="82" t="s">
        <v>31</v>
      </c>
      <c r="F27" s="82"/>
      <c r="G27" s="82"/>
      <c r="H27" s="2"/>
      <c r="I27" s="37" t="s">
        <v>27</v>
      </c>
      <c r="J27" s="2"/>
      <c r="K27" s="2"/>
      <c r="L27" s="15"/>
      <c r="M27" s="2"/>
      <c r="N27" s="21">
        <f>M27+N26</f>
        <v>0</v>
      </c>
      <c r="O27" s="21">
        <f t="shared" ref="O27:Y27" si="8">N27+O26</f>
        <v>1600000</v>
      </c>
      <c r="P27" s="21">
        <f t="shared" si="8"/>
        <v>1600000</v>
      </c>
      <c r="Q27" s="21">
        <f t="shared" si="8"/>
        <v>1600000</v>
      </c>
      <c r="R27" s="21">
        <f t="shared" si="8"/>
        <v>1600000</v>
      </c>
      <c r="S27" s="21">
        <f t="shared" si="8"/>
        <v>1600000</v>
      </c>
      <c r="T27" s="21">
        <f t="shared" si="8"/>
        <v>1600000</v>
      </c>
      <c r="U27" s="21">
        <f t="shared" si="8"/>
        <v>1600000</v>
      </c>
      <c r="V27" s="21">
        <f t="shared" si="8"/>
        <v>1600000</v>
      </c>
      <c r="W27" s="21">
        <f t="shared" si="8"/>
        <v>1600000</v>
      </c>
      <c r="X27" s="21">
        <f t="shared" si="8"/>
        <v>1600000</v>
      </c>
      <c r="Y27" s="21">
        <f t="shared" si="8"/>
        <v>1600000</v>
      </c>
      <c r="Z27" s="5"/>
    </row>
    <row r="28" spans="1:26" ht="19.75" customHeight="1" x14ac:dyDescent="0.35">
      <c r="B28" s="35"/>
      <c r="C28" s="30"/>
      <c r="D28" s="36"/>
      <c r="E28" s="38"/>
      <c r="F28" s="38"/>
      <c r="G28" s="39"/>
      <c r="H28" s="2"/>
      <c r="I28" s="37" t="s">
        <v>28</v>
      </c>
      <c r="J28" s="2"/>
      <c r="K28" s="2"/>
      <c r="L28" s="18">
        <f>SUM(N28:Y28)</f>
        <v>82000</v>
      </c>
      <c r="M28" s="2"/>
      <c r="N28" s="21">
        <f t="shared" ref="N28:Y28" si="9">$F$26*N14</f>
        <v>0</v>
      </c>
      <c r="O28" s="21">
        <f t="shared" si="9"/>
        <v>0</v>
      </c>
      <c r="P28" s="21">
        <f t="shared" si="9"/>
        <v>0</v>
      </c>
      <c r="Q28" s="21">
        <f t="shared" si="9"/>
        <v>20000</v>
      </c>
      <c r="R28" s="21">
        <f t="shared" si="9"/>
        <v>20000</v>
      </c>
      <c r="S28" s="21">
        <f t="shared" si="9"/>
        <v>20000</v>
      </c>
      <c r="T28" s="21">
        <f t="shared" si="9"/>
        <v>16000</v>
      </c>
      <c r="U28" s="21">
        <f t="shared" si="9"/>
        <v>6000</v>
      </c>
      <c r="V28" s="21">
        <f t="shared" si="9"/>
        <v>0</v>
      </c>
      <c r="W28" s="21">
        <f t="shared" si="9"/>
        <v>0</v>
      </c>
      <c r="X28" s="21">
        <f t="shared" si="9"/>
        <v>0</v>
      </c>
      <c r="Y28" s="21">
        <f t="shared" si="9"/>
        <v>0</v>
      </c>
      <c r="Z28" s="5"/>
    </row>
    <row r="29" spans="1:26" ht="19.75" customHeight="1" x14ac:dyDescent="0.35">
      <c r="B29" s="35"/>
      <c r="C29" s="30"/>
      <c r="D29" s="36"/>
      <c r="E29" s="38"/>
      <c r="F29" s="38"/>
      <c r="G29" s="2"/>
      <c r="H29" s="2"/>
      <c r="I29" s="37" t="s">
        <v>29</v>
      </c>
      <c r="J29" s="2"/>
      <c r="K29" s="2"/>
      <c r="L29" s="18">
        <f>SUM(N29:Y29)</f>
        <v>1682000</v>
      </c>
      <c r="M29" s="2"/>
      <c r="N29" s="21">
        <f>N26+N28</f>
        <v>0</v>
      </c>
      <c r="O29" s="21">
        <f t="shared" ref="O29:Y29" si="10">O26+O28</f>
        <v>1600000</v>
      </c>
      <c r="P29" s="21">
        <f t="shared" si="10"/>
        <v>0</v>
      </c>
      <c r="Q29" s="21">
        <f t="shared" si="10"/>
        <v>20000</v>
      </c>
      <c r="R29" s="21">
        <f t="shared" si="10"/>
        <v>20000</v>
      </c>
      <c r="S29" s="21">
        <f t="shared" si="10"/>
        <v>20000</v>
      </c>
      <c r="T29" s="21">
        <f t="shared" si="10"/>
        <v>16000</v>
      </c>
      <c r="U29" s="21">
        <f t="shared" si="10"/>
        <v>6000</v>
      </c>
      <c r="V29" s="21">
        <f t="shared" si="10"/>
        <v>0</v>
      </c>
      <c r="W29" s="21">
        <f t="shared" si="10"/>
        <v>0</v>
      </c>
      <c r="X29" s="21">
        <f t="shared" si="10"/>
        <v>0</v>
      </c>
      <c r="Y29" s="21">
        <f t="shared" si="10"/>
        <v>0</v>
      </c>
      <c r="Z29" s="5"/>
    </row>
    <row r="30" spans="1:26" ht="19.75" customHeight="1" x14ac:dyDescent="0.35">
      <c r="B30" s="35"/>
      <c r="C30" s="30"/>
      <c r="D30" s="36"/>
      <c r="E30" s="38"/>
      <c r="F30" s="38"/>
      <c r="G30" s="2"/>
      <c r="H30" s="2"/>
      <c r="I30" s="37"/>
      <c r="J30" s="2"/>
      <c r="K30" s="2"/>
      <c r="L30" s="15"/>
      <c r="M30" s="2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5"/>
    </row>
    <row r="31" spans="1:26" ht="19.75" customHeight="1" x14ac:dyDescent="0.35">
      <c r="B31" s="41" t="s">
        <v>32</v>
      </c>
      <c r="C31" s="30"/>
      <c r="D31" s="33">
        <f>E31/E47</f>
        <v>0.18</v>
      </c>
      <c r="E31" s="32">
        <v>18000000</v>
      </c>
      <c r="F31" s="33">
        <f>E31/($E$21+$E$26+$E$31)</f>
        <v>0.9</v>
      </c>
      <c r="G31" s="41" t="s">
        <v>32</v>
      </c>
      <c r="H31" s="2"/>
      <c r="I31" s="20" t="s">
        <v>25</v>
      </c>
      <c r="J31" s="2"/>
      <c r="K31" s="2"/>
      <c r="L31" s="18">
        <f>SUM(N31:Y31)</f>
        <v>18000000</v>
      </c>
      <c r="M31" s="34"/>
      <c r="N31" s="21">
        <f>IF(N27=$E$26,MIN(N11-N21-N26,$E$31-SUM($M31:M31)),0)</f>
        <v>0</v>
      </c>
      <c r="O31" s="21">
        <f>IF(O27=$E$26,MIN(O11-O21-O26,$E$31-SUM($M31:N31)),0)</f>
        <v>8350000</v>
      </c>
      <c r="P31" s="21">
        <f>IF(P27=$E$26,MIN(P11-P21-P26,$E$31-SUM($M31:O31)),0)</f>
        <v>9650000</v>
      </c>
      <c r="Q31" s="21">
        <f>IF(Q27=$E$26,MIN(Q11-Q21-Q26,$E$31-SUM($M31:P31)),0)</f>
        <v>0</v>
      </c>
      <c r="R31" s="21">
        <f>IF(R27=$E$26,MIN(R11-R21-R26,$E$31-SUM($M31:Q31)),0)</f>
        <v>0</v>
      </c>
      <c r="S31" s="21">
        <f>IF(S27=$E$26,MIN(S11-S21-S26,$E$31-SUM($M31:R31)),0)</f>
        <v>0</v>
      </c>
      <c r="T31" s="21">
        <f>IF(T27=$E$26,MIN(T11-T21-T26,$E$31-SUM($M31:S31)),0)</f>
        <v>0</v>
      </c>
      <c r="U31" s="21">
        <f>IF(U27=$E$26,MIN(U11-U21-U26,$E$31-SUM($M31:T31)),0)</f>
        <v>0</v>
      </c>
      <c r="V31" s="21">
        <f>IF(V27=$E$26,MIN(V11-V21-V26,$E$31-SUM($M31:U31)),0)</f>
        <v>0</v>
      </c>
      <c r="W31" s="21">
        <f>IF(W27=$E$26,MIN(W11-W21-W26,$E$31-SUM($M31:V31)),0)</f>
        <v>0</v>
      </c>
      <c r="X31" s="21">
        <f>IF(X27=$E$26,MIN(X11-X21-X26,$E$31-SUM($M31:W31)),0)</f>
        <v>0</v>
      </c>
      <c r="Y31" s="21">
        <f>IF(Y27=$E$26,MIN(Y11-Y21-Y26,$E$31-SUM($M31:X31)),0)</f>
        <v>0</v>
      </c>
      <c r="Z31" s="5"/>
    </row>
    <row r="32" spans="1:26" ht="19.75" customHeight="1" x14ac:dyDescent="0.35">
      <c r="B32" s="35"/>
      <c r="C32" s="30"/>
      <c r="D32" s="36"/>
      <c r="E32" s="83" t="s">
        <v>33</v>
      </c>
      <c r="F32" s="83"/>
      <c r="G32" s="83"/>
      <c r="H32" s="2"/>
      <c r="I32" s="37" t="s">
        <v>27</v>
      </c>
      <c r="J32" s="2"/>
      <c r="K32" s="2"/>
      <c r="L32" s="15"/>
      <c r="M32" s="34"/>
      <c r="N32" s="21">
        <f t="shared" ref="N32:Y32" si="11">M32+N31</f>
        <v>0</v>
      </c>
      <c r="O32" s="21">
        <f t="shared" si="11"/>
        <v>8350000</v>
      </c>
      <c r="P32" s="21">
        <f t="shared" si="11"/>
        <v>18000000</v>
      </c>
      <c r="Q32" s="21">
        <f t="shared" si="11"/>
        <v>18000000</v>
      </c>
      <c r="R32" s="21">
        <f t="shared" si="11"/>
        <v>18000000</v>
      </c>
      <c r="S32" s="21">
        <f t="shared" si="11"/>
        <v>18000000</v>
      </c>
      <c r="T32" s="21">
        <f t="shared" si="11"/>
        <v>18000000</v>
      </c>
      <c r="U32" s="21">
        <f t="shared" si="11"/>
        <v>18000000</v>
      </c>
      <c r="V32" s="21">
        <f t="shared" si="11"/>
        <v>18000000</v>
      </c>
      <c r="W32" s="21">
        <f t="shared" si="11"/>
        <v>18000000</v>
      </c>
      <c r="X32" s="21">
        <f t="shared" si="11"/>
        <v>18000000</v>
      </c>
      <c r="Y32" s="21">
        <f t="shared" si="11"/>
        <v>18000000</v>
      </c>
      <c r="Z32" s="5"/>
    </row>
    <row r="33" spans="1:30" ht="19.75" customHeight="1" x14ac:dyDescent="0.35">
      <c r="B33" s="35"/>
      <c r="C33" s="30"/>
      <c r="D33" s="36"/>
      <c r="E33" s="38"/>
      <c r="F33" s="38"/>
      <c r="G33" s="39"/>
      <c r="H33" s="2"/>
      <c r="I33" s="37" t="s">
        <v>28</v>
      </c>
      <c r="J33" s="2"/>
      <c r="K33" s="2"/>
      <c r="L33" s="18">
        <f>SUM(N33:Y33)</f>
        <v>922500</v>
      </c>
      <c r="M33" s="34"/>
      <c r="N33" s="21">
        <f t="shared" ref="N33:Y33" si="12">$F$31*N14</f>
        <v>0</v>
      </c>
      <c r="O33" s="21">
        <f t="shared" si="12"/>
        <v>0</v>
      </c>
      <c r="P33" s="21">
        <f t="shared" si="12"/>
        <v>0</v>
      </c>
      <c r="Q33" s="21">
        <f t="shared" si="12"/>
        <v>225000</v>
      </c>
      <c r="R33" s="21">
        <f t="shared" si="12"/>
        <v>225000</v>
      </c>
      <c r="S33" s="21">
        <f t="shared" si="12"/>
        <v>225000</v>
      </c>
      <c r="T33" s="21">
        <f t="shared" si="12"/>
        <v>180000</v>
      </c>
      <c r="U33" s="21">
        <f t="shared" si="12"/>
        <v>67500</v>
      </c>
      <c r="V33" s="21">
        <f t="shared" si="12"/>
        <v>0</v>
      </c>
      <c r="W33" s="21">
        <f t="shared" si="12"/>
        <v>0</v>
      </c>
      <c r="X33" s="21">
        <f t="shared" si="12"/>
        <v>0</v>
      </c>
      <c r="Y33" s="21">
        <f t="shared" si="12"/>
        <v>0</v>
      </c>
      <c r="Z33" s="5"/>
    </row>
    <row r="34" spans="1:30" ht="19.75" customHeight="1" x14ac:dyDescent="0.35">
      <c r="B34" s="35"/>
      <c r="C34" s="30"/>
      <c r="D34" s="36"/>
      <c r="E34" s="38"/>
      <c r="F34" s="38"/>
      <c r="G34" s="2"/>
      <c r="H34" s="2"/>
      <c r="I34" s="37" t="s">
        <v>29</v>
      </c>
      <c r="J34" s="2"/>
      <c r="K34" s="2"/>
      <c r="L34" s="18">
        <f>SUM(N34:Y34)</f>
        <v>18922500</v>
      </c>
      <c r="M34" s="2"/>
      <c r="N34" s="21">
        <f>N31+N33</f>
        <v>0</v>
      </c>
      <c r="O34" s="21">
        <f t="shared" ref="O34:Y34" si="13">O31+O33</f>
        <v>8350000</v>
      </c>
      <c r="P34" s="21">
        <f t="shared" si="13"/>
        <v>9650000</v>
      </c>
      <c r="Q34" s="21">
        <f t="shared" si="13"/>
        <v>225000</v>
      </c>
      <c r="R34" s="21">
        <f t="shared" si="13"/>
        <v>225000</v>
      </c>
      <c r="S34" s="21">
        <f t="shared" si="13"/>
        <v>225000</v>
      </c>
      <c r="T34" s="21">
        <f t="shared" si="13"/>
        <v>180000</v>
      </c>
      <c r="U34" s="21">
        <f t="shared" si="13"/>
        <v>67500</v>
      </c>
      <c r="V34" s="21">
        <f t="shared" si="13"/>
        <v>0</v>
      </c>
      <c r="W34" s="21">
        <f t="shared" si="13"/>
        <v>0</v>
      </c>
      <c r="X34" s="21">
        <f t="shared" si="13"/>
        <v>0</v>
      </c>
      <c r="Y34" s="21">
        <f t="shared" si="13"/>
        <v>0</v>
      </c>
      <c r="Z34" s="5"/>
    </row>
    <row r="35" spans="1:30" ht="19.75" customHeight="1" x14ac:dyDescent="0.35">
      <c r="B35" s="35"/>
      <c r="C35" s="30"/>
      <c r="D35" s="36"/>
      <c r="E35" s="38" t="s">
        <v>14</v>
      </c>
      <c r="F35" s="38"/>
      <c r="G35" s="2"/>
      <c r="H35" s="2"/>
      <c r="I35" s="2"/>
      <c r="J35" s="2"/>
      <c r="K35" s="2"/>
      <c r="L35" s="15"/>
      <c r="M35" s="2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5"/>
    </row>
    <row r="36" spans="1:30" ht="19.75" customHeight="1" x14ac:dyDescent="0.35">
      <c r="B36" s="35"/>
      <c r="C36" s="30"/>
      <c r="D36" s="36"/>
      <c r="E36" s="38"/>
      <c r="F36" s="38"/>
      <c r="G36" s="2"/>
      <c r="H36" s="2"/>
      <c r="I36" s="2" t="s">
        <v>34</v>
      </c>
      <c r="J36" s="2"/>
      <c r="K36" s="2"/>
      <c r="L36" s="18">
        <f>SUM(N36:Y36)</f>
        <v>21025000</v>
      </c>
      <c r="M36" s="2"/>
      <c r="N36" s="21">
        <f>N24+N29+N34</f>
        <v>350000</v>
      </c>
      <c r="O36" s="21">
        <f t="shared" ref="O36:Y36" si="14">O24+O29+O34</f>
        <v>10000000</v>
      </c>
      <c r="P36" s="21">
        <f t="shared" si="14"/>
        <v>9650000</v>
      </c>
      <c r="Q36" s="21">
        <f t="shared" si="14"/>
        <v>250000</v>
      </c>
      <c r="R36" s="21">
        <f t="shared" si="14"/>
        <v>250000</v>
      </c>
      <c r="S36" s="21">
        <f t="shared" si="14"/>
        <v>250000</v>
      </c>
      <c r="T36" s="21">
        <f t="shared" si="14"/>
        <v>200000</v>
      </c>
      <c r="U36" s="21">
        <f t="shared" si="14"/>
        <v>75000</v>
      </c>
      <c r="V36" s="21">
        <f t="shared" si="14"/>
        <v>0</v>
      </c>
      <c r="W36" s="21">
        <f t="shared" si="14"/>
        <v>0</v>
      </c>
      <c r="X36" s="21">
        <f t="shared" si="14"/>
        <v>0</v>
      </c>
      <c r="Y36" s="21">
        <f t="shared" si="14"/>
        <v>0</v>
      </c>
      <c r="Z36" s="5"/>
    </row>
    <row r="37" spans="1:30" ht="19.75" customHeight="1" x14ac:dyDescent="0.35">
      <c r="B37" s="35"/>
      <c r="C37" s="30"/>
      <c r="D37" s="36"/>
      <c r="E37" s="38"/>
      <c r="F37" s="38"/>
      <c r="G37" s="2"/>
      <c r="H37" s="2"/>
      <c r="I37" s="2"/>
      <c r="J37" s="2"/>
      <c r="K37" s="2"/>
      <c r="L37" s="15"/>
      <c r="M37" s="2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5"/>
    </row>
    <row r="38" spans="1:30" ht="19.75" customHeight="1" x14ac:dyDescent="0.35">
      <c r="B38" s="42" t="s">
        <v>35</v>
      </c>
      <c r="C38" s="30"/>
      <c r="D38" s="33">
        <f>E38/E47</f>
        <v>0.15</v>
      </c>
      <c r="E38" s="38">
        <v>15000000</v>
      </c>
      <c r="F38" s="38"/>
      <c r="G38" s="42" t="s">
        <v>35</v>
      </c>
      <c r="H38" s="2"/>
      <c r="I38" s="2" t="s">
        <v>36</v>
      </c>
      <c r="J38" s="2"/>
      <c r="K38" s="43"/>
      <c r="L38" s="15"/>
      <c r="M38" s="2"/>
      <c r="N38" s="21">
        <f>M43</f>
        <v>0</v>
      </c>
      <c r="O38" s="21">
        <f t="shared" ref="O38:Y38" si="15">N43</f>
        <v>0</v>
      </c>
      <c r="P38" s="21">
        <f t="shared" si="15"/>
        <v>0</v>
      </c>
      <c r="Q38" s="21">
        <f t="shared" si="15"/>
        <v>0</v>
      </c>
      <c r="R38" s="21">
        <f t="shared" si="15"/>
        <v>0</v>
      </c>
      <c r="S38" s="21">
        <f t="shared" si="15"/>
        <v>0</v>
      </c>
      <c r="T38" s="21">
        <f t="shared" si="15"/>
        <v>0</v>
      </c>
      <c r="U38" s="21">
        <f t="shared" si="15"/>
        <v>0</v>
      </c>
      <c r="V38" s="21">
        <f t="shared" si="15"/>
        <v>0</v>
      </c>
      <c r="W38" s="21">
        <f t="shared" si="15"/>
        <v>0</v>
      </c>
      <c r="X38" s="21">
        <f t="shared" si="15"/>
        <v>0</v>
      </c>
      <c r="Y38" s="21">
        <f t="shared" si="15"/>
        <v>0</v>
      </c>
      <c r="Z38" s="5"/>
      <c r="AA38" s="16"/>
      <c r="AB38" s="16"/>
      <c r="AC38" s="16"/>
      <c r="AD38" s="16"/>
    </row>
    <row r="39" spans="1:30" ht="19.75" customHeight="1" x14ac:dyDescent="0.35">
      <c r="E39" s="34"/>
      <c r="F39" s="34"/>
      <c r="G39" s="2"/>
      <c r="H39" s="2"/>
      <c r="I39" s="20" t="s">
        <v>25</v>
      </c>
      <c r="J39" s="2"/>
      <c r="L39" s="18">
        <f>SUM(N39:Y39)</f>
        <v>0</v>
      </c>
      <c r="M39" s="34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5"/>
      <c r="AA39" s="16"/>
      <c r="AB39" s="16"/>
      <c r="AC39" s="16"/>
      <c r="AD39" s="16"/>
    </row>
    <row r="40" spans="1:30" s="51" customFormat="1" ht="19.75" customHeight="1" x14ac:dyDescent="0.35">
      <c r="A40" s="3"/>
      <c r="B40" s="35"/>
      <c r="C40" s="44"/>
      <c r="D40" s="45"/>
      <c r="E40" s="46"/>
      <c r="F40" s="46"/>
      <c r="G40" s="47"/>
      <c r="H40" s="47"/>
      <c r="I40" s="37" t="s">
        <v>37</v>
      </c>
      <c r="J40" s="47"/>
      <c r="K40" s="48">
        <v>0.01</v>
      </c>
      <c r="L40" s="18">
        <f>SUM(N40:Y40)</f>
        <v>0</v>
      </c>
      <c r="M40" s="47"/>
      <c r="N40" s="49">
        <f>IF(AND(SUM(M39:$N39)=0,SUM($N39:N39)&gt;0),$E$38*$K$40,0)</f>
        <v>0</v>
      </c>
      <c r="O40" s="49">
        <f>IF(AND(SUM(N39:$N39)=0,SUM($N39:O39)&gt;0),$E$38*$K$40,0)</f>
        <v>0</v>
      </c>
      <c r="P40" s="49">
        <f>IF(AND(SUM($N39:O39)=0,SUM($N39:P39)&gt;0),$E$38*$K$40,0)</f>
        <v>0</v>
      </c>
      <c r="Q40" s="49">
        <f>IF(AND(SUM($N39:P39)=0,SUM($N39:Q39)&gt;0),$E$38*$K$40,0)</f>
        <v>0</v>
      </c>
      <c r="R40" s="49">
        <f>IF(AND(SUM($N39:Q39)=0,SUM($N39:R39)&gt;0),$E$38*$K$40,0)</f>
        <v>0</v>
      </c>
      <c r="S40" s="49">
        <f>IF(AND(SUM($N39:R39)=0,SUM($N39:S39)&gt;0),$E$38*$K$40,0)</f>
        <v>0</v>
      </c>
      <c r="T40" s="49">
        <f>IF(AND(SUM($N39:S39)=0,SUM($N39:T39)&gt;0),$E$38*$K$40,0)</f>
        <v>0</v>
      </c>
      <c r="U40" s="49">
        <f>IF(AND(SUM($N39:T39)=0,SUM($N39:U39)&gt;0),$E$38*$K$40,0)</f>
        <v>0</v>
      </c>
      <c r="V40" s="49">
        <f>IF(AND(SUM($N39:U39)=0,SUM($N39:V39)&gt;0),$E$38*$K$40,0)</f>
        <v>0</v>
      </c>
      <c r="W40" s="49">
        <f>IF(AND(SUM($N39:V39)=0,SUM($N39:W39)&gt;0),$E$38*$K$40,0)</f>
        <v>0</v>
      </c>
      <c r="X40" s="49">
        <f>IF(AND(SUM($N39:W39)=0,SUM($N39:X39)&gt;0),$E$38*$K$40,0)</f>
        <v>0</v>
      </c>
      <c r="Y40" s="49">
        <f>IF(AND(SUM($N39:X39)=0,SUM($N39:Y39)&gt;0),$E$38*$K$40,0)</f>
        <v>0</v>
      </c>
      <c r="Z40" s="5"/>
      <c r="AA40" s="50"/>
      <c r="AB40" s="50"/>
      <c r="AC40" s="50"/>
      <c r="AD40" s="50"/>
    </row>
    <row r="41" spans="1:30" s="51" customFormat="1" ht="19.75" customHeight="1" x14ac:dyDescent="0.35">
      <c r="A41" s="3"/>
      <c r="B41" s="35"/>
      <c r="C41" s="44"/>
      <c r="D41" s="45"/>
      <c r="E41" s="46"/>
      <c r="F41" s="46"/>
      <c r="G41" s="47"/>
      <c r="H41" s="47"/>
      <c r="I41" s="37" t="s">
        <v>38</v>
      </c>
      <c r="J41" s="47"/>
      <c r="K41" s="48">
        <v>0.12</v>
      </c>
      <c r="L41" s="18">
        <f>SUM(N41:Y41)</f>
        <v>0</v>
      </c>
      <c r="M41" s="52"/>
      <c r="N41" s="49">
        <f>(N38*$K$41/12)</f>
        <v>0</v>
      </c>
      <c r="O41" s="49">
        <f t="shared" ref="O41:Y41" si="16">(O38*$K$41/12)</f>
        <v>0</v>
      </c>
      <c r="P41" s="49">
        <f t="shared" si="16"/>
        <v>0</v>
      </c>
      <c r="Q41" s="49">
        <f t="shared" si="16"/>
        <v>0</v>
      </c>
      <c r="R41" s="49">
        <f t="shared" si="16"/>
        <v>0</v>
      </c>
      <c r="S41" s="49">
        <f t="shared" si="16"/>
        <v>0</v>
      </c>
      <c r="T41" s="49">
        <f t="shared" si="16"/>
        <v>0</v>
      </c>
      <c r="U41" s="49">
        <f t="shared" si="16"/>
        <v>0</v>
      </c>
      <c r="V41" s="49">
        <f t="shared" si="16"/>
        <v>0</v>
      </c>
      <c r="W41" s="49">
        <f t="shared" si="16"/>
        <v>0</v>
      </c>
      <c r="X41" s="49">
        <f t="shared" si="16"/>
        <v>0</v>
      </c>
      <c r="Y41" s="49">
        <f t="shared" si="16"/>
        <v>0</v>
      </c>
      <c r="Z41" s="5"/>
      <c r="AA41" s="50"/>
      <c r="AB41" s="50"/>
      <c r="AC41" s="50"/>
      <c r="AD41" s="50"/>
    </row>
    <row r="42" spans="1:30" s="51" customFormat="1" ht="19.75" customHeight="1" x14ac:dyDescent="0.35">
      <c r="A42" s="3"/>
      <c r="B42" s="35"/>
      <c r="C42" s="44"/>
      <c r="D42" s="45"/>
      <c r="E42" s="46"/>
      <c r="F42" s="46"/>
      <c r="G42" s="47"/>
      <c r="H42" s="47"/>
      <c r="I42" s="37" t="s">
        <v>39</v>
      </c>
      <c r="J42" s="47"/>
      <c r="K42" s="52"/>
      <c r="L42" s="18">
        <f>SUM(N42:Y42)</f>
        <v>0</v>
      </c>
      <c r="M42" s="52"/>
      <c r="N42" s="26">
        <f t="shared" ref="N42:Y42" si="17">IF(N17&gt;0,-MIN(N17+N51,SUM(N38:N39)),0)</f>
        <v>0</v>
      </c>
      <c r="O42" s="26">
        <f t="shared" si="17"/>
        <v>0</v>
      </c>
      <c r="P42" s="26">
        <f t="shared" si="17"/>
        <v>0</v>
      </c>
      <c r="Q42" s="26">
        <f t="shared" si="17"/>
        <v>0</v>
      </c>
      <c r="R42" s="26">
        <f t="shared" si="17"/>
        <v>0</v>
      </c>
      <c r="S42" s="26">
        <f t="shared" si="17"/>
        <v>0</v>
      </c>
      <c r="T42" s="26">
        <f t="shared" si="17"/>
        <v>0</v>
      </c>
      <c r="U42" s="26">
        <f t="shared" si="17"/>
        <v>0</v>
      </c>
      <c r="V42" s="26">
        <f t="shared" si="17"/>
        <v>0</v>
      </c>
      <c r="W42" s="26">
        <f t="shared" si="17"/>
        <v>0</v>
      </c>
      <c r="X42" s="26">
        <f t="shared" si="17"/>
        <v>0</v>
      </c>
      <c r="Y42" s="26">
        <f t="shared" si="17"/>
        <v>0</v>
      </c>
      <c r="Z42" s="5"/>
      <c r="AA42" s="16"/>
      <c r="AB42" s="16"/>
      <c r="AC42" s="16"/>
      <c r="AD42" s="16"/>
    </row>
    <row r="43" spans="1:30" s="51" customFormat="1" ht="19.75" customHeight="1" x14ac:dyDescent="0.35">
      <c r="A43" s="3"/>
      <c r="B43" s="35"/>
      <c r="C43" s="44"/>
      <c r="D43" s="45"/>
      <c r="E43" s="46"/>
      <c r="F43" s="46"/>
      <c r="G43" s="47"/>
      <c r="H43" s="47"/>
      <c r="I43" s="20" t="s">
        <v>40</v>
      </c>
      <c r="J43" s="47"/>
      <c r="K43" s="52"/>
      <c r="L43" s="53">
        <f>Y43</f>
        <v>0</v>
      </c>
      <c r="M43" s="52"/>
      <c r="N43" s="21">
        <f>SUM(N38:N39,N42)</f>
        <v>0</v>
      </c>
      <c r="O43" s="21">
        <f t="shared" ref="O43:Y43" si="18">SUM(O38:O39,O42)</f>
        <v>0</v>
      </c>
      <c r="P43" s="21">
        <f t="shared" si="18"/>
        <v>0</v>
      </c>
      <c r="Q43" s="21">
        <f t="shared" si="18"/>
        <v>0</v>
      </c>
      <c r="R43" s="21">
        <f t="shared" si="18"/>
        <v>0</v>
      </c>
      <c r="S43" s="21">
        <f t="shared" si="18"/>
        <v>0</v>
      </c>
      <c r="T43" s="21">
        <f t="shared" si="18"/>
        <v>0</v>
      </c>
      <c r="U43" s="21">
        <f t="shared" si="18"/>
        <v>0</v>
      </c>
      <c r="V43" s="21">
        <f t="shared" si="18"/>
        <v>0</v>
      </c>
      <c r="W43" s="21">
        <f t="shared" si="18"/>
        <v>0</v>
      </c>
      <c r="X43" s="21">
        <f t="shared" si="18"/>
        <v>0</v>
      </c>
      <c r="Y43" s="21">
        <f t="shared" si="18"/>
        <v>0</v>
      </c>
      <c r="Z43" s="5"/>
      <c r="AA43" s="54"/>
      <c r="AB43" s="54"/>
      <c r="AC43" s="54"/>
      <c r="AD43" s="54"/>
    </row>
    <row r="44" spans="1:30" s="51" customFormat="1" ht="19.75" customHeight="1" x14ac:dyDescent="0.35">
      <c r="A44" s="3"/>
      <c r="B44" s="55"/>
      <c r="C44" s="44"/>
      <c r="D44" s="45"/>
      <c r="E44" s="2" t="s">
        <v>14</v>
      </c>
      <c r="F44" s="2"/>
      <c r="G44" s="47"/>
      <c r="H44" s="47"/>
      <c r="I44" s="47"/>
      <c r="J44" s="47"/>
      <c r="K44" s="47"/>
      <c r="L44" s="56"/>
      <c r="M44" s="47"/>
      <c r="N44" s="5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5"/>
    </row>
    <row r="45" spans="1:30" s="51" customFormat="1" ht="19.75" customHeight="1" x14ac:dyDescent="0.35">
      <c r="A45" s="3"/>
      <c r="B45" s="58" t="s">
        <v>41</v>
      </c>
      <c r="C45" s="30"/>
      <c r="D45" s="59">
        <f>E45/E47</f>
        <v>0.65</v>
      </c>
      <c r="E45" s="38">
        <v>65000000</v>
      </c>
      <c r="F45" s="38"/>
      <c r="G45" s="58" t="s">
        <v>41</v>
      </c>
      <c r="H45" s="47"/>
      <c r="I45" s="2" t="s">
        <v>36</v>
      </c>
      <c r="J45" s="47"/>
      <c r="K45" s="47"/>
      <c r="L45" s="56"/>
      <c r="M45" s="34"/>
      <c r="N45" s="21">
        <f>M52</f>
        <v>0</v>
      </c>
      <c r="O45" s="21">
        <f t="shared" ref="O45:Y45" si="19">N52</f>
        <v>0</v>
      </c>
      <c r="P45" s="21">
        <f t="shared" si="19"/>
        <v>0</v>
      </c>
      <c r="Q45" s="21">
        <f t="shared" si="19"/>
        <v>15992800</v>
      </c>
      <c r="R45" s="21">
        <f t="shared" si="19"/>
        <v>35198109.333333336</v>
      </c>
      <c r="S45" s="21">
        <f t="shared" si="19"/>
        <v>52854636.36444445</v>
      </c>
      <c r="T45" s="21">
        <f t="shared" si="19"/>
        <v>65000000</v>
      </c>
      <c r="U45" s="21">
        <f t="shared" si="19"/>
        <v>65000000</v>
      </c>
      <c r="V45" s="21">
        <f t="shared" si="19"/>
        <v>65000000</v>
      </c>
      <c r="W45" s="21">
        <f t="shared" si="19"/>
        <v>64725000</v>
      </c>
      <c r="X45" s="21">
        <f t="shared" si="19"/>
        <v>64450000</v>
      </c>
      <c r="Y45" s="21">
        <f t="shared" si="19"/>
        <v>64175000</v>
      </c>
      <c r="Z45" s="5"/>
      <c r="AA45" s="16"/>
      <c r="AB45" s="16"/>
      <c r="AC45" s="16"/>
      <c r="AD45" s="16"/>
    </row>
    <row r="46" spans="1:30" ht="19.75" customHeight="1" x14ac:dyDescent="0.35">
      <c r="G46" s="30"/>
      <c r="H46" s="30"/>
      <c r="I46" s="60" t="s">
        <v>25</v>
      </c>
      <c r="J46" s="30"/>
      <c r="K46" s="30"/>
      <c r="L46" s="18">
        <f t="shared" ref="L46:L51" si="20">SUM(N46:Y46)</f>
        <v>63798971.860670187</v>
      </c>
      <c r="M46" s="34"/>
      <c r="N46" s="26">
        <f>MAX(MIN(N11-N21-N26-N31-N39,($E$45+SUM($M51:M51)-N45)/(1+$K$48)),0)</f>
        <v>0</v>
      </c>
      <c r="O46" s="26">
        <f>MAX(MIN(O11-O21-O26-O31-O39,($E$45+SUM($M51:N51)-O45)/(1+$K$48)),0)</f>
        <v>0</v>
      </c>
      <c r="P46" s="26">
        <f>MAX(MIN(P11-P21-P26-P31-P39,($E$45+SUM($M51:O51)-P45)/(1+$K$48)),0)</f>
        <v>15350000</v>
      </c>
      <c r="Q46" s="26">
        <f>MAX(MIN(Q11-Q21-Q26-Q31-Q39,($E$45+SUM($M51:P51)-Q45)/(1+$K$48)),0)</f>
        <v>19000000</v>
      </c>
      <c r="R46" s="26">
        <f>MAX(MIN(R11-R21-R26-R31-R39,($E$45+SUM($M51:Q51)-R45)/(1+$K$48)),0)</f>
        <v>17400000</v>
      </c>
      <c r="S46" s="26">
        <f>MAX(MIN(S11-S21-S26-S31-S39,($E$45+SUM($M51:R51)-S45)/(1+$K$48)),0)</f>
        <v>12048971.860670188</v>
      </c>
      <c r="T46" s="26">
        <f>MAX(MIN(T11-T21-T26-T31-T39,($E$45+SUM($M51:S51)-T45)/(1+$K$48)),0)</f>
        <v>0</v>
      </c>
      <c r="U46" s="26">
        <f>MAX(MIN(U11-U21-U26-U31-U39,($E$45+SUM($M51:T51)-U45)/(1+$K$48)),0)</f>
        <v>0</v>
      </c>
      <c r="V46" s="26">
        <f>MAX(MIN(V11-V21-V26-V31-V39,($E$45+SUM($M51:U51)-V45)/(1+$K$48)),0)</f>
        <v>0</v>
      </c>
      <c r="W46" s="26">
        <f>MAX(MIN(W11-W21-W26-W31-W39,($E$45+SUM($M51:V51)-W45)/(1+$K$48)),0)</f>
        <v>0</v>
      </c>
      <c r="X46" s="26">
        <f>MAX(MIN(X11-X21-X26-X31-X39,($E$45+SUM($M51:W51)-X45)/(1+$K$48)),0)</f>
        <v>0</v>
      </c>
      <c r="Y46" s="26">
        <f>MAX(MIN(Y11-Y21-Y26-Y31-Y39,($E$45+SUM($M51:X51)-Y45)/(1+$K$48)),0)</f>
        <v>0</v>
      </c>
      <c r="Z46" s="5"/>
      <c r="AA46" s="16"/>
      <c r="AB46" s="16"/>
      <c r="AC46" s="16"/>
      <c r="AD46" s="16"/>
    </row>
    <row r="47" spans="1:30" ht="19.75" customHeight="1" x14ac:dyDescent="0.35">
      <c r="D47" s="61">
        <f>D21+D26+D31+D38+D45</f>
        <v>1</v>
      </c>
      <c r="E47" s="62">
        <f>E21+E26+E31+E38+E45</f>
        <v>100000000</v>
      </c>
      <c r="H47" s="30"/>
      <c r="I47" s="37" t="s">
        <v>37</v>
      </c>
      <c r="J47" s="30"/>
      <c r="K47" s="63">
        <v>3</v>
      </c>
      <c r="L47" s="18">
        <f t="shared" si="20"/>
        <v>520000</v>
      </c>
      <c r="M47" s="34"/>
      <c r="N47" s="21">
        <f t="shared" ref="N47:Y47" si="21">IF(N7=$K$47,$E$45*$K$48,0)</f>
        <v>0</v>
      </c>
      <c r="O47" s="21">
        <f t="shared" si="21"/>
        <v>0</v>
      </c>
      <c r="P47" s="21">
        <f t="shared" si="21"/>
        <v>520000</v>
      </c>
      <c r="Q47" s="21">
        <f t="shared" si="21"/>
        <v>0</v>
      </c>
      <c r="R47" s="21">
        <f t="shared" si="21"/>
        <v>0</v>
      </c>
      <c r="S47" s="21">
        <f t="shared" si="21"/>
        <v>0</v>
      </c>
      <c r="T47" s="21">
        <f t="shared" si="21"/>
        <v>0</v>
      </c>
      <c r="U47" s="21">
        <f t="shared" si="21"/>
        <v>0</v>
      </c>
      <c r="V47" s="21">
        <f t="shared" si="21"/>
        <v>0</v>
      </c>
      <c r="W47" s="21">
        <f t="shared" si="21"/>
        <v>0</v>
      </c>
      <c r="X47" s="21">
        <f t="shared" si="21"/>
        <v>0</v>
      </c>
      <c r="Y47" s="21">
        <f t="shared" si="21"/>
        <v>0</v>
      </c>
      <c r="Z47" s="5"/>
      <c r="AA47" s="16"/>
      <c r="AB47" s="16"/>
      <c r="AC47" s="16"/>
      <c r="AD47" s="16"/>
    </row>
    <row r="48" spans="1:30" ht="19.75" customHeight="1" x14ac:dyDescent="0.35">
      <c r="G48" s="30"/>
      <c r="H48" s="30"/>
      <c r="I48" s="37" t="s">
        <v>42</v>
      </c>
      <c r="J48" s="30"/>
      <c r="K48" s="48">
        <v>8.0000000000000002E-3</v>
      </c>
      <c r="L48" s="18">
        <f t="shared" si="20"/>
        <v>510391.77488536149</v>
      </c>
      <c r="M48" s="34"/>
      <c r="N48" s="49">
        <f>$K$48*N46</f>
        <v>0</v>
      </c>
      <c r="O48" s="49">
        <f t="shared" ref="O48:Y48" si="22">$K$48*O46</f>
        <v>0</v>
      </c>
      <c r="P48" s="49">
        <f t="shared" si="22"/>
        <v>122800</v>
      </c>
      <c r="Q48" s="49">
        <f t="shared" si="22"/>
        <v>152000</v>
      </c>
      <c r="R48" s="49">
        <f t="shared" si="22"/>
        <v>139200</v>
      </c>
      <c r="S48" s="49">
        <f t="shared" si="22"/>
        <v>96391.774885361505</v>
      </c>
      <c r="T48" s="49">
        <f t="shared" si="22"/>
        <v>0</v>
      </c>
      <c r="U48" s="49">
        <f t="shared" si="22"/>
        <v>0</v>
      </c>
      <c r="V48" s="49">
        <f t="shared" si="22"/>
        <v>0</v>
      </c>
      <c r="W48" s="49">
        <f t="shared" si="22"/>
        <v>0</v>
      </c>
      <c r="X48" s="49">
        <f t="shared" si="22"/>
        <v>0</v>
      </c>
      <c r="Y48" s="49">
        <f t="shared" si="22"/>
        <v>0</v>
      </c>
      <c r="Z48" s="5"/>
      <c r="AA48" s="16"/>
      <c r="AB48" s="16"/>
      <c r="AC48" s="16"/>
      <c r="AD48" s="16"/>
    </row>
    <row r="49" spans="2:30" ht="19.75" customHeight="1" x14ac:dyDescent="0.35">
      <c r="E49" s="16"/>
      <c r="F49" s="2"/>
      <c r="I49" s="20" t="s">
        <v>43</v>
      </c>
      <c r="K49" s="48">
        <v>0.04</v>
      </c>
      <c r="L49" s="18">
        <f t="shared" si="20"/>
        <v>170636.36444444445</v>
      </c>
      <c r="M49" s="34"/>
      <c r="N49" s="49">
        <f>MAX(0,MIN(($E$45+SUM($M51:M51))-SUM(N45:N48),IF(SUM($M46:M49)&lt;($E$45+SUM($M51:M51)),1,0)*(N45*$K$49/12)))</f>
        <v>0</v>
      </c>
      <c r="O49" s="49">
        <f>MAX(0,MIN(($E$45+SUM($M51:N51))-SUM(O45:O48),IF(SUM($M46:N49)&lt;($E$45+SUM($M51:N51)),1,0)*(O45*$K$49/12)))</f>
        <v>0</v>
      </c>
      <c r="P49" s="49">
        <f>MAX(0,MIN(($E$45+SUM($M51:O51))-SUM(P45:P48),IF(SUM($M46:O49)&lt;($E$45+SUM($M51:O51)),1,0)*(P45*$K$49/12)))</f>
        <v>0</v>
      </c>
      <c r="Q49" s="49">
        <f>MAX(0,MIN(($E$45+SUM($M51:P51))-SUM(Q45:Q48),IF(SUM($M46:P49)&lt;($E$45+SUM($M51:P51)),1,0)*(Q45*$K$49/12)))</f>
        <v>53309.333333333336</v>
      </c>
      <c r="R49" s="49">
        <f>MAX(0,MIN(($E$45+SUM($M51:Q51))-SUM(R45:R48),IF(SUM($M46:Q49)&lt;($E$45+SUM($M51:Q51)),1,0)*(R45*$K$49/12)))</f>
        <v>117327.03111111112</v>
      </c>
      <c r="S49" s="49">
        <f>MAX(0,MIN(($E$45+SUM($M51:R51))-SUM(S45:S48),IF(SUM($M46:R49)&lt;($E$45+SUM($M51:R51)),1,0)*(S45*$K$49/12)))</f>
        <v>0</v>
      </c>
      <c r="T49" s="49">
        <f>MAX(0,MIN(($E$45+SUM($M51:S51))-SUM(T45:T48),IF(SUM($M46:S49)&lt;($E$45+SUM($M51:S51)),1,0)*(T45*$K$49/12)))</f>
        <v>0</v>
      </c>
      <c r="U49" s="49">
        <f>MAX(0,MIN(($E$45+SUM($M51:T51))-SUM(U45:U48),IF(SUM($M46:T49)&lt;($E$45+SUM($M51:T51)),1,0)*(U45*$K$49/12)))</f>
        <v>0</v>
      </c>
      <c r="V49" s="49">
        <f>MAX(0,MIN(($E$45+SUM($M51:U51))-SUM(V45:V48),IF(SUM($M46:U49)&lt;($E$45+SUM($M51:U51)),1,0)*(V45*$K$49/12)))</f>
        <v>0</v>
      </c>
      <c r="W49" s="49">
        <f>MAX(0,MIN(($E$45+SUM($M51:V51))-SUM(W45:W48),IF(SUM($M46:V49)&lt;($E$45+SUM($M51:V51)),1,0)*(W45*$K$49/12)))</f>
        <v>0</v>
      </c>
      <c r="X49" s="49">
        <f>MAX(0,MIN(($E$45+SUM($M51:W51))-SUM(X45:X48),IF(SUM($M46:W49)&lt;($E$45+SUM($M51:W51)),1,0)*(X45*$K$49/12)))</f>
        <v>0</v>
      </c>
      <c r="Y49" s="49">
        <f>MAX(0,MIN(($E$45+SUM($M51:X51))-SUM(Y45:Y48),IF(SUM($M46:X49)&lt;($E$45+SUM($M51:X51)),1,0)*(Y45*$K$49/12)))</f>
        <v>0</v>
      </c>
      <c r="Z49" s="5"/>
      <c r="AA49" s="16"/>
      <c r="AB49" s="16"/>
      <c r="AC49" s="16"/>
      <c r="AD49" s="16"/>
    </row>
    <row r="50" spans="2:30" ht="19.75" customHeight="1" x14ac:dyDescent="0.35">
      <c r="E50" s="16"/>
      <c r="F50" s="2"/>
      <c r="I50" s="20" t="s">
        <v>38</v>
      </c>
      <c r="K50" s="52"/>
      <c r="L50" s="18">
        <f t="shared" si="20"/>
        <v>1470682.1212148147</v>
      </c>
      <c r="M50" s="34"/>
      <c r="N50" s="49">
        <f>(N45*$K$49/12)-N49</f>
        <v>0</v>
      </c>
      <c r="O50" s="49">
        <f t="shared" ref="O50:Y50" si="23">(O45*$K$49/12)-O49</f>
        <v>0</v>
      </c>
      <c r="P50" s="49">
        <f t="shared" si="23"/>
        <v>0</v>
      </c>
      <c r="Q50" s="49">
        <f t="shared" si="23"/>
        <v>0</v>
      </c>
      <c r="R50" s="49">
        <f t="shared" si="23"/>
        <v>0</v>
      </c>
      <c r="S50" s="49">
        <f t="shared" si="23"/>
        <v>176182.12121481483</v>
      </c>
      <c r="T50" s="49">
        <f t="shared" si="23"/>
        <v>216666.66666666666</v>
      </c>
      <c r="U50" s="49">
        <f t="shared" si="23"/>
        <v>216666.66666666666</v>
      </c>
      <c r="V50" s="49">
        <f t="shared" si="23"/>
        <v>216666.66666666666</v>
      </c>
      <c r="W50" s="49">
        <f t="shared" si="23"/>
        <v>215750</v>
      </c>
      <c r="X50" s="49">
        <f t="shared" si="23"/>
        <v>214833.33333333334</v>
      </c>
      <c r="Y50" s="49">
        <f t="shared" si="23"/>
        <v>213916.66666666666</v>
      </c>
      <c r="Z50" s="5"/>
      <c r="AA50" s="16"/>
      <c r="AB50" s="16"/>
      <c r="AC50" s="16"/>
      <c r="AD50" s="16"/>
    </row>
    <row r="51" spans="2:30" ht="19.75" customHeight="1" x14ac:dyDescent="0.35">
      <c r="B51" s="64"/>
      <c r="C51" s="65"/>
      <c r="D51" s="66"/>
      <c r="E51" s="67"/>
      <c r="G51" s="68"/>
      <c r="H51" s="68"/>
      <c r="I51" s="60" t="s">
        <v>44</v>
      </c>
      <c r="J51" s="30"/>
      <c r="K51" s="30"/>
      <c r="L51" s="18">
        <f t="shared" si="20"/>
        <v>-65000000</v>
      </c>
      <c r="M51" s="30"/>
      <c r="N51" s="21">
        <f t="shared" ref="N51:Y51" si="24">IF(N17&gt;0,-MIN(N17,SUM(N45:N49)),0)</f>
        <v>0</v>
      </c>
      <c r="O51" s="21">
        <f t="shared" si="24"/>
        <v>0</v>
      </c>
      <c r="P51" s="21">
        <f t="shared" si="24"/>
        <v>0</v>
      </c>
      <c r="Q51" s="21">
        <f t="shared" si="24"/>
        <v>0</v>
      </c>
      <c r="R51" s="21">
        <f t="shared" si="24"/>
        <v>0</v>
      </c>
      <c r="S51" s="21">
        <f t="shared" si="24"/>
        <v>0</v>
      </c>
      <c r="T51" s="21">
        <f t="shared" si="24"/>
        <v>0</v>
      </c>
      <c r="U51" s="21">
        <f t="shared" si="24"/>
        <v>0</v>
      </c>
      <c r="V51" s="21">
        <f t="shared" si="24"/>
        <v>-275000</v>
      </c>
      <c r="W51" s="21">
        <f t="shared" si="24"/>
        <v>-275000</v>
      </c>
      <c r="X51" s="21">
        <f t="shared" si="24"/>
        <v>-275000</v>
      </c>
      <c r="Y51" s="21">
        <f t="shared" si="24"/>
        <v>-64175000</v>
      </c>
      <c r="Z51" s="5"/>
    </row>
    <row r="52" spans="2:30" ht="19.75" customHeight="1" x14ac:dyDescent="0.35">
      <c r="B52" s="69"/>
      <c r="C52" s="70"/>
      <c r="D52" s="70"/>
      <c r="G52" s="68"/>
      <c r="H52" s="68"/>
      <c r="I52" s="20" t="s">
        <v>40</v>
      </c>
      <c r="L52" s="53">
        <f>Y52</f>
        <v>0</v>
      </c>
      <c r="N52" s="21">
        <f>SUM(N45:N49,N51)</f>
        <v>0</v>
      </c>
      <c r="O52" s="21">
        <f t="shared" ref="O52:Y52" si="25">SUM(O45:O49,O51)</f>
        <v>0</v>
      </c>
      <c r="P52" s="21">
        <f t="shared" si="25"/>
        <v>15992800</v>
      </c>
      <c r="Q52" s="21">
        <f t="shared" si="25"/>
        <v>35198109.333333336</v>
      </c>
      <c r="R52" s="21">
        <f t="shared" si="25"/>
        <v>52854636.36444445</v>
      </c>
      <c r="S52" s="21">
        <f t="shared" si="25"/>
        <v>65000000</v>
      </c>
      <c r="T52" s="21">
        <f t="shared" si="25"/>
        <v>65000000</v>
      </c>
      <c r="U52" s="21">
        <f t="shared" si="25"/>
        <v>65000000</v>
      </c>
      <c r="V52" s="21">
        <f t="shared" si="25"/>
        <v>64725000</v>
      </c>
      <c r="W52" s="21">
        <f t="shared" si="25"/>
        <v>64450000</v>
      </c>
      <c r="X52" s="21">
        <f t="shared" si="25"/>
        <v>64175000</v>
      </c>
      <c r="Y52" s="21">
        <f t="shared" si="25"/>
        <v>0</v>
      </c>
      <c r="Z52" s="5"/>
    </row>
    <row r="53" spans="2:30" s="2" customFormat="1" x14ac:dyDescent="0.35">
      <c r="L53" s="15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71"/>
    </row>
    <row r="54" spans="2:30" x14ac:dyDescent="0.35">
      <c r="B54" s="72"/>
      <c r="C54" s="73"/>
      <c r="E54" s="74"/>
      <c r="F54" s="75"/>
      <c r="G54" s="68"/>
      <c r="H54" s="68"/>
      <c r="I54" s="76" t="s">
        <v>45</v>
      </c>
      <c r="J54" s="68"/>
      <c r="K54" s="68"/>
      <c r="L54" s="18">
        <f>SUM(N54:Y54)</f>
        <v>86024999.999999985</v>
      </c>
      <c r="M54" s="68"/>
      <c r="N54" s="21">
        <f>N21+N23+N26+N28+N31+N33+N39+N46+N47+N48+N49</f>
        <v>350000</v>
      </c>
      <c r="O54" s="21">
        <f t="shared" ref="O54:Y54" si="26">O21+O23+O26+O28+O31+O33+O39+O46+O47+O48+O49</f>
        <v>10000000</v>
      </c>
      <c r="P54" s="21">
        <f t="shared" si="26"/>
        <v>25642800</v>
      </c>
      <c r="Q54" s="21">
        <f t="shared" si="26"/>
        <v>19455309.333333332</v>
      </c>
      <c r="R54" s="21">
        <f t="shared" si="26"/>
        <v>17906527.03111111</v>
      </c>
      <c r="S54" s="21">
        <f t="shared" si="26"/>
        <v>12395363.63555555</v>
      </c>
      <c r="T54" s="21">
        <f t="shared" si="26"/>
        <v>200000</v>
      </c>
      <c r="U54" s="21">
        <f t="shared" si="26"/>
        <v>75000</v>
      </c>
      <c r="V54" s="21">
        <f t="shared" si="26"/>
        <v>0</v>
      </c>
      <c r="W54" s="21">
        <f t="shared" si="26"/>
        <v>0</v>
      </c>
      <c r="X54" s="21">
        <f t="shared" si="26"/>
        <v>0</v>
      </c>
      <c r="Y54" s="21">
        <f t="shared" si="26"/>
        <v>0</v>
      </c>
    </row>
    <row r="55" spans="2:30" x14ac:dyDescent="0.35">
      <c r="B55" s="77"/>
      <c r="C55" s="73"/>
      <c r="G55" s="68"/>
      <c r="H55" s="68"/>
      <c r="I55" s="76" t="s">
        <v>46</v>
      </c>
      <c r="J55" s="68"/>
      <c r="K55" s="68"/>
      <c r="L55" s="18">
        <f>SUM(N55:Y55)</f>
        <v>15671710.260544624</v>
      </c>
      <c r="M55" s="68"/>
      <c r="N55" s="21">
        <f>N15-N54</f>
        <v>0</v>
      </c>
      <c r="O55" s="21">
        <f t="shared" ref="O55:Y55" si="27">O15-O54</f>
        <v>0</v>
      </c>
      <c r="P55" s="21">
        <f t="shared" si="27"/>
        <v>0</v>
      </c>
      <c r="Q55" s="21">
        <f t="shared" si="27"/>
        <v>0</v>
      </c>
      <c r="R55" s="21">
        <f t="shared" si="27"/>
        <v>0</v>
      </c>
      <c r="S55" s="21">
        <f t="shared" si="27"/>
        <v>6127210.2605446242</v>
      </c>
      <c r="T55" s="21">
        <f t="shared" si="27"/>
        <v>5216666.666666667</v>
      </c>
      <c r="U55" s="21">
        <f t="shared" si="27"/>
        <v>2216666.6666666665</v>
      </c>
      <c r="V55" s="21">
        <f t="shared" si="27"/>
        <v>1216666.6666666667</v>
      </c>
      <c r="W55" s="21">
        <f t="shared" si="27"/>
        <v>465750</v>
      </c>
      <c r="X55" s="21">
        <f t="shared" si="27"/>
        <v>214833.33333333334</v>
      </c>
      <c r="Y55" s="21">
        <f t="shared" si="27"/>
        <v>213916.66666666666</v>
      </c>
    </row>
    <row r="56" spans="2:30" x14ac:dyDescent="0.35">
      <c r="B56" s="77"/>
      <c r="C56" s="73"/>
      <c r="G56" s="68"/>
      <c r="H56" s="68"/>
      <c r="I56" s="78" t="s">
        <v>47</v>
      </c>
      <c r="J56" s="68"/>
      <c r="K56" s="68"/>
      <c r="L56" s="18">
        <f>SUM(N56:Y56)</f>
        <v>101696710.26054463</v>
      </c>
      <c r="M56" s="68"/>
      <c r="N56" s="79">
        <f>SUM(N54:N55)</f>
        <v>350000</v>
      </c>
      <c r="O56" s="79">
        <f t="shared" ref="O56:Y56" si="28">SUM(O54:O55)</f>
        <v>10000000</v>
      </c>
      <c r="P56" s="79">
        <f t="shared" si="28"/>
        <v>25642800</v>
      </c>
      <c r="Q56" s="79">
        <f t="shared" si="28"/>
        <v>19455309.333333332</v>
      </c>
      <c r="R56" s="79">
        <f t="shared" si="28"/>
        <v>17906527.03111111</v>
      </c>
      <c r="S56" s="79">
        <f t="shared" si="28"/>
        <v>18522573.896100175</v>
      </c>
      <c r="T56" s="79">
        <f t="shared" si="28"/>
        <v>5416666.666666667</v>
      </c>
      <c r="U56" s="79">
        <f t="shared" si="28"/>
        <v>2291666.6666666665</v>
      </c>
      <c r="V56" s="79">
        <f t="shared" si="28"/>
        <v>1216666.6666666667</v>
      </c>
      <c r="W56" s="79">
        <f t="shared" si="28"/>
        <v>465750</v>
      </c>
      <c r="X56" s="79">
        <f t="shared" si="28"/>
        <v>214833.33333333334</v>
      </c>
      <c r="Y56" s="79">
        <f t="shared" si="28"/>
        <v>213916.66666666666</v>
      </c>
    </row>
    <row r="57" spans="2:30" x14ac:dyDescent="0.35">
      <c r="I57" s="76" t="s">
        <v>48</v>
      </c>
      <c r="L57" s="18">
        <f>SUM(N57:Y57)</f>
        <v>0</v>
      </c>
      <c r="N57" s="80">
        <f>N15-N56</f>
        <v>0</v>
      </c>
      <c r="O57" s="80">
        <f t="shared" ref="O57:Y57" si="29">O15-O56</f>
        <v>0</v>
      </c>
      <c r="P57" s="80">
        <f t="shared" si="29"/>
        <v>0</v>
      </c>
      <c r="Q57" s="80">
        <f t="shared" si="29"/>
        <v>0</v>
      </c>
      <c r="R57" s="80">
        <f t="shared" si="29"/>
        <v>0</v>
      </c>
      <c r="S57" s="80">
        <f t="shared" si="29"/>
        <v>0</v>
      </c>
      <c r="T57" s="80">
        <f t="shared" si="29"/>
        <v>0</v>
      </c>
      <c r="U57" s="80">
        <f t="shared" si="29"/>
        <v>0</v>
      </c>
      <c r="V57" s="80">
        <f t="shared" si="29"/>
        <v>0</v>
      </c>
      <c r="W57" s="80">
        <f t="shared" si="29"/>
        <v>0</v>
      </c>
      <c r="X57" s="80">
        <f t="shared" si="29"/>
        <v>0</v>
      </c>
      <c r="Y57" s="80">
        <f t="shared" si="29"/>
        <v>0</v>
      </c>
      <c r="Z57" s="80"/>
    </row>
  </sheetData>
  <mergeCells count="4">
    <mergeCell ref="E22:G22"/>
    <mergeCell ref="E27:G27"/>
    <mergeCell ref="E32:G32"/>
    <mergeCell ref="B8:G8"/>
  </mergeCells>
  <pageMargins left="0.25" right="0.17" top="0.28000000000000003" bottom="0.3" header="0.25" footer="0.17"/>
  <pageSetup paperSize="5" scale="18" orientation="landscape" cellComments="asDisplayed" r:id="rId1"/>
  <headerFooter alignWithMargins="0">
    <oddHeader>&amp;C&amp;"Garamond,Regular"&amp;24PROJECT NAME</oddHeader>
    <oddFooter>&amp;L&amp;"Garamond,Regular"&amp;12Copyright 2009 Real Estate Financial Modeling, LLC. All rights reserved.&amp;R&amp;"Garamond,Regular"&amp;12Tab: &amp;A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Bruce Kirsch</dc:creator>
  <cp:keywords/>
  <dc:description/>
  <cp:lastModifiedBy>Bruce Kirsch</cp:lastModifiedBy>
  <cp:revision/>
  <dcterms:created xsi:type="dcterms:W3CDTF">2018-02-09T16:07:58Z</dcterms:created>
  <dcterms:modified xsi:type="dcterms:W3CDTF">2019-02-10T14:53:30Z</dcterms:modified>
  <cp:category/>
  <cp:contentStatus/>
</cp:coreProperties>
</file>