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/>
  <bookViews>
    <workbookView xWindow="-15" yWindow="45" windowWidth="12240" windowHeight="8625" tabRatio="860"/>
  </bookViews>
  <sheets>
    <sheet name="Cover" sheetId="47" r:id="rId1"/>
    <sheet name="Rent Growth Variables" sheetId="56" r:id="rId2"/>
    <sheet name="Assumptions Overview" sheetId="53" r:id="rId3"/>
    <sheet name="Rent Roll" sheetId="38" r:id="rId4"/>
    <sheet name="Assumptions" sheetId="2" r:id="rId5"/>
    <sheet name="Renovation Timing" sheetId="36" r:id="rId6"/>
    <sheet name="Cash Flow Overview" sheetId="55" r:id="rId7"/>
    <sheet name="Monthly Cash Flow Exercise" sheetId="57" r:id="rId8"/>
    <sheet name="Amortized Renovated Unit Losses" sheetId="58" r:id="rId9"/>
    <sheet name="Monthly Cash Flow Solution" sheetId="32" r:id="rId10"/>
    <sheet name="Annual Cash Flow" sheetId="40" r:id="rId11"/>
    <sheet name="Amort Schedule - Acqn Loan" sheetId="51" r:id="rId12"/>
    <sheet name="Amort Sched - Permanent Loan" sheetId="49" r:id="rId13"/>
  </sheets>
  <definedNames>
    <definedName name="_wrn2" localSheetId="6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2" localSheetId="7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2" localSheetId="9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2" localSheetId="1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localSheetId="6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wrn3" localSheetId="7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wrn3" localSheetId="9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wrn3" localSheetId="1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localSheetId="6" hidden="1">{#N/A,#N/A,FALSE,"OperatingAssumptions"}</definedName>
    <definedName name="asdf2" localSheetId="7" hidden="1">{#N/A,#N/A,FALSE,"OperatingAssumptions"}</definedName>
    <definedName name="asdf2" localSheetId="9" hidden="1">{#N/A,#N/A,FALSE,"OperatingAssumptions"}</definedName>
    <definedName name="asdf2" localSheetId="1" hidden="1">{#N/A,#N/A,FALSE,"OperatingAssumptions"}</definedName>
    <definedName name="asdf2" hidden="1">{#N/A,#N/A,FALSE,"OperatingAssumptions"}</definedName>
    <definedName name="asdf3" localSheetId="6" hidden="1">{#N/A,#N/A,FALSE,"LoanAssumptions"}</definedName>
    <definedName name="asdf3" localSheetId="7" hidden="1">{#N/A,#N/A,FALSE,"LoanAssumptions"}</definedName>
    <definedName name="asdf3" localSheetId="9" hidden="1">{#N/A,#N/A,FALSE,"LoanAssumptions"}</definedName>
    <definedName name="asdf3" localSheetId="1" hidden="1">{#N/A,#N/A,FALSE,"LoanAssumptions"}</definedName>
    <definedName name="asdf3" hidden="1">{#N/A,#N/A,FALSE,"LoanAssumptions"}</definedName>
    <definedName name="asdf5" localSheetId="6" hidden="1">{"MonthlyRentRoll",#N/A,FALSE,"RentRoll"}</definedName>
    <definedName name="asdf5" localSheetId="7" hidden="1">{"MonthlyRentRoll",#N/A,FALSE,"RentRoll"}</definedName>
    <definedName name="asdf5" localSheetId="9" hidden="1">{"MonthlyRentRoll",#N/A,FALSE,"RentRoll"}</definedName>
    <definedName name="asdf5" localSheetId="1" hidden="1">{"MonthlyRentRoll",#N/A,FALSE,"RentRoll"}</definedName>
    <definedName name="asdf5" hidden="1">{"MonthlyRentRoll",#N/A,FALSE,"RentRoll"}</definedName>
    <definedName name="asdf7" localSheetId="6" hidden="1">{#N/A,#N/A,TRUE,"Summary";"AnnualRentRoll",#N/A,TRUE,"RentRoll";#N/A,#N/A,TRUE,"ExitStratigy";#N/A,#N/A,TRUE,"OperatingAssumptions"}</definedName>
    <definedName name="asdf7" localSheetId="7" hidden="1">{#N/A,#N/A,TRUE,"Summary";"AnnualRentRoll",#N/A,TRUE,"RentRoll";#N/A,#N/A,TRUE,"ExitStratigy";#N/A,#N/A,TRUE,"OperatingAssumptions"}</definedName>
    <definedName name="asdf7" localSheetId="9" hidden="1">{#N/A,#N/A,TRUE,"Summary";"AnnualRentRoll",#N/A,TRUE,"RentRoll";#N/A,#N/A,TRUE,"ExitStratigy";#N/A,#N/A,TRUE,"OperatingAssumptions"}</definedName>
    <definedName name="asdf7" localSheetId="1" hidden="1">{#N/A,#N/A,TRUE,"Summary";"AnnualRentRoll",#N/A,TRUE,"RentRoll";#N/A,#N/A,TRUE,"ExitStratigy";#N/A,#N/A,TRUE,"OperatingAssumptions"}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localSheetId="6" hidden="1">{"'Cash Requirements 5F '!$A$1:$AC$48"}</definedName>
    <definedName name="HTML_Control" localSheetId="7" hidden="1">{"'Cash Requirements 5F '!$A$1:$AC$48"}</definedName>
    <definedName name="HTML_Control" localSheetId="9" hidden="1">{"'Cash Requirements 5F '!$A$1:$AC$48"}</definedName>
    <definedName name="HTML_Control" localSheetId="1" hidden="1">{"'Cash Requirements 5F '!$A$1:$AC$48"}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Last_Row">IF('Rent Growth Variables'!Values_Entered,Header_Row+'Rent Growth Variables'!Number_of_Payments,Header_Row)</definedName>
    <definedName name="name" localSheetId="2">'Assumptions Overview'!$B$2</definedName>
    <definedName name="name">Assumptions!$B$2</definedName>
    <definedName name="Number_of_Payments" localSheetId="2">MATCH(0.01,End_Bal,-1)+1</definedName>
    <definedName name="Number_of_Payments" localSheetId="6">MATCH(0.01,End_Bal,-1)+1</definedName>
    <definedName name="Number_of_Payments" localSheetId="0">MATCH(0.01,End_Bal,-1)+1</definedName>
    <definedName name="Number_of_Payments" localSheetId="7">MATCH(0.01,End_Bal,-1)+1</definedName>
    <definedName name="Number_of_Payments" localSheetId="1">MATCH(0.01,End_Bal,-1)+1</definedName>
    <definedName name="Number_of_Payments">MATCH(0.01,End_Bal,-1)+1</definedName>
    <definedName name="Payment_Date" localSheetId="11">DATE(YEAR([0]!Loan_Start),MONTH([0]!Loan_Start)+Payment_Number,DAY([0]!Loan_Start))</definedName>
    <definedName name="Payment_Date" localSheetId="10">DATE(YEAR([0]!Loan_Start),MONTH([0]!Loan_Start)+Payment_Number,DAY([0]!Loan_Start))</definedName>
    <definedName name="Payment_Date" localSheetId="2">DATE(YEAR(Loan_Start),MONTH(Loan_Start)+Payment_Number,DAY(Loan_Start))</definedName>
    <definedName name="Payment_Date" localSheetId="6">DATE(YEAR(Loan_Start),MONTH(Loan_Start)+Payment_Number,DAY(Loan_Start))</definedName>
    <definedName name="Payment_Date" localSheetId="0">DATE(YEAR(Loan_Start),MONTH(Loan_Start)+Payment_Number,DAY(Loan_Start))</definedName>
    <definedName name="Payment_Date" localSheetId="7">DATE(YEAR(Loan_Start),MONTH(Loan_Start)+Payment_Number,DAY(Loan_Start))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_xlnm.Print_Area" localSheetId="10">'Annual Cash Flow'!$B$3:$P$88</definedName>
    <definedName name="_xlnm.Print_Area" localSheetId="4">Assumptions!$B$2:$P$79</definedName>
    <definedName name="_xlnm.Print_Area" localSheetId="2">'Assumptions Overview'!$B$2:$P$73</definedName>
    <definedName name="_xlnm.Print_Area" localSheetId="6">'Cash Flow Overview'!$B$1:$O$63</definedName>
    <definedName name="_xlnm.Print_Area" localSheetId="0">Cover!$A$2:$H$10</definedName>
    <definedName name="_xlnm.Print_Area" localSheetId="7">'Monthly Cash Flow Exercise'!$G$2:$EQ$111</definedName>
    <definedName name="_xlnm.Print_Area" localSheetId="9">'Monthly Cash Flow Solution'!$G$2:$EQ$116</definedName>
    <definedName name="_xlnm.Print_Area" localSheetId="1">'Rent Growth Variables'!$B$2:$I$145</definedName>
    <definedName name="_xlnm.Print_Area" localSheetId="3">'Rent Roll'!$B$2:$AE$40</definedName>
    <definedName name="Print_Area_Reset" localSheetId="2">OFFSET(Full_Print,0,0,Last_Row)</definedName>
    <definedName name="Print_Area_Reset" localSheetId="6">OFFSET(Full_Print,0,0,Last_Row)</definedName>
    <definedName name="Print_Area_Reset" localSheetId="0">OFFSET(Full_Print,0,0,[0]!Last_Row)</definedName>
    <definedName name="Print_Area_Reset" localSheetId="7">OFFSET(Full_Print,0,0,[0]!Last_Row)</definedName>
    <definedName name="Print_Area_Reset" localSheetId="1">OFFSET(Full_Print,0,0,Last_Row)</definedName>
    <definedName name="Print_Area_Reset">OFFSET(Full_Print,0,0,Last_Row)</definedName>
    <definedName name="_xlnm.Print_Titles" localSheetId="10">'Annual Cash Flow'!$1:$13</definedName>
    <definedName name="_xlnm.Print_Titles" localSheetId="4">Assumptions!$2:$3</definedName>
    <definedName name="_xlnm.Print_Titles" localSheetId="2">'Assumptions Overview'!$2:$2</definedName>
    <definedName name="_xlnm.Print_Titles" localSheetId="6">'Cash Flow Overview'!$B:$E,'Cash Flow Overview'!$1:$2</definedName>
    <definedName name="_xlnm.Print_Titles" localSheetId="7">'Monthly Cash Flow Exercise'!$G:$J,'Monthly Cash Flow Exercise'!$2:$16</definedName>
    <definedName name="_xlnm.Print_Titles" localSheetId="9">'Monthly Cash Flow Solution'!$G:$J,'Monthly Cash Flow Solution'!$2:$16</definedName>
    <definedName name="Residu" localSheetId="6" hidden="1">{#N/A,#N/A,TRUE,"Summary";"AnnualRentRoll",#N/A,TRUE,"RentRoll";#N/A,#N/A,TRUE,"ExitStratigy";#N/A,#N/A,TRUE,"OperatingAssumptions"}</definedName>
    <definedName name="Residu" localSheetId="7" hidden="1">{#N/A,#N/A,TRUE,"Summary";"AnnualRentRoll",#N/A,TRUE,"RentRoll";#N/A,#N/A,TRUE,"ExitStratigy";#N/A,#N/A,TRUE,"OperatingAssumptions"}</definedName>
    <definedName name="Residu" localSheetId="9" hidden="1">{#N/A,#N/A,TRUE,"Summary";"AnnualRentRoll",#N/A,TRUE,"RentRoll";#N/A,#N/A,TRUE,"ExitStratigy";#N/A,#N/A,TRUE,"OperatingAssumptions"}</definedName>
    <definedName name="Residu" localSheetId="1" hidden="1">{#N/A,#N/A,TRUE,"Summary";"AnnualRentRoll",#N/A,TRUE,"RentRoll";#N/A,#N/A,TRUE,"ExitStratigy";#N/A,#N/A,TRUE,"OperatingAssumptions"}</definedName>
    <definedName name="Residu" hidden="1">{#N/A,#N/A,TRUE,"Summary";"AnnualRentRoll",#N/A,TRUE,"RentRoll";#N/A,#N/A,TRUE,"ExitStratigy";#N/A,#N/A,TRUE,"OperatingAssumptions"}</definedName>
    <definedName name="sadd" localSheetId="6" hidden="1">{"MonthlyRentRoll",#N/A,FALSE,"RentRoll"}</definedName>
    <definedName name="sadd" localSheetId="7" hidden="1">{"MonthlyRentRoll",#N/A,FALSE,"RentRoll"}</definedName>
    <definedName name="sadd" localSheetId="9" hidden="1">{"MonthlyRentRoll",#N/A,FALSE,"RentRoll"}</definedName>
    <definedName name="sadd" localSheetId="1" hidden="1">{"MonthlyRentRoll",#N/A,FALSE,"RentRoll"}</definedName>
    <definedName name="sadd" hidden="1">{"MonthlyRentRoll",#N/A,FALSE,"RentRoll"}</definedName>
    <definedName name="sadd1" localSheetId="6" hidden="1">{"MonthlyRentRoll",#N/A,FALSE,"RentRoll"}</definedName>
    <definedName name="sadd1" localSheetId="7" hidden="1">{"MonthlyRentRoll",#N/A,FALSE,"RentRoll"}</definedName>
    <definedName name="sadd1" localSheetId="9" hidden="1">{"MonthlyRentRoll",#N/A,FALSE,"RentRoll"}</definedName>
    <definedName name="sadd1" localSheetId="1" hidden="1">{"MonthlyRentRoll",#N/A,FALSE,"RentRoll"}</definedName>
    <definedName name="sadd1" hidden="1">{"MonthlyRentRoll",#N/A,FALSE,"RentRoll"}</definedName>
    <definedName name="sadd2" localSheetId="6" hidden="1">{"MonthlyRentRoll",#N/A,FALSE,"RentRoll"}</definedName>
    <definedName name="sadd2" localSheetId="7" hidden="1">{"MonthlyRentRoll",#N/A,FALSE,"RentRoll"}</definedName>
    <definedName name="sadd2" localSheetId="9" hidden="1">{"MonthlyRentRoll",#N/A,FALSE,"RentRoll"}</definedName>
    <definedName name="sadd2" localSheetId="1" hidden="1">{"MonthlyRentRoll",#N/A,FALSE,"RentRoll"}</definedName>
    <definedName name="sadd2" hidden="1">{"MonthlyRentRoll",#N/A,FALSE,"RentRoll"}</definedName>
    <definedName name="saddd" localSheetId="6" hidden="1">{"AnnualRentRoll",#N/A,FALSE,"RentRoll"}</definedName>
    <definedName name="saddd" localSheetId="7" hidden="1">{"AnnualRentRoll",#N/A,FALSE,"RentRoll"}</definedName>
    <definedName name="saddd" localSheetId="9" hidden="1">{"AnnualRentRoll",#N/A,FALSE,"RentRoll"}</definedName>
    <definedName name="saddd" localSheetId="1" hidden="1">{"AnnualRentRoll",#N/A,FALSE,"RentRoll"}</definedName>
    <definedName name="saddd" hidden="1">{"AnnualRentRoll",#N/A,FALSE,"RentRoll"}</definedName>
    <definedName name="saddd2" localSheetId="6" hidden="1">{"AnnualRentRoll",#N/A,FALSE,"RentRoll"}</definedName>
    <definedName name="saddd2" localSheetId="7" hidden="1">{"AnnualRentRoll",#N/A,FALSE,"RentRoll"}</definedName>
    <definedName name="saddd2" localSheetId="9" hidden="1">{"AnnualRentRoll",#N/A,FALSE,"RentRoll"}</definedName>
    <definedName name="saddd2" localSheetId="1" hidden="1">{"AnnualRentRoll",#N/A,FALSE,"RentRoll"}</definedName>
    <definedName name="saddd2" hidden="1">{"AnnualRentRoll",#N/A,FALSE,"RentRoll"}</definedName>
    <definedName name="sadddd2" localSheetId="6" hidden="1">{"AnnualRentRoll",#N/A,FALSE,"RentRoll"}</definedName>
    <definedName name="sadddd2" localSheetId="7" hidden="1">{"AnnualRentRoll",#N/A,FALSE,"RentRoll"}</definedName>
    <definedName name="sadddd2" localSheetId="9" hidden="1">{"AnnualRentRoll",#N/A,FALSE,"RentRoll"}</definedName>
    <definedName name="sadddd2" localSheetId="1" hidden="1">{"AnnualRentRoll",#N/A,FALSE,"RentRoll"}</definedName>
    <definedName name="sadddd2" hidden="1">{"AnnualRentRoll",#N/A,FALSE,"RentRoll"}</definedName>
    <definedName name="saddddd" localSheetId="6" hidden="1">{"AnnualRentRoll",#N/A,FALSE,"RentRoll"}</definedName>
    <definedName name="saddddd" localSheetId="7" hidden="1">{"AnnualRentRoll",#N/A,FALSE,"RentRoll"}</definedName>
    <definedName name="saddddd" localSheetId="9" hidden="1">{"AnnualRentRoll",#N/A,FALSE,"RentRoll"}</definedName>
    <definedName name="saddddd" localSheetId="1" hidden="1">{"AnnualRentRoll",#N/A,FALSE,"RentRoll"}</definedName>
    <definedName name="saddddd" hidden="1">{"AnnualRentRoll",#N/A,FALSE,"RentRoll"}</definedName>
    <definedName name="saddddddd2" localSheetId="6" hidden="1">{#N/A,#N/A,FALSE,"ExitStratigy"}</definedName>
    <definedName name="saddddddd2" localSheetId="7" hidden="1">{#N/A,#N/A,FALSE,"ExitStratigy"}</definedName>
    <definedName name="saddddddd2" localSheetId="9" hidden="1">{#N/A,#N/A,FALSE,"ExitStratigy"}</definedName>
    <definedName name="saddddddd2" localSheetId="1" hidden="1">{#N/A,#N/A,FALSE,"ExitStratigy"}</definedName>
    <definedName name="saddddddd2" hidden="1">{#N/A,#N/A,FALSE,"ExitStratigy"}</definedName>
    <definedName name="sadddddddd" localSheetId="6" hidden="1">{#N/A,#N/A,FALSE,"ExitStratigy"}</definedName>
    <definedName name="sadddddddd" localSheetId="7" hidden="1">{#N/A,#N/A,FALSE,"ExitStratigy"}</definedName>
    <definedName name="sadddddddd" localSheetId="9" hidden="1">{#N/A,#N/A,FALSE,"ExitStratigy"}</definedName>
    <definedName name="sadddddddd" localSheetId="1" hidden="1">{#N/A,#N/A,FALSE,"ExitStratigy"}</definedName>
    <definedName name="sadddddddd" hidden="1">{#N/A,#N/A,FALSE,"ExitStratigy"}</definedName>
    <definedName name="saddddddddd2" localSheetId="6" hidden="1">{#N/A,#N/A,FALSE,"LoanAssumptions"}</definedName>
    <definedName name="saddddddddd2" localSheetId="7" hidden="1">{#N/A,#N/A,FALSE,"LoanAssumptions"}</definedName>
    <definedName name="saddddddddd2" localSheetId="9" hidden="1">{#N/A,#N/A,FALSE,"LoanAssumptions"}</definedName>
    <definedName name="saddddddddd2" localSheetId="1" hidden="1">{#N/A,#N/A,FALSE,"LoanAssumptions"}</definedName>
    <definedName name="saddddddddd2" hidden="1">{#N/A,#N/A,FALSE,"LoanAssumptions"}</definedName>
    <definedName name="sadddddddddd" localSheetId="6" hidden="1">{#N/A,#N/A,FALSE,"LoanAssumptions"}</definedName>
    <definedName name="sadddddddddd" localSheetId="7" hidden="1">{#N/A,#N/A,FALSE,"LoanAssumptions"}</definedName>
    <definedName name="sadddddddddd" localSheetId="9" hidden="1">{#N/A,#N/A,FALSE,"LoanAssumptions"}</definedName>
    <definedName name="sadddddddddd" localSheetId="1" hidden="1">{#N/A,#N/A,FALSE,"LoanAssumptions"}</definedName>
    <definedName name="sadddddddddd" hidden="1">{#N/A,#N/A,FALSE,"LoanAssumptions"}</definedName>
    <definedName name="saddddddddddd2" localSheetId="6" hidden="1">{#N/A,#N/A,FALSE,"OperatingAssumptions"}</definedName>
    <definedName name="saddddddddddd2" localSheetId="7" hidden="1">{#N/A,#N/A,FALSE,"OperatingAssumptions"}</definedName>
    <definedName name="saddddddddddd2" localSheetId="9" hidden="1">{#N/A,#N/A,FALSE,"OperatingAssumptions"}</definedName>
    <definedName name="saddddddddddd2" localSheetId="1" hidden="1">{#N/A,#N/A,FALSE,"OperatingAssumptions"}</definedName>
    <definedName name="saddddddddddd2" hidden="1">{#N/A,#N/A,FALSE,"OperatingAssumptions"}</definedName>
    <definedName name="saddddddddddddd" localSheetId="6" hidden="1">{#N/A,#N/A,FALSE,"OperatingAssumptions"}</definedName>
    <definedName name="saddddddddddddd" localSheetId="7" hidden="1">{#N/A,#N/A,FALSE,"OperatingAssumptions"}</definedName>
    <definedName name="saddddddddddddd" localSheetId="9" hidden="1">{#N/A,#N/A,FALSE,"OperatingAssumptions"}</definedName>
    <definedName name="saddddddddddddd" localSheetId="1" hidden="1">{#N/A,#N/A,FALSE,"OperatingAssumptions"}</definedName>
    <definedName name="saddddddddddddd" hidden="1">{#N/A,#N/A,FALSE,"OperatingAssumptions"}</definedName>
    <definedName name="SF" localSheetId="2">'Assumptions Overview'!$F$10</definedName>
    <definedName name="SF">Assumptions!$F$11</definedName>
    <definedName name="unit" localSheetId="2">'Assumptions Overview'!$H$10</definedName>
    <definedName name="unit">Assumptions!$H$11</definedName>
    <definedName name="Values_Entered" localSheetId="2">IF(Loan_Amount*Interest_Rate*Loan_Years*Loan_Start&gt;0,1,0)</definedName>
    <definedName name="Values_Entered" localSheetId="6">IF(Loan_Amount*Interest_Rate*Loan_Years*Loan_Start&gt;0,1,0)</definedName>
    <definedName name="Values_Entered" localSheetId="0">IF(Loan_Amount*Interest_Rate*Loan_Years*Loan_Start&gt;0,1,0)</definedName>
    <definedName name="Values_Entered" localSheetId="7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hat_asdf2" localSheetId="6" hidden="1">{#N/A,#N/A,FALSE,"OperatingAssumptions"}</definedName>
    <definedName name="what_asdf2" localSheetId="7" hidden="1">{#N/A,#N/A,FALSE,"OperatingAssumptions"}</definedName>
    <definedName name="what_asdf2" localSheetId="9" hidden="1">{#N/A,#N/A,FALSE,"OperatingAssumptions"}</definedName>
    <definedName name="what_asdf2" localSheetId="1" hidden="1">{#N/A,#N/A,FALSE,"OperatingAssumptions"}</definedName>
    <definedName name="what_asdf2" hidden="1">{#N/A,#N/A,FALSE,"OperatingAssumptions"}</definedName>
    <definedName name="wrn.2" localSheetId="6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2" localSheetId="7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2" localSheetId="9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2" localSheetId="1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localSheetId="6" hidden="1">{"AnnualRentRoll",#N/A,FALSE,"RentRoll"}</definedName>
    <definedName name="wrn.AnnualRentRoll" localSheetId="7" hidden="1">{"AnnualRentRoll",#N/A,FALSE,"RentRoll"}</definedName>
    <definedName name="wrn.AnnualRentRoll" localSheetId="9" hidden="1">{"AnnualRentRoll",#N/A,FALSE,"RentRoll"}</definedName>
    <definedName name="wrn.AnnualRentRoll" localSheetId="1" hidden="1">{"AnnualRentRoll",#N/A,FALSE,"RentRoll"}</definedName>
    <definedName name="wrn.AnnualRentRoll" hidden="1">{"AnnualRentRoll",#N/A,FALSE,"RentRoll"}</definedName>
    <definedName name="wrn.AnnualRentRoll." localSheetId="6" hidden="1">{"AnnualRentRoll",#N/A,FALSE,"RentRoll"}</definedName>
    <definedName name="wrn.AnnualRentRoll." localSheetId="7" hidden="1">{"AnnualRentRoll",#N/A,FALSE,"RentRoll"}</definedName>
    <definedName name="wrn.AnnualRentRoll." localSheetId="9" hidden="1">{"AnnualRentRoll",#N/A,FALSE,"RentRoll"}</definedName>
    <definedName name="wrn.AnnualRentRoll." localSheetId="1" hidden="1">{"AnnualRentRoll",#N/A,FALSE,"RentRoll"}</definedName>
    <definedName name="wrn.AnnualRentRoll." hidden="1">{"AnnualRentRoll",#N/A,FALSE,"RentRoll"}</definedName>
    <definedName name="wrn.annualrentroll2" localSheetId="6" hidden="1">{"AnnualRentRoll",#N/A,FALSE,"RentRoll"}</definedName>
    <definedName name="wrn.annualrentroll2" localSheetId="7" hidden="1">{"AnnualRentRoll",#N/A,FALSE,"RentRoll"}</definedName>
    <definedName name="wrn.annualrentroll2" localSheetId="9" hidden="1">{"AnnualRentRoll",#N/A,FALSE,"RentRoll"}</definedName>
    <definedName name="wrn.annualrentroll2" localSheetId="1" hidden="1">{"AnnualRentRoll",#N/A,FALSE,"RentRoll"}</definedName>
    <definedName name="wrn.annualrentroll2" hidden="1">{"AnnualRentRoll",#N/A,FALSE,"RentRoll"}</definedName>
    <definedName name="wrn.CF._.Print." localSheetId="6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._.Print." localSheetId="7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._.Print." localSheetId="9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._.Print." localSheetId="1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localSheetId="6" hidden="1">{#N/A,#N/A,FALSE,"ExitStratigy"}</definedName>
    <definedName name="wrn.ExitAndSalesAssumptions." localSheetId="7" hidden="1">{#N/A,#N/A,FALSE,"ExitStratigy"}</definedName>
    <definedName name="wrn.ExitAndSalesAssumptions." localSheetId="9" hidden="1">{#N/A,#N/A,FALSE,"ExitStratigy"}</definedName>
    <definedName name="wrn.ExitAndSalesAssumptions." localSheetId="1" hidden="1">{#N/A,#N/A,FALSE,"ExitStratigy"}</definedName>
    <definedName name="wrn.ExitAndSalesAssumptions." hidden="1">{#N/A,#N/A,FALSE,"ExitStratigy"}</definedName>
    <definedName name="wrn.FCG." localSheetId="6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CG." localSheetId="7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CG." localSheetId="9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CG." localSheetId="1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localSheetId="6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Full_Template." localSheetId="7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Full_Template." localSheetId="9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Full_Template." localSheetId="1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localSheetId="6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localSheetId="7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localSheetId="9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localSheetId="1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localSheetId="6" hidden="1">{#N/A,#N/A,FALSE,"Leasing 6A"}</definedName>
    <definedName name="wrn.Leasing._.Variance." localSheetId="7" hidden="1">{#N/A,#N/A,FALSE,"Leasing 6A"}</definedName>
    <definedName name="wrn.Leasing._.Variance." localSheetId="9" hidden="1">{#N/A,#N/A,FALSE,"Leasing 6A"}</definedName>
    <definedName name="wrn.Leasing._.Variance." localSheetId="1" hidden="1">{#N/A,#N/A,FALSE,"Leasing 6A"}</definedName>
    <definedName name="wrn.Leasing._.Variance." hidden="1">{#N/A,#N/A,FALSE,"Leasing 6A"}</definedName>
    <definedName name="wrn.LoanInformation." localSheetId="6" hidden="1">{#N/A,#N/A,FALSE,"LoanAssumptions"}</definedName>
    <definedName name="wrn.LoanInformation." localSheetId="7" hidden="1">{#N/A,#N/A,FALSE,"LoanAssumptions"}</definedName>
    <definedName name="wrn.LoanInformation." localSheetId="9" hidden="1">{#N/A,#N/A,FALSE,"LoanAssumptions"}</definedName>
    <definedName name="wrn.LoanInformation." localSheetId="1" hidden="1">{#N/A,#N/A,FALSE,"LoanAssumptions"}</definedName>
    <definedName name="wrn.LoanInformation." hidden="1">{#N/A,#N/A,FALSE,"LoanAssumptions"}</definedName>
    <definedName name="wrn.Marketing." localSheetId="6" hidden="1">{#N/A,#N/A,FALSE,"2Assumptions";#N/A,#N/A,FALSE,"3Cash Flow";#N/A,#N/A,FALSE,"I&amp;E";#N/A,#N/A,FALSE,"I&amp;E (2)";#N/A,#N/A,FALSE,"10Vacancy Matrix";#N/A,#N/A,FALSE,"11Expiration Schedule"}</definedName>
    <definedName name="wrn.Marketing." localSheetId="7" hidden="1">{#N/A,#N/A,FALSE,"2Assumptions";#N/A,#N/A,FALSE,"3Cash Flow";#N/A,#N/A,FALSE,"I&amp;E";#N/A,#N/A,FALSE,"I&amp;E (2)";#N/A,#N/A,FALSE,"10Vacancy Matrix";#N/A,#N/A,FALSE,"11Expiration Schedule"}</definedName>
    <definedName name="wrn.Marketing." localSheetId="9" hidden="1">{#N/A,#N/A,FALSE,"2Assumptions";#N/A,#N/A,FALSE,"3Cash Flow";#N/A,#N/A,FALSE,"I&amp;E";#N/A,#N/A,FALSE,"I&amp;E (2)";#N/A,#N/A,FALSE,"10Vacancy Matrix";#N/A,#N/A,FALSE,"11Expiration Schedule"}</definedName>
    <definedName name="wrn.Marketing." localSheetId="1" hidden="1">{#N/A,#N/A,FALSE,"2Assumptions";#N/A,#N/A,FALSE,"3Cash Flow";#N/A,#N/A,FALSE,"I&amp;E";#N/A,#N/A,FALSE,"I&amp;E (2)";#N/A,#N/A,FALSE,"10Vacancy Matrix";#N/A,#N/A,FALSE,"11Expiration Schedule"}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localSheetId="6" hidden="1">{#N/A,#N/A,FALSE,"SUMMARY 4a";#N/A,#N/A,FALSE,"GBA 4b";#N/A,#N/A,FALSE,"TENANT 4c";#N/A,#N/A,FALSE,"BUDGET DETAIL";#N/A,#N/A,FALSE,"PRO FORMA"}</definedName>
    <definedName name="wrn.monthly._.financial." localSheetId="7" hidden="1">{#N/A,#N/A,FALSE,"SUMMARY 4a";#N/A,#N/A,FALSE,"GBA 4b";#N/A,#N/A,FALSE,"TENANT 4c";#N/A,#N/A,FALSE,"BUDGET DETAIL";#N/A,#N/A,FALSE,"PRO FORMA"}</definedName>
    <definedName name="wrn.monthly._.financial." localSheetId="9" hidden="1">{#N/A,#N/A,FALSE,"SUMMARY 4a";#N/A,#N/A,FALSE,"GBA 4b";#N/A,#N/A,FALSE,"TENANT 4c";#N/A,#N/A,FALSE,"BUDGET DETAIL";#N/A,#N/A,FALSE,"PRO FORMA"}</definedName>
    <definedName name="wrn.monthly._.financial." localSheetId="1" hidden="1">{#N/A,#N/A,FALSE,"SUMMARY 4a";#N/A,#N/A,FALSE,"GBA 4b";#N/A,#N/A,FALSE,"TENANT 4c";#N/A,#N/A,FALSE,"BUDGET DETAIL";#N/A,#N/A,FALSE,"PRO FORMA"}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localSheetId="6" hidden="1">{"MonthlyRentRoll",#N/A,FALSE,"RentRoll"}</definedName>
    <definedName name="wrn.MonthlyRentRoll." localSheetId="7" hidden="1">{"MonthlyRentRoll",#N/A,FALSE,"RentRoll"}</definedName>
    <definedName name="wrn.MonthlyRentRoll." localSheetId="9" hidden="1">{"MonthlyRentRoll",#N/A,FALSE,"RentRoll"}</definedName>
    <definedName name="wrn.MonthlyRentRoll." localSheetId="1" hidden="1">{"MonthlyRentRoll",#N/A,FALSE,"RentRoll"}</definedName>
    <definedName name="wrn.MonthlyRentRoll." hidden="1">{"MonthlyRentRoll",#N/A,FALSE,"RentRoll"}</definedName>
    <definedName name="wrn.ontario." localSheetId="6" hidden="1">{"page1",#N/A,FALSE,"sheet 1";"Page2",#N/A,FALSE,"sheet 1";"page3",#N/A,FALSE,"sheet 1";"page4",#N/A,FALSE,"sheet 1"}</definedName>
    <definedName name="wrn.ontario." localSheetId="7" hidden="1">{"page1",#N/A,FALSE,"sheet 1";"Page2",#N/A,FALSE,"sheet 1";"page3",#N/A,FALSE,"sheet 1";"page4",#N/A,FALSE,"sheet 1"}</definedName>
    <definedName name="wrn.ontario." localSheetId="9" hidden="1">{"page1",#N/A,FALSE,"sheet 1";"Page2",#N/A,FALSE,"sheet 1";"page3",#N/A,FALSE,"sheet 1";"page4",#N/A,FALSE,"sheet 1"}</definedName>
    <definedName name="wrn.ontario." localSheetId="1" hidden="1">{"page1",#N/A,FALSE,"sheet 1";"Page2",#N/A,FALSE,"sheet 1";"page3",#N/A,FALSE,"sheet 1";"page4",#N/A,FALSE,"sheet 1"}</definedName>
    <definedName name="wrn.ontario." hidden="1">{"page1",#N/A,FALSE,"sheet 1";"Page2",#N/A,FALSE,"sheet 1";"page3",#N/A,FALSE,"sheet 1";"page4",#N/A,FALSE,"sheet 1"}</definedName>
    <definedName name="wrn.OperatingAssumtions." localSheetId="6" hidden="1">{#N/A,#N/A,FALSE,"OperatingAssumptions"}</definedName>
    <definedName name="wrn.OperatingAssumtions." localSheetId="7" hidden="1">{#N/A,#N/A,FALSE,"OperatingAssumptions"}</definedName>
    <definedName name="wrn.OperatingAssumtions." localSheetId="9" hidden="1">{#N/A,#N/A,FALSE,"OperatingAssumptions"}</definedName>
    <definedName name="wrn.OperatingAssumtions." localSheetId="1" hidden="1">{#N/A,#N/A,FALSE,"OperatingAssumptions"}</definedName>
    <definedName name="wrn.OperatingAssumtions." hidden="1">{#N/A,#N/A,FALSE,"OperatingAssumptions"}</definedName>
    <definedName name="wrn.p3" localSheetId="6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3" localSheetId="7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3" localSheetId="9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3" localSheetId="1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localSheetId="6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ckage." localSheetId="7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ckage." localSheetId="9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ckage." localSheetId="1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localSheetId="6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artial." localSheetId="7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artial." localSheetId="9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artial." localSheetId="1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localSheetId="6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_TRIAL_BALANCE." localSheetId="7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_TRIAL_BALANCE." localSheetId="9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_TRIAL_BALANCE." localSheetId="1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localSheetId="6" hidden="1">{#N/A,#N/A,TRUE,"Summary";"AnnualRentRoll",#N/A,TRUE,"RentRoll";#N/A,#N/A,TRUE,"ExitStratigy";#N/A,#N/A,TRUE,"OperatingAssumptions"}</definedName>
    <definedName name="wrn.Presentation." localSheetId="7" hidden="1">{#N/A,#N/A,TRUE,"Summary";"AnnualRentRoll",#N/A,TRUE,"RentRoll";#N/A,#N/A,TRUE,"ExitStratigy";#N/A,#N/A,TRUE,"OperatingAssumptions"}</definedName>
    <definedName name="wrn.Presentation." localSheetId="9" hidden="1">{#N/A,#N/A,TRUE,"Summary";"AnnualRentRoll",#N/A,TRUE,"RentRoll";#N/A,#N/A,TRUE,"ExitStratigy";#N/A,#N/A,TRUE,"OperatingAssumptions"}</definedName>
    <definedName name="wrn.Presentation." localSheetId="1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cing._.Strategy." localSheetId="6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cing._.Strategy." localSheetId="7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cing._.Strategy." localSheetId="9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cing._.Strategy." localSheetId="1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localSheetId="0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." localSheetId="1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localSheetId="6" hidden="1">{#N/A,#N/A,FALSE,"Broker Sheet";#N/A,#N/A,FALSE,"Exec.Summary";#N/A,#N/A,FALSE,"Argus Cash Flow";#N/A,#N/A,FALSE,"SPF";#N/A,#N/A,FALSE,"RentRoll"}</definedName>
    <definedName name="wrn.PrintAll." localSheetId="7" hidden="1">{#N/A,#N/A,FALSE,"Broker Sheet";#N/A,#N/A,FALSE,"Exec.Summary";#N/A,#N/A,FALSE,"Argus Cash Flow";#N/A,#N/A,FALSE,"SPF";#N/A,#N/A,FALSE,"RentRoll"}</definedName>
    <definedName name="wrn.PrintAll." localSheetId="9" hidden="1">{#N/A,#N/A,FALSE,"Broker Sheet";#N/A,#N/A,FALSE,"Exec.Summary";#N/A,#N/A,FALSE,"Argus Cash Flow";#N/A,#N/A,FALSE,"SPF";#N/A,#N/A,FALSE,"RentRoll"}</definedName>
    <definedName name="wrn.PrintAll." localSheetId="1" hidden="1">{#N/A,#N/A,FALSE,"Broker Sheet";#N/A,#N/A,FALSE,"Exec.Summary";#N/A,#N/A,FALSE,"Argus Cash Flow";#N/A,#N/A,FALSE,"SPF";#N/A,#N/A,FALSE,"RentRoll"}</definedName>
    <definedName name="wrn.PrintAll." hidden="1">{#N/A,#N/A,FALSE,"Broker Sheet";#N/A,#N/A,FALSE,"Exec.Summary";#N/A,#N/A,FALSE,"Argus Cash Flow";#N/A,#N/A,FALSE,"SPF";#N/A,#N/A,FALSE,"RentRoll"}</definedName>
    <definedName name="wrn.Proforma." localSheetId="6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forma." localSheetId="7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forma." localSheetId="9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forma." localSheetId="1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localSheetId="6" hidden="1">{#N/A,#N/A,FALSE,"PropertyInfo"}</definedName>
    <definedName name="wrn.PropertyInformation." localSheetId="7" hidden="1">{#N/A,#N/A,FALSE,"PropertyInfo"}</definedName>
    <definedName name="wrn.PropertyInformation." localSheetId="9" hidden="1">{#N/A,#N/A,FALSE,"PropertyInfo"}</definedName>
    <definedName name="wrn.PropertyInformation." localSheetId="1" hidden="1">{#N/A,#N/A,FALSE,"PropertyInfo"}</definedName>
    <definedName name="wrn.PropertyInformation." hidden="1">{#N/A,#N/A,FALSE,"PropertyInfo"}</definedName>
    <definedName name="wrn.Report." localSheetId="6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Report." localSheetId="7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Report." localSheetId="9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Report." localSheetId="1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localSheetId="0" hidden="1">{#N/A,#N/A,FALSE,"Cover";#N/A,#N/A,FALSE,"Stack";#N/A,#N/A,FALSE,"Cost S";#N/A,#N/A,FALSE," CF";#N/A,#N/A,FALSE,"Investor"}</definedName>
    <definedName name="wrn.Short._.Print." localSheetId="1" hidden="1">{#N/A,#N/A,FALSE,"Cover";#N/A,#N/A,FALSE,"Stack";#N/A,#N/A,FALSE,"Cost S";#N/A,#N/A,FALSE," CF";#N/A,#N/A,FALSE,"Investor"}</definedName>
    <definedName name="wrn.Short._.Print." hidden="1">{#N/A,#N/A,FALSE,"Cover";#N/A,#N/A,FALSE,"Stack";#N/A,#N/A,FALSE,"Cost S";#N/A,#N/A,FALSE," CF";#N/A,#N/A,FALSE,"Investor"}</definedName>
    <definedName name="wrn.Summary." localSheetId="6" hidden="1">{#N/A,#N/A,FALSE,"Summary"}</definedName>
    <definedName name="wrn.Summary." localSheetId="7" hidden="1">{#N/A,#N/A,FALSE,"Summary"}</definedName>
    <definedName name="wrn.Summary." localSheetId="9" hidden="1">{#N/A,#N/A,FALSE,"Summary"}</definedName>
    <definedName name="wrn.Summary." localSheetId="1" hidden="1">{#N/A,#N/A,FALSE,"Summary"}</definedName>
    <definedName name="wrn.Summary." hidden="1">{#N/A,#N/A,FALSE,"Summary"}</definedName>
    <definedName name="wrn.Template." localSheetId="6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mplate." localSheetId="7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mplate." localSheetId="9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mplate." localSheetId="1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localSheetId="6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wrn.USSC_Reports." localSheetId="7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wrn.USSC_Reports." localSheetId="9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wrn.USSC_Reports." localSheetId="1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localSheetId="6" hidden="1">{"AnnualRentRoll",#N/A,FALSE,"RentRoll"}</definedName>
    <definedName name="xxx3" localSheetId="7" hidden="1">{"AnnualRentRoll",#N/A,FALSE,"RentRoll"}</definedName>
    <definedName name="xxx3" localSheetId="9" hidden="1">{"AnnualRentRoll",#N/A,FALSE,"RentRoll"}</definedName>
    <definedName name="xxx3" localSheetId="1" hidden="1">{"AnnualRentRoll",#N/A,FALSE,"RentRoll"}</definedName>
    <definedName name="xxx3" hidden="1">{"AnnualRentRoll",#N/A,FALSE,"RentRoll"}</definedName>
    <definedName name="xxx4" localSheetId="6" hidden="1">{#N/A,#N/A,FALSE,"ExitStratigy"}</definedName>
    <definedName name="xxx4" localSheetId="7" hidden="1">{#N/A,#N/A,FALSE,"ExitStratigy"}</definedName>
    <definedName name="xxx4" localSheetId="9" hidden="1">{#N/A,#N/A,FALSE,"ExitStratigy"}</definedName>
    <definedName name="xxx4" localSheetId="1" hidden="1">{#N/A,#N/A,FALSE,"ExitStratigy"}</definedName>
    <definedName name="xxx4" hidden="1">{#N/A,#N/A,FALSE,"ExitStratigy"}</definedName>
    <definedName name="Z_AC6D0829_7D33_475A_BFC8_17DE97049707_.wvu.Cols" localSheetId="6" hidden="1">'Cash Flow Overview'!#REF!</definedName>
    <definedName name="Z_AC6D0829_7D33_475A_BFC8_17DE97049707_.wvu.Cols" localSheetId="7" hidden="1">'Monthly Cash Flow Exercise'!$K:$M</definedName>
    <definedName name="Z_AC6D0829_7D33_475A_BFC8_17DE97049707_.wvu.Cols" localSheetId="9" hidden="1">'Monthly Cash Flow Solution'!$K:$M</definedName>
    <definedName name="Z_AC6D0829_7D33_475A_BFC8_17DE97049707_.wvu.PrintArea" localSheetId="10" hidden="1">'Annual Cash Flow'!$B$3:$P$88</definedName>
    <definedName name="Z_AC6D0829_7D33_475A_BFC8_17DE97049707_.wvu.PrintArea" localSheetId="4" hidden="1">Assumptions!$B$2:$P$79</definedName>
    <definedName name="Z_AC6D0829_7D33_475A_BFC8_17DE97049707_.wvu.PrintArea" localSheetId="2" hidden="1">'Assumptions Overview'!$B$2:$P$73</definedName>
    <definedName name="Z_AC6D0829_7D33_475A_BFC8_17DE97049707_.wvu.PrintArea" localSheetId="6" hidden="1">'Cash Flow Overview'!$B$1:$O$63</definedName>
    <definedName name="Z_AC6D0829_7D33_475A_BFC8_17DE97049707_.wvu.PrintArea" localSheetId="0" hidden="1">Cover!$A$2:$H$10</definedName>
    <definedName name="Z_AC6D0829_7D33_475A_BFC8_17DE97049707_.wvu.PrintArea" localSheetId="7" hidden="1">'Monthly Cash Flow Exercise'!$G$2:$EQ$111</definedName>
    <definedName name="Z_AC6D0829_7D33_475A_BFC8_17DE97049707_.wvu.PrintArea" localSheetId="9" hidden="1">'Monthly Cash Flow Solution'!$G$2:$EQ$116</definedName>
    <definedName name="Z_AC6D0829_7D33_475A_BFC8_17DE97049707_.wvu.PrintArea" localSheetId="1" hidden="1">'Rent Growth Variables'!$B$2:$I$145</definedName>
    <definedName name="Z_AC6D0829_7D33_475A_BFC8_17DE97049707_.wvu.PrintArea" localSheetId="3" hidden="1">'Rent Roll'!$B$2:$AE$40</definedName>
    <definedName name="Z_AC6D0829_7D33_475A_BFC8_17DE97049707_.wvu.PrintTitles" localSheetId="10" hidden="1">'Annual Cash Flow'!$1:$13</definedName>
    <definedName name="Z_AC6D0829_7D33_475A_BFC8_17DE97049707_.wvu.PrintTitles" localSheetId="4" hidden="1">Assumptions!$2:$3</definedName>
    <definedName name="Z_AC6D0829_7D33_475A_BFC8_17DE97049707_.wvu.PrintTitles" localSheetId="2" hidden="1">'Assumptions Overview'!$2:$2</definedName>
    <definedName name="Z_AC6D0829_7D33_475A_BFC8_17DE97049707_.wvu.PrintTitles" localSheetId="6" hidden="1">'Cash Flow Overview'!$B:$E,'Cash Flow Overview'!$1:$2</definedName>
    <definedName name="Z_AC6D0829_7D33_475A_BFC8_17DE97049707_.wvu.PrintTitles" localSheetId="7" hidden="1">'Monthly Cash Flow Exercise'!$G:$J,'Monthly Cash Flow Exercise'!$2:$16</definedName>
    <definedName name="Z_AC6D0829_7D33_475A_BFC8_17DE97049707_.wvu.PrintTitles" localSheetId="9" hidden="1">'Monthly Cash Flow Solution'!$G:$J,'Monthly Cash Flow Solution'!$2:$16</definedName>
    <definedName name="Z_AC6D0829_7D33_475A_BFC8_17DE97049707_.wvu.Rows" localSheetId="6" hidden="1">'Cash Flow Overview'!#REF!,'Cash Flow Overview'!#REF!</definedName>
    <definedName name="Z_AC6D0829_7D33_475A_BFC8_17DE97049707_.wvu.Rows" localSheetId="7" hidden="1">'Monthly Cash Flow Exercise'!#REF!,'Monthly Cash Flow Exercise'!#REF!</definedName>
    <definedName name="Z_AC6D0829_7D33_475A_BFC8_17DE97049707_.wvu.Rows" localSheetId="9" hidden="1">'Monthly Cash Flow Solution'!#REF!,'Monthly Cash Flow Solution'!$57:$57</definedName>
  </definedNames>
  <calcPr calcId="145621" calcMode="autoNoTable" concurrentCalc="0"/>
  <customWorkbookViews>
    <customWorkbookView name="Jiho Lee - Personal View" guid="{AC6D0829-7D33-475A-BFC8-17DE97049707}" mergeInterval="0" personalView="1" maximized="1" xWindow="1" yWindow="1" windowWidth="1276" windowHeight="538" tabRatio="860" activeSheetId="2"/>
  </customWorkbookViews>
</workbook>
</file>

<file path=xl/calcChain.xml><?xml version="1.0" encoding="utf-8"?>
<calcChain xmlns="http://schemas.openxmlformats.org/spreadsheetml/2006/main">
  <c r="AD8" i="58" l="1"/>
  <c r="AE8" i="58"/>
  <c r="AF8" i="58"/>
  <c r="AG8" i="58"/>
  <c r="AH8" i="58"/>
  <c r="AI8" i="58"/>
  <c r="AJ8" i="58"/>
  <c r="AK8" i="58"/>
  <c r="AL8" i="58"/>
  <c r="AM8" i="58"/>
  <c r="AN8" i="58"/>
  <c r="AO8" i="58"/>
  <c r="AP8" i="58"/>
  <c r="AQ8" i="58"/>
  <c r="AD9" i="58"/>
  <c r="AE9" i="58"/>
  <c r="AF9" i="58"/>
  <c r="AG9" i="58"/>
  <c r="AH9" i="58"/>
  <c r="AI9" i="58"/>
  <c r="AJ9" i="58"/>
  <c r="AK9" i="58"/>
  <c r="AL9" i="58"/>
  <c r="AM9" i="58"/>
  <c r="AN9" i="58"/>
  <c r="AO9" i="58"/>
  <c r="AP9" i="58"/>
  <c r="AQ9" i="58"/>
  <c r="AD10" i="58"/>
  <c r="AE10" i="58"/>
  <c r="AF10" i="58"/>
  <c r="AG10" i="58"/>
  <c r="AH10" i="58"/>
  <c r="AI10" i="58"/>
  <c r="AJ10" i="58"/>
  <c r="AK10" i="58"/>
  <c r="AL10" i="58"/>
  <c r="AM10" i="58"/>
  <c r="AN10" i="58"/>
  <c r="AO10" i="58"/>
  <c r="AP10" i="58"/>
  <c r="AQ10" i="58"/>
  <c r="AL26" i="32"/>
  <c r="AD11" i="58"/>
  <c r="AM26" i="32"/>
  <c r="AE11" i="58"/>
  <c r="AN26" i="32"/>
  <c r="AF11" i="58"/>
  <c r="AO26" i="32"/>
  <c r="AG11" i="58"/>
  <c r="AP26" i="32"/>
  <c r="AH11" i="58"/>
  <c r="AQ26" i="32"/>
  <c r="AI11" i="58"/>
  <c r="AR26" i="32"/>
  <c r="AJ11" i="58"/>
  <c r="AS26" i="32"/>
  <c r="AK11" i="58"/>
  <c r="AT26" i="32"/>
  <c r="AL11" i="58"/>
  <c r="AU26" i="32"/>
  <c r="AM11" i="58"/>
  <c r="AV26" i="32"/>
  <c r="AN11" i="58"/>
  <c r="AW26" i="32"/>
  <c r="AO11" i="58"/>
  <c r="AX26" i="32"/>
  <c r="AP11" i="58"/>
  <c r="AY26" i="32"/>
  <c r="AQ11" i="58"/>
  <c r="AZ26" i="32"/>
  <c r="BA26" i="32"/>
  <c r="AD13" i="58"/>
  <c r="AE13" i="58"/>
  <c r="AF13" i="58"/>
  <c r="AG13" i="58"/>
  <c r="AH13" i="58"/>
  <c r="AI13" i="58"/>
  <c r="AJ13" i="58"/>
  <c r="AK13" i="58"/>
  <c r="AL13" i="58"/>
  <c r="AM13" i="58"/>
  <c r="AN13" i="58"/>
  <c r="AO13" i="58"/>
  <c r="AP13" i="58"/>
  <c r="AQ13" i="58"/>
  <c r="AD15" i="58"/>
  <c r="AE15" i="58"/>
  <c r="AF15" i="58"/>
  <c r="AG15" i="58"/>
  <c r="AH15" i="58"/>
  <c r="AI15" i="58"/>
  <c r="AJ15" i="58"/>
  <c r="AK15" i="58"/>
  <c r="AL15" i="58"/>
  <c r="AM15" i="58"/>
  <c r="AN15" i="58"/>
  <c r="AO15" i="58"/>
  <c r="AP15" i="58"/>
  <c r="AQ15" i="58"/>
  <c r="AC10" i="58"/>
  <c r="AC13" i="58"/>
  <c r="AC15" i="58"/>
  <c r="C5" i="58"/>
  <c r="AD16" i="58"/>
  <c r="AE16" i="58"/>
  <c r="AF16" i="58"/>
  <c r="AG16" i="58"/>
  <c r="AH16" i="58"/>
  <c r="AI16" i="58"/>
  <c r="AJ16" i="58"/>
  <c r="AK16" i="58"/>
  <c r="AL16" i="58"/>
  <c r="AM16" i="58"/>
  <c r="AN16" i="58"/>
  <c r="AO16" i="58"/>
  <c r="AP16" i="58"/>
  <c r="AQ16" i="58"/>
  <c r="AB10" i="58"/>
  <c r="AB13" i="58"/>
  <c r="AB15" i="58"/>
  <c r="AC16" i="58"/>
  <c r="AD17" i="58"/>
  <c r="AE17" i="58"/>
  <c r="AF17" i="58"/>
  <c r="AG17" i="58"/>
  <c r="AH17" i="58"/>
  <c r="AI17" i="58"/>
  <c r="AJ17" i="58"/>
  <c r="AK17" i="58"/>
  <c r="AL17" i="58"/>
  <c r="AM17" i="58"/>
  <c r="AN17" i="58"/>
  <c r="AO17" i="58"/>
  <c r="AP17" i="58"/>
  <c r="AQ17" i="58"/>
  <c r="AA10" i="58"/>
  <c r="AA13" i="58"/>
  <c r="AA15" i="58"/>
  <c r="AB16" i="58"/>
  <c r="AC17" i="58"/>
  <c r="AD18" i="58"/>
  <c r="AE18" i="58"/>
  <c r="AF18" i="58"/>
  <c r="AG18" i="58"/>
  <c r="AH18" i="58"/>
  <c r="AI18" i="58"/>
  <c r="AJ18" i="58"/>
  <c r="AK18" i="58"/>
  <c r="AL18" i="58"/>
  <c r="AM18" i="58"/>
  <c r="AN18" i="58"/>
  <c r="AO18" i="58"/>
  <c r="AP18" i="58"/>
  <c r="AQ18" i="58"/>
  <c r="AD19" i="58"/>
  <c r="AE19" i="58"/>
  <c r="AF19" i="58"/>
  <c r="AG19" i="58"/>
  <c r="AH19" i="58"/>
  <c r="AI19" i="58"/>
  <c r="AJ19" i="58"/>
  <c r="AK19" i="58"/>
  <c r="AL19" i="58"/>
  <c r="AM19" i="58"/>
  <c r="AN19" i="58"/>
  <c r="AO19" i="58"/>
  <c r="AP19" i="58"/>
  <c r="AQ19" i="58"/>
  <c r="J4" i="58"/>
  <c r="AD21" i="58"/>
  <c r="AE21" i="58"/>
  <c r="AF21" i="58"/>
  <c r="AG21" i="58"/>
  <c r="AH21" i="58"/>
  <c r="AI21" i="58"/>
  <c r="AJ21" i="58"/>
  <c r="AK21" i="58"/>
  <c r="AL21" i="58"/>
  <c r="AM21" i="58"/>
  <c r="AN21" i="58"/>
  <c r="AO21" i="58"/>
  <c r="AP21" i="58"/>
  <c r="AQ21" i="58"/>
  <c r="R8" i="58"/>
  <c r="S8" i="58"/>
  <c r="T8" i="58"/>
  <c r="U8" i="58"/>
  <c r="V8" i="58"/>
  <c r="W8" i="58"/>
  <c r="X8" i="58"/>
  <c r="Y8" i="58"/>
  <c r="Z8" i="58"/>
  <c r="AA8" i="58"/>
  <c r="AB8" i="58"/>
  <c r="AC8" i="58"/>
  <c r="R9" i="58"/>
  <c r="S9" i="58"/>
  <c r="T9" i="58"/>
  <c r="U9" i="58"/>
  <c r="V9" i="58"/>
  <c r="W9" i="58"/>
  <c r="X9" i="58"/>
  <c r="Y9" i="58"/>
  <c r="Z9" i="58"/>
  <c r="AA9" i="58"/>
  <c r="AB9" i="58"/>
  <c r="AC9" i="58"/>
  <c r="R10" i="58"/>
  <c r="S10" i="58"/>
  <c r="T10" i="58"/>
  <c r="U10" i="58"/>
  <c r="V10" i="58"/>
  <c r="W10" i="58"/>
  <c r="X10" i="58"/>
  <c r="Y10" i="58"/>
  <c r="Z10" i="58"/>
  <c r="Z26" i="32"/>
  <c r="R11" i="58"/>
  <c r="AA26" i="32"/>
  <c r="S11" i="58"/>
  <c r="AB26" i="32"/>
  <c r="T11" i="58"/>
  <c r="AC26" i="32"/>
  <c r="U11" i="58"/>
  <c r="AD26" i="32"/>
  <c r="V11" i="58"/>
  <c r="AE26" i="32"/>
  <c r="W11" i="58"/>
  <c r="AF26" i="32"/>
  <c r="X11" i="58"/>
  <c r="AG26" i="32"/>
  <c r="Y11" i="58"/>
  <c r="AH26" i="32"/>
  <c r="Z11" i="58"/>
  <c r="AI26" i="32"/>
  <c r="AA11" i="58"/>
  <c r="AJ26" i="32"/>
  <c r="AB11" i="58"/>
  <c r="AK26" i="32"/>
  <c r="AC11" i="58"/>
  <c r="R13" i="58"/>
  <c r="S13" i="58"/>
  <c r="T13" i="58"/>
  <c r="U13" i="58"/>
  <c r="V13" i="58"/>
  <c r="W13" i="58"/>
  <c r="X13" i="58"/>
  <c r="Y13" i="58"/>
  <c r="Z13" i="58"/>
  <c r="R15" i="58"/>
  <c r="S15" i="58"/>
  <c r="T15" i="58"/>
  <c r="U15" i="58"/>
  <c r="V15" i="58"/>
  <c r="W15" i="58"/>
  <c r="X15" i="58"/>
  <c r="Y15" i="58"/>
  <c r="Z15" i="58"/>
  <c r="Q10" i="58"/>
  <c r="Q13" i="58"/>
  <c r="Q15" i="58"/>
  <c r="R16" i="58"/>
  <c r="S16" i="58"/>
  <c r="T16" i="58"/>
  <c r="U16" i="58"/>
  <c r="V16" i="58"/>
  <c r="W16" i="58"/>
  <c r="X16" i="58"/>
  <c r="Y16" i="58"/>
  <c r="Z16" i="58"/>
  <c r="AA16" i="58"/>
  <c r="P10" i="58"/>
  <c r="P13" i="58"/>
  <c r="P15" i="58"/>
  <c r="Q16" i="58"/>
  <c r="R17" i="58"/>
  <c r="S17" i="58"/>
  <c r="T17" i="58"/>
  <c r="U17" i="58"/>
  <c r="V17" i="58"/>
  <c r="W17" i="58"/>
  <c r="X17" i="58"/>
  <c r="Y17" i="58"/>
  <c r="Z17" i="58"/>
  <c r="AA17" i="58"/>
  <c r="AB17" i="58"/>
  <c r="O10" i="58"/>
  <c r="O13" i="58"/>
  <c r="O15" i="58"/>
  <c r="P16" i="58"/>
  <c r="Q17" i="58"/>
  <c r="R18" i="58"/>
  <c r="S18" i="58"/>
  <c r="T18" i="58"/>
  <c r="U18" i="58"/>
  <c r="V18" i="58"/>
  <c r="W18" i="58"/>
  <c r="X18" i="58"/>
  <c r="Y18" i="58"/>
  <c r="Z18" i="58"/>
  <c r="AA18" i="58"/>
  <c r="AB18" i="58"/>
  <c r="AC18" i="58"/>
  <c r="R19" i="58"/>
  <c r="S19" i="58"/>
  <c r="T19" i="58"/>
  <c r="U19" i="58"/>
  <c r="V19" i="58"/>
  <c r="W19" i="58"/>
  <c r="X19" i="58"/>
  <c r="Y19" i="58"/>
  <c r="Z19" i="58"/>
  <c r="AA19" i="58"/>
  <c r="AB19" i="58"/>
  <c r="AC19" i="58"/>
  <c r="R21" i="58"/>
  <c r="S21" i="58"/>
  <c r="T21" i="58"/>
  <c r="U21" i="58"/>
  <c r="V21" i="58"/>
  <c r="W21" i="58"/>
  <c r="X21" i="58"/>
  <c r="Y21" i="58"/>
  <c r="Z21" i="58"/>
  <c r="AA21" i="58"/>
  <c r="AB21" i="58"/>
  <c r="AC21" i="58"/>
  <c r="N10" i="58"/>
  <c r="M10" i="58"/>
  <c r="L10" i="58"/>
  <c r="K10" i="58"/>
  <c r="J10" i="58"/>
  <c r="I10" i="58"/>
  <c r="H10" i="58"/>
  <c r="I2" i="58"/>
  <c r="I2" i="38"/>
  <c r="O9" i="2"/>
  <c r="C33" i="40"/>
  <c r="F76" i="2"/>
  <c r="G76" i="2"/>
  <c r="H76" i="2"/>
  <c r="I76" i="2"/>
  <c r="J76" i="2"/>
  <c r="K76" i="2"/>
  <c r="L76" i="2"/>
  <c r="M76" i="2"/>
  <c r="N76" i="2"/>
  <c r="O76" i="2"/>
  <c r="F74" i="2"/>
  <c r="G74" i="2"/>
  <c r="H74" i="2"/>
  <c r="I74" i="2"/>
  <c r="J74" i="2"/>
  <c r="K74" i="2"/>
  <c r="L74" i="2"/>
  <c r="M74" i="2"/>
  <c r="N74" i="2"/>
  <c r="O74" i="2"/>
  <c r="AD35" i="38"/>
  <c r="AC35" i="38"/>
  <c r="AB35" i="38"/>
  <c r="AA35" i="38"/>
  <c r="Z35" i="38"/>
  <c r="Y35" i="38"/>
  <c r="X35" i="38"/>
  <c r="W35" i="38"/>
  <c r="V35" i="38"/>
  <c r="AD34" i="38"/>
  <c r="AC34" i="38"/>
  <c r="AB34" i="38"/>
  <c r="AA34" i="38"/>
  <c r="Z34" i="38"/>
  <c r="Y34" i="38"/>
  <c r="X34" i="38"/>
  <c r="W34" i="38"/>
  <c r="V34" i="38"/>
  <c r="AD33" i="38"/>
  <c r="AC33" i="38"/>
  <c r="AB33" i="38"/>
  <c r="AA33" i="38"/>
  <c r="Z33" i="38"/>
  <c r="Y33" i="38"/>
  <c r="X33" i="38"/>
  <c r="W33" i="38"/>
  <c r="V33" i="38"/>
  <c r="AD32" i="38"/>
  <c r="AC32" i="38"/>
  <c r="AB32" i="38"/>
  <c r="AA32" i="38"/>
  <c r="Z32" i="38"/>
  <c r="Y32" i="38"/>
  <c r="X32" i="38"/>
  <c r="W32" i="38"/>
  <c r="V32" i="38"/>
  <c r="AD31" i="38"/>
  <c r="AC31" i="38"/>
  <c r="AB31" i="38"/>
  <c r="AA31" i="38"/>
  <c r="Z31" i="38"/>
  <c r="Y31" i="38"/>
  <c r="X31" i="38"/>
  <c r="W31" i="38"/>
  <c r="V31" i="38"/>
  <c r="AD30" i="38"/>
  <c r="AC30" i="38"/>
  <c r="AB30" i="38"/>
  <c r="AA30" i="38"/>
  <c r="Z30" i="38"/>
  <c r="Y30" i="38"/>
  <c r="X30" i="38"/>
  <c r="W30" i="38"/>
  <c r="V30" i="38"/>
  <c r="AD29" i="38"/>
  <c r="AC29" i="38"/>
  <c r="AB29" i="38"/>
  <c r="AA29" i="38"/>
  <c r="Z29" i="38"/>
  <c r="Y29" i="38"/>
  <c r="X29" i="38"/>
  <c r="W29" i="38"/>
  <c r="V29" i="38"/>
  <c r="AD28" i="38"/>
  <c r="AC28" i="38"/>
  <c r="AB28" i="38"/>
  <c r="AA28" i="38"/>
  <c r="Z28" i="38"/>
  <c r="Y28" i="38"/>
  <c r="X28" i="38"/>
  <c r="W28" i="38"/>
  <c r="V28" i="38"/>
  <c r="AD27" i="38"/>
  <c r="AC27" i="38"/>
  <c r="AB27" i="38"/>
  <c r="AA27" i="38"/>
  <c r="Z27" i="38"/>
  <c r="Y27" i="38"/>
  <c r="X27" i="38"/>
  <c r="W27" i="38"/>
  <c r="V27" i="38"/>
  <c r="AD26" i="38"/>
  <c r="AC26" i="38"/>
  <c r="AB26" i="38"/>
  <c r="AA26" i="38"/>
  <c r="Z26" i="38"/>
  <c r="Y26" i="38"/>
  <c r="X26" i="38"/>
  <c r="W26" i="38"/>
  <c r="V26" i="38"/>
  <c r="AD25" i="38"/>
  <c r="AC25" i="38"/>
  <c r="AB25" i="38"/>
  <c r="AA25" i="38"/>
  <c r="Z25" i="38"/>
  <c r="Y25" i="38"/>
  <c r="X25" i="38"/>
  <c r="W25" i="38"/>
  <c r="V25" i="38"/>
  <c r="AD24" i="38"/>
  <c r="AC24" i="38"/>
  <c r="AB24" i="38"/>
  <c r="AA24" i="38"/>
  <c r="Z24" i="38"/>
  <c r="Y24" i="38"/>
  <c r="X24" i="38"/>
  <c r="W24" i="38"/>
  <c r="V24" i="38"/>
  <c r="AD23" i="38"/>
  <c r="AC23" i="38"/>
  <c r="AB23" i="38"/>
  <c r="AA23" i="38"/>
  <c r="Z23" i="38"/>
  <c r="Y23" i="38"/>
  <c r="X23" i="38"/>
  <c r="W23" i="38"/>
  <c r="V23" i="38"/>
  <c r="AD22" i="38"/>
  <c r="AC22" i="38"/>
  <c r="AB22" i="38"/>
  <c r="AA22" i="38"/>
  <c r="Z22" i="38"/>
  <c r="Y22" i="38"/>
  <c r="X22" i="38"/>
  <c r="W22" i="38"/>
  <c r="V22" i="38"/>
  <c r="AD21" i="38"/>
  <c r="AC21" i="38"/>
  <c r="AB21" i="38"/>
  <c r="AA21" i="38"/>
  <c r="Z21" i="38"/>
  <c r="Y21" i="38"/>
  <c r="X21" i="38"/>
  <c r="W21" i="38"/>
  <c r="V21" i="38"/>
  <c r="AD20" i="38"/>
  <c r="AC20" i="38"/>
  <c r="AB20" i="38"/>
  <c r="AA20" i="38"/>
  <c r="Z20" i="38"/>
  <c r="Y20" i="38"/>
  <c r="X20" i="38"/>
  <c r="W20" i="38"/>
  <c r="V20" i="38"/>
  <c r="AD19" i="38"/>
  <c r="AC19" i="38"/>
  <c r="AB19" i="38"/>
  <c r="AA19" i="38"/>
  <c r="Z19" i="38"/>
  <c r="Y19" i="38"/>
  <c r="X19" i="38"/>
  <c r="W19" i="38"/>
  <c r="V19" i="38"/>
  <c r="AD18" i="38"/>
  <c r="AC18" i="38"/>
  <c r="AB18" i="38"/>
  <c r="AA18" i="38"/>
  <c r="Z18" i="38"/>
  <c r="Y18" i="38"/>
  <c r="X18" i="38"/>
  <c r="W18" i="38"/>
  <c r="V18" i="38"/>
  <c r="AD17" i="38"/>
  <c r="AC17" i="38"/>
  <c r="AB17" i="38"/>
  <c r="AA17" i="38"/>
  <c r="Z17" i="38"/>
  <c r="Y17" i="38"/>
  <c r="X17" i="38"/>
  <c r="W17" i="38"/>
  <c r="V17" i="38"/>
  <c r="AD16" i="38"/>
  <c r="AC16" i="38"/>
  <c r="AB16" i="38"/>
  <c r="AA16" i="38"/>
  <c r="Z16" i="38"/>
  <c r="Y16" i="38"/>
  <c r="X16" i="38"/>
  <c r="W16" i="38"/>
  <c r="V16" i="38"/>
  <c r="AD15" i="38"/>
  <c r="AC15" i="38"/>
  <c r="AB15" i="38"/>
  <c r="AA15" i="38"/>
  <c r="Z15" i="38"/>
  <c r="Y15" i="38"/>
  <c r="X15" i="38"/>
  <c r="W15" i="38"/>
  <c r="V15" i="38"/>
  <c r="AD14" i="38"/>
  <c r="AC14" i="38"/>
  <c r="AB14" i="38"/>
  <c r="AA14" i="38"/>
  <c r="Z14" i="38"/>
  <c r="Y14" i="38"/>
  <c r="X14" i="38"/>
  <c r="W14" i="38"/>
  <c r="V14" i="38"/>
  <c r="AD13" i="38"/>
  <c r="AC13" i="38"/>
  <c r="AB13" i="38"/>
  <c r="AA13" i="38"/>
  <c r="Z13" i="38"/>
  <c r="Y13" i="38"/>
  <c r="X13" i="38"/>
  <c r="W13" i="38"/>
  <c r="V13" i="38"/>
  <c r="AD12" i="38"/>
  <c r="AC12" i="38"/>
  <c r="AB12" i="38"/>
  <c r="AA12" i="38"/>
  <c r="Z12" i="38"/>
  <c r="Y12" i="38"/>
  <c r="X12" i="38"/>
  <c r="W12" i="38"/>
  <c r="V12" i="38"/>
  <c r="AD11" i="38"/>
  <c r="AC11" i="38"/>
  <c r="AB11" i="38"/>
  <c r="AA11" i="38"/>
  <c r="Z11" i="38"/>
  <c r="Y11" i="38"/>
  <c r="X11" i="38"/>
  <c r="W11" i="38"/>
  <c r="V11" i="38"/>
  <c r="AD10" i="38"/>
  <c r="AC10" i="38"/>
  <c r="AB10" i="38"/>
  <c r="AA10" i="38"/>
  <c r="Z10" i="38"/>
  <c r="Y10" i="38"/>
  <c r="X10" i="38"/>
  <c r="W10" i="38"/>
  <c r="V10" i="38"/>
  <c r="AD9" i="38"/>
  <c r="AC9" i="38"/>
  <c r="AB9" i="38"/>
  <c r="AA9" i="38"/>
  <c r="Z9" i="38"/>
  <c r="Y9" i="38"/>
  <c r="X9" i="38"/>
  <c r="W9" i="38"/>
  <c r="V9" i="38"/>
  <c r="AD8" i="38"/>
  <c r="AC8" i="38"/>
  <c r="AB8" i="38"/>
  <c r="AA8" i="38"/>
  <c r="Z8" i="38"/>
  <c r="Y8" i="38"/>
  <c r="X8" i="38"/>
  <c r="W8" i="38"/>
  <c r="V8" i="38"/>
  <c r="AD7" i="38"/>
  <c r="AC7" i="38"/>
  <c r="AB7" i="38"/>
  <c r="AA7" i="38"/>
  <c r="Z7" i="38"/>
  <c r="Y7" i="38"/>
  <c r="X7" i="38"/>
  <c r="W7" i="38"/>
  <c r="V7" i="38"/>
  <c r="AD6" i="38"/>
  <c r="AC6" i="38"/>
  <c r="AB6" i="38"/>
  <c r="AA6" i="38"/>
  <c r="Z6" i="38"/>
  <c r="Y6" i="38"/>
  <c r="X6" i="38"/>
  <c r="W6" i="38"/>
  <c r="V6" i="38"/>
  <c r="AD5" i="38"/>
  <c r="AC5" i="38"/>
  <c r="AB5" i="38"/>
  <c r="AA5" i="38"/>
  <c r="Z5" i="38"/>
  <c r="Y5" i="38"/>
  <c r="X5" i="38"/>
  <c r="W5" i="38"/>
  <c r="V5" i="38"/>
  <c r="U35" i="38"/>
  <c r="U34" i="38"/>
  <c r="U33" i="38"/>
  <c r="U32" i="38"/>
  <c r="U31" i="38"/>
  <c r="U30" i="38"/>
  <c r="U29" i="38"/>
  <c r="U28" i="38"/>
  <c r="U27" i="38"/>
  <c r="U26" i="38"/>
  <c r="U25" i="38"/>
  <c r="U24" i="38"/>
  <c r="U23" i="38"/>
  <c r="U22" i="38"/>
  <c r="U21" i="38"/>
  <c r="U20" i="38"/>
  <c r="U19" i="38"/>
  <c r="U18" i="38"/>
  <c r="U17" i="38"/>
  <c r="U16" i="38"/>
  <c r="U15" i="38"/>
  <c r="U14" i="38"/>
  <c r="U13" i="38"/>
  <c r="U12" i="38"/>
  <c r="U11" i="38"/>
  <c r="U10" i="38"/>
  <c r="U9" i="38"/>
  <c r="U8" i="38"/>
  <c r="U7" i="38"/>
  <c r="U6" i="38"/>
  <c r="J34" i="38"/>
  <c r="I34" i="38"/>
  <c r="J33" i="38"/>
  <c r="I33" i="38"/>
  <c r="J32" i="38"/>
  <c r="I32" i="38"/>
  <c r="J31" i="38"/>
  <c r="I31" i="38"/>
  <c r="J30" i="38"/>
  <c r="I30" i="38"/>
  <c r="J29" i="38"/>
  <c r="I29" i="38"/>
  <c r="J28" i="38"/>
  <c r="I28" i="38"/>
  <c r="J27" i="38"/>
  <c r="I27" i="38"/>
  <c r="J26" i="38"/>
  <c r="I26" i="38"/>
  <c r="J25" i="38"/>
  <c r="I25" i="38"/>
  <c r="J24" i="38"/>
  <c r="I24" i="38"/>
  <c r="J23" i="38"/>
  <c r="I23" i="38"/>
  <c r="J22" i="38"/>
  <c r="I22" i="38"/>
  <c r="J21" i="38"/>
  <c r="I21" i="38"/>
  <c r="J20" i="38"/>
  <c r="I20" i="38"/>
  <c r="J19" i="38"/>
  <c r="I19" i="38"/>
  <c r="J18" i="38"/>
  <c r="I18" i="38"/>
  <c r="J17" i="38"/>
  <c r="I17" i="38"/>
  <c r="J16" i="38"/>
  <c r="I16" i="38"/>
  <c r="J15" i="38"/>
  <c r="I15" i="38"/>
  <c r="J14" i="38"/>
  <c r="I14" i="38"/>
  <c r="J13" i="38"/>
  <c r="I13" i="38"/>
  <c r="J12" i="38"/>
  <c r="I12" i="38"/>
  <c r="J11" i="38"/>
  <c r="I11" i="38"/>
  <c r="J10" i="38"/>
  <c r="I10" i="38"/>
  <c r="J9" i="38"/>
  <c r="I9" i="38"/>
  <c r="J8" i="38"/>
  <c r="I8" i="38"/>
  <c r="J7" i="38"/>
  <c r="I7" i="38"/>
  <c r="J6" i="38"/>
  <c r="I6" i="38"/>
  <c r="J5" i="38"/>
  <c r="I5" i="38"/>
  <c r="U5" i="38"/>
  <c r="C23" i="2"/>
  <c r="F23" i="2"/>
  <c r="D23" i="2"/>
  <c r="L36" i="38"/>
  <c r="M7" i="2"/>
  <c r="C22" i="2"/>
  <c r="C24" i="2"/>
  <c r="C28" i="2"/>
  <c r="H11" i="2"/>
  <c r="N24" i="2"/>
  <c r="R5" i="2"/>
  <c r="M6" i="38"/>
  <c r="M7" i="38"/>
  <c r="M8" i="38"/>
  <c r="M9" i="38"/>
  <c r="M10" i="38"/>
  <c r="M11" i="38"/>
  <c r="M12" i="38"/>
  <c r="M13" i="38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28" i="38"/>
  <c r="M29" i="38"/>
  <c r="M30" i="38"/>
  <c r="M31" i="38"/>
  <c r="M32" i="38"/>
  <c r="M33" i="38"/>
  <c r="M34" i="38"/>
  <c r="M5" i="38"/>
  <c r="Q6" i="38"/>
  <c r="Q7" i="38"/>
  <c r="Q8" i="38"/>
  <c r="Q9" i="38"/>
  <c r="Q10" i="38"/>
  <c r="Q11" i="38"/>
  <c r="Q12" i="38"/>
  <c r="Q13" i="38"/>
  <c r="Q14" i="38"/>
  <c r="Q15" i="38"/>
  <c r="Q16" i="38"/>
  <c r="Q17" i="38"/>
  <c r="Q18" i="38"/>
  <c r="Q19" i="38"/>
  <c r="Q20" i="38"/>
  <c r="Q21" i="38"/>
  <c r="Q22" i="38"/>
  <c r="Q23" i="38"/>
  <c r="Q24" i="38"/>
  <c r="Q25" i="38"/>
  <c r="Q26" i="38"/>
  <c r="Q27" i="38"/>
  <c r="Q28" i="38"/>
  <c r="Q29" i="38"/>
  <c r="Q30" i="38"/>
  <c r="Q31" i="38"/>
  <c r="Q32" i="38"/>
  <c r="Q33" i="38"/>
  <c r="Q34" i="38"/>
  <c r="Q35" i="38"/>
  <c r="Q5" i="38"/>
  <c r="G8" i="2"/>
  <c r="K13" i="2"/>
  <c r="T4" i="38"/>
  <c r="K14" i="2"/>
  <c r="U4" i="38"/>
  <c r="K15" i="2"/>
  <c r="V4" i="38"/>
  <c r="K16" i="2"/>
  <c r="W4" i="38"/>
  <c r="K17" i="2"/>
  <c r="X4" i="38"/>
  <c r="K18" i="2"/>
  <c r="Y4" i="38"/>
  <c r="K19" i="2"/>
  <c r="Z4" i="38"/>
  <c r="K20" i="2"/>
  <c r="AA4" i="38"/>
  <c r="K21" i="2"/>
  <c r="AB4" i="38"/>
  <c r="K22" i="2"/>
  <c r="AC4" i="38"/>
  <c r="K23" i="2"/>
  <c r="AD4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F11" i="40"/>
  <c r="G11" i="40"/>
  <c r="H11" i="40"/>
  <c r="I11" i="40"/>
  <c r="J11" i="40"/>
  <c r="K11" i="40"/>
  <c r="L11" i="40"/>
  <c r="M11" i="40"/>
  <c r="N11" i="40"/>
  <c r="O11" i="40"/>
  <c r="P11" i="40"/>
  <c r="P11" i="32"/>
  <c r="Q10" i="32"/>
  <c r="Q11" i="32"/>
  <c r="R10" i="32"/>
  <c r="R11" i="32"/>
  <c r="S10" i="32"/>
  <c r="S11" i="32"/>
  <c r="T10" i="32"/>
  <c r="T11" i="32"/>
  <c r="U10" i="32"/>
  <c r="U11" i="32"/>
  <c r="V10" i="32"/>
  <c r="V11" i="32"/>
  <c r="W10" i="32"/>
  <c r="W11" i="32"/>
  <c r="X10" i="32"/>
  <c r="X11" i="32"/>
  <c r="Y10" i="32"/>
  <c r="Y11" i="32"/>
  <c r="Z10" i="32"/>
  <c r="Z11" i="32"/>
  <c r="AA10" i="32"/>
  <c r="AA11" i="32"/>
  <c r="AB10" i="32"/>
  <c r="AB11" i="32"/>
  <c r="AC10" i="32"/>
  <c r="AC11" i="32"/>
  <c r="AD10" i="32"/>
  <c r="AD11" i="32"/>
  <c r="AE10" i="32"/>
  <c r="AE11" i="32"/>
  <c r="AF10" i="32"/>
  <c r="AF11" i="32"/>
  <c r="AG10" i="32"/>
  <c r="AG11" i="32"/>
  <c r="AH10" i="32"/>
  <c r="AH11" i="32"/>
  <c r="AI10" i="32"/>
  <c r="AI11" i="32"/>
  <c r="AJ10" i="32"/>
  <c r="AJ11" i="32"/>
  <c r="AK10" i="32"/>
  <c r="AK11" i="32"/>
  <c r="AL10" i="32"/>
  <c r="AL11" i="32"/>
  <c r="AM10" i="32"/>
  <c r="AM11" i="32"/>
  <c r="AN10" i="32"/>
  <c r="AN11" i="32"/>
  <c r="AO10" i="32"/>
  <c r="AO11" i="32"/>
  <c r="AP10" i="32"/>
  <c r="AP11" i="32"/>
  <c r="AQ10" i="32"/>
  <c r="AQ11" i="32"/>
  <c r="AR10" i="32"/>
  <c r="AR11" i="32"/>
  <c r="AS10" i="32"/>
  <c r="AS11" i="32"/>
  <c r="AT10" i="32"/>
  <c r="AT11" i="32"/>
  <c r="AU10" i="32"/>
  <c r="AU11" i="32"/>
  <c r="AV10" i="32"/>
  <c r="AV11" i="32"/>
  <c r="AW10" i="32"/>
  <c r="AW11" i="32"/>
  <c r="AX10" i="32"/>
  <c r="AX11" i="32"/>
  <c r="AY10" i="32"/>
  <c r="AY11" i="32"/>
  <c r="AZ10" i="32"/>
  <c r="AZ11" i="32"/>
  <c r="BA10" i="32"/>
  <c r="BA11" i="32"/>
  <c r="BB10" i="32"/>
  <c r="BB11" i="32"/>
  <c r="BC10" i="32"/>
  <c r="BC11" i="32"/>
  <c r="BD10" i="32"/>
  <c r="BD11" i="32"/>
  <c r="BE10" i="32"/>
  <c r="BE11" i="32"/>
  <c r="BF10" i="32"/>
  <c r="BF11" i="32"/>
  <c r="BG10" i="32"/>
  <c r="BG11" i="32"/>
  <c r="BH10" i="32"/>
  <c r="BH11" i="32"/>
  <c r="BI10" i="32"/>
  <c r="BI11" i="32"/>
  <c r="BJ10" i="32"/>
  <c r="BJ11" i="32"/>
  <c r="BK10" i="32"/>
  <c r="BK11" i="32"/>
  <c r="BL10" i="32"/>
  <c r="BL11" i="32"/>
  <c r="BM10" i="32"/>
  <c r="BM11" i="32"/>
  <c r="BN10" i="32"/>
  <c r="BN11" i="32"/>
  <c r="BO10" i="32"/>
  <c r="BO11" i="32"/>
  <c r="BP10" i="32"/>
  <c r="BP11" i="32"/>
  <c r="BQ10" i="32"/>
  <c r="BQ11" i="32"/>
  <c r="BR10" i="32"/>
  <c r="BR11" i="32"/>
  <c r="BS10" i="32"/>
  <c r="BS11" i="32"/>
  <c r="BT10" i="32"/>
  <c r="BT11" i="32"/>
  <c r="BU10" i="32"/>
  <c r="BU11" i="32"/>
  <c r="BV10" i="32"/>
  <c r="BV11" i="32"/>
  <c r="BW10" i="32"/>
  <c r="BW11" i="32"/>
  <c r="BX10" i="32"/>
  <c r="BX11" i="32"/>
  <c r="BY10" i="32"/>
  <c r="BY11" i="32"/>
  <c r="BZ10" i="32"/>
  <c r="BZ11" i="32"/>
  <c r="CA10" i="32"/>
  <c r="CA11" i="32"/>
  <c r="CB10" i="32"/>
  <c r="CB11" i="32"/>
  <c r="CC10" i="32"/>
  <c r="CC11" i="32"/>
  <c r="CD10" i="32"/>
  <c r="CD11" i="32"/>
  <c r="CE10" i="32"/>
  <c r="CE11" i="32"/>
  <c r="CF10" i="32"/>
  <c r="CF11" i="32"/>
  <c r="CG10" i="32"/>
  <c r="CG11" i="32"/>
  <c r="CH10" i="32"/>
  <c r="CH11" i="32"/>
  <c r="CI10" i="32"/>
  <c r="CI11" i="32"/>
  <c r="CJ10" i="32"/>
  <c r="CJ11" i="32"/>
  <c r="CK10" i="32"/>
  <c r="CK11" i="32"/>
  <c r="CL10" i="32"/>
  <c r="CL11" i="32"/>
  <c r="CM10" i="32"/>
  <c r="CM11" i="32"/>
  <c r="CN10" i="32"/>
  <c r="CN11" i="32"/>
  <c r="CO10" i="32"/>
  <c r="CO11" i="32"/>
  <c r="CP10" i="32"/>
  <c r="CP11" i="32"/>
  <c r="CQ10" i="32"/>
  <c r="CQ11" i="32"/>
  <c r="CR10" i="32"/>
  <c r="CR11" i="32"/>
  <c r="CS10" i="32"/>
  <c r="CS11" i="32"/>
  <c r="CT10" i="32"/>
  <c r="CT11" i="32"/>
  <c r="CU10" i="32"/>
  <c r="CU11" i="32"/>
  <c r="CV10" i="32"/>
  <c r="CV11" i="32"/>
  <c r="CW10" i="32"/>
  <c r="CW11" i="32"/>
  <c r="CX10" i="32"/>
  <c r="CX11" i="32"/>
  <c r="CY10" i="32"/>
  <c r="CY11" i="32"/>
  <c r="CZ10" i="32"/>
  <c r="CZ11" i="32"/>
  <c r="DA10" i="32"/>
  <c r="DA11" i="32"/>
  <c r="DB10" i="32"/>
  <c r="DB11" i="32"/>
  <c r="DC10" i="32"/>
  <c r="DC11" i="32"/>
  <c r="DD10" i="32"/>
  <c r="DD11" i="32"/>
  <c r="DE10" i="32"/>
  <c r="DE11" i="32"/>
  <c r="DF10" i="32"/>
  <c r="DF11" i="32"/>
  <c r="DG10" i="32"/>
  <c r="DG11" i="32"/>
  <c r="DH10" i="32"/>
  <c r="DH11" i="32"/>
  <c r="DI10" i="32"/>
  <c r="DI11" i="32"/>
  <c r="DJ10" i="32"/>
  <c r="DJ11" i="32"/>
  <c r="DK10" i="32"/>
  <c r="DK11" i="32"/>
  <c r="DL10" i="32"/>
  <c r="DL11" i="32"/>
  <c r="DM10" i="32"/>
  <c r="DM11" i="32"/>
  <c r="DN10" i="32"/>
  <c r="DN11" i="32"/>
  <c r="DO10" i="32"/>
  <c r="DO11" i="32"/>
  <c r="DP10" i="32"/>
  <c r="DP11" i="32"/>
  <c r="DQ10" i="32"/>
  <c r="DQ11" i="32"/>
  <c r="DR10" i="32"/>
  <c r="DR11" i="32"/>
  <c r="DS10" i="32"/>
  <c r="DS11" i="32"/>
  <c r="DT10" i="32"/>
  <c r="DT11" i="32"/>
  <c r="DU10" i="32"/>
  <c r="DU11" i="32"/>
  <c r="DV10" i="32"/>
  <c r="DV11" i="32"/>
  <c r="DW10" i="32"/>
  <c r="DW11" i="32"/>
  <c r="DX10" i="32"/>
  <c r="DX11" i="32"/>
  <c r="DY10" i="32"/>
  <c r="DY11" i="32"/>
  <c r="DZ10" i="32"/>
  <c r="DZ11" i="32"/>
  <c r="EA10" i="32"/>
  <c r="EA11" i="32"/>
  <c r="EB10" i="32"/>
  <c r="EB11" i="32"/>
  <c r="EC10" i="32"/>
  <c r="EC11" i="32"/>
  <c r="ED10" i="32"/>
  <c r="ED11" i="32"/>
  <c r="EE10" i="32"/>
  <c r="EE11" i="32"/>
  <c r="EF10" i="32"/>
  <c r="EF11" i="32"/>
  <c r="EG10" i="32"/>
  <c r="EG11" i="32"/>
  <c r="EH10" i="32"/>
  <c r="EH11" i="32"/>
  <c r="EI10" i="32"/>
  <c r="EI11" i="32"/>
  <c r="EJ10" i="32"/>
  <c r="EJ11" i="32"/>
  <c r="EK10" i="32"/>
  <c r="EK11" i="32"/>
  <c r="EL10" i="32"/>
  <c r="EL11" i="32"/>
  <c r="EM10" i="32"/>
  <c r="EM11" i="32"/>
  <c r="EN10" i="32"/>
  <c r="EN11" i="32"/>
  <c r="EO10" i="32"/>
  <c r="EO11" i="32"/>
  <c r="EP10" i="32"/>
  <c r="EP11" i="32"/>
  <c r="EQ10" i="32"/>
  <c r="EQ11" i="32"/>
  <c r="P58" i="40"/>
  <c r="O58" i="40"/>
  <c r="N58" i="40"/>
  <c r="M58" i="40"/>
  <c r="L58" i="40"/>
  <c r="K58" i="40"/>
  <c r="J58" i="40"/>
  <c r="I58" i="40"/>
  <c r="H58" i="40"/>
  <c r="G58" i="40"/>
  <c r="F58" i="40"/>
  <c r="E58" i="40"/>
  <c r="P84" i="32"/>
  <c r="Q84" i="32"/>
  <c r="R84" i="32"/>
  <c r="S84" i="32"/>
  <c r="T84" i="32"/>
  <c r="U84" i="32"/>
  <c r="V84" i="32"/>
  <c r="W84" i="32"/>
  <c r="X84" i="32"/>
  <c r="Y84" i="32"/>
  <c r="Z84" i="32"/>
  <c r="AA84" i="32"/>
  <c r="E59" i="40"/>
  <c r="K36" i="38"/>
  <c r="K38" i="38"/>
  <c r="N35" i="32"/>
  <c r="N43" i="32"/>
  <c r="N44" i="32"/>
  <c r="N45" i="32"/>
  <c r="N46" i="32"/>
  <c r="N37" i="32"/>
  <c r="N48" i="32"/>
  <c r="N50" i="32"/>
  <c r="N51" i="32"/>
  <c r="N52" i="32"/>
  <c r="N54" i="32"/>
  <c r="D44" i="2"/>
  <c r="N56" i="32"/>
  <c r="N58" i="32"/>
  <c r="N59" i="32"/>
  <c r="N60" i="32"/>
  <c r="N63" i="32"/>
  <c r="N65" i="32"/>
  <c r="N66" i="32"/>
  <c r="N67" i="32"/>
  <c r="N68" i="32"/>
  <c r="N69" i="32"/>
  <c r="N70" i="32"/>
  <c r="N72" i="32"/>
  <c r="N73" i="32"/>
  <c r="N74" i="32"/>
  <c r="N75" i="32"/>
  <c r="N76" i="32"/>
  <c r="N78" i="32"/>
  <c r="N80" i="32"/>
  <c r="N82" i="32"/>
  <c r="N84" i="32"/>
  <c r="N85" i="32"/>
  <c r="N87" i="32"/>
  <c r="P43" i="32"/>
  <c r="Q43" i="32"/>
  <c r="P6" i="32"/>
  <c r="Q6" i="32"/>
  <c r="R6" i="32"/>
  <c r="S6" i="32"/>
  <c r="T6" i="32"/>
  <c r="U6" i="32"/>
  <c r="V6" i="32"/>
  <c r="W6" i="32"/>
  <c r="X6" i="32"/>
  <c r="Y6" i="32"/>
  <c r="Z6" i="32"/>
  <c r="AA6" i="32"/>
  <c r="AB6" i="32"/>
  <c r="AC6" i="32"/>
  <c r="AD6" i="32"/>
  <c r="AE6" i="32"/>
  <c r="AF6" i="32"/>
  <c r="AG6" i="32"/>
  <c r="AH6" i="32"/>
  <c r="AI6" i="32"/>
  <c r="AJ6" i="32"/>
  <c r="AK6" i="32"/>
  <c r="AL6" i="32"/>
  <c r="AM6" i="32"/>
  <c r="AN6" i="32"/>
  <c r="AO6" i="32"/>
  <c r="AP6" i="32"/>
  <c r="AQ6" i="32"/>
  <c r="AR6" i="32"/>
  <c r="AS6" i="32"/>
  <c r="AT6" i="32"/>
  <c r="AU6" i="32"/>
  <c r="AV6" i="32"/>
  <c r="AW6" i="32"/>
  <c r="AX6" i="32"/>
  <c r="AY6" i="32"/>
  <c r="AZ6" i="32"/>
  <c r="BA6" i="32"/>
  <c r="BB6" i="32"/>
  <c r="BC6" i="32"/>
  <c r="BD6" i="32"/>
  <c r="BE6" i="32"/>
  <c r="BF6" i="32"/>
  <c r="BG6" i="32"/>
  <c r="BH6" i="32"/>
  <c r="BI6" i="32"/>
  <c r="BJ6" i="32"/>
  <c r="BK6" i="32"/>
  <c r="BL6" i="32"/>
  <c r="BM6" i="32"/>
  <c r="BN6" i="32"/>
  <c r="BO6" i="32"/>
  <c r="BP6" i="32"/>
  <c r="BQ6" i="32"/>
  <c r="BR6" i="32"/>
  <c r="BS6" i="32"/>
  <c r="BT6" i="32"/>
  <c r="BU6" i="32"/>
  <c r="BV6" i="32"/>
  <c r="BW6" i="32"/>
  <c r="BX6" i="32"/>
  <c r="BY6" i="32"/>
  <c r="BZ6" i="32"/>
  <c r="CA6" i="32"/>
  <c r="CB6" i="32"/>
  <c r="CC6" i="32"/>
  <c r="CD6" i="32"/>
  <c r="CE6" i="32"/>
  <c r="CF6" i="32"/>
  <c r="CG6" i="32"/>
  <c r="CH6" i="32"/>
  <c r="CI6" i="32"/>
  <c r="CJ6" i="32"/>
  <c r="CK6" i="32"/>
  <c r="CL6" i="32"/>
  <c r="CM6" i="32"/>
  <c r="CN6" i="32"/>
  <c r="CO6" i="32"/>
  <c r="CP6" i="32"/>
  <c r="CQ6" i="32"/>
  <c r="CR6" i="32"/>
  <c r="CS6" i="32"/>
  <c r="CT6" i="32"/>
  <c r="CU6" i="32"/>
  <c r="CV6" i="32"/>
  <c r="CW6" i="32"/>
  <c r="CX6" i="32"/>
  <c r="CY6" i="32"/>
  <c r="CZ6" i="32"/>
  <c r="DA6" i="32"/>
  <c r="DB6" i="32"/>
  <c r="DC6" i="32"/>
  <c r="DD6" i="32"/>
  <c r="DE6" i="32"/>
  <c r="DF6" i="32"/>
  <c r="DG6" i="32"/>
  <c r="DH6" i="32"/>
  <c r="DI6" i="32"/>
  <c r="DJ6" i="32"/>
  <c r="DK6" i="32"/>
  <c r="DL6" i="32"/>
  <c r="DM6" i="32"/>
  <c r="DN6" i="32"/>
  <c r="DO6" i="32"/>
  <c r="DP6" i="32"/>
  <c r="DQ6" i="32"/>
  <c r="DR6" i="32"/>
  <c r="DS6" i="32"/>
  <c r="DT6" i="32"/>
  <c r="DU6" i="32"/>
  <c r="DV6" i="32"/>
  <c r="DW6" i="32"/>
  <c r="DX6" i="32"/>
  <c r="DY6" i="32"/>
  <c r="DZ6" i="32"/>
  <c r="EA6" i="32"/>
  <c r="EB6" i="32"/>
  <c r="EC6" i="32"/>
  <c r="ED6" i="32"/>
  <c r="EE6" i="32"/>
  <c r="EF6" i="32"/>
  <c r="EG6" i="32"/>
  <c r="EH6" i="32"/>
  <c r="EI6" i="32"/>
  <c r="EJ6" i="32"/>
  <c r="EK6" i="32"/>
  <c r="EL6" i="32"/>
  <c r="EM6" i="32"/>
  <c r="EN6" i="32"/>
  <c r="EO6" i="32"/>
  <c r="EP6" i="32"/>
  <c r="EQ6" i="32"/>
  <c r="H10" i="2"/>
  <c r="G10" i="2"/>
  <c r="F22" i="2"/>
  <c r="G22" i="2"/>
  <c r="G23" i="2"/>
  <c r="F24" i="2"/>
  <c r="G24" i="2"/>
  <c r="G28" i="2"/>
  <c r="P35" i="32"/>
  <c r="D74" i="2"/>
  <c r="E74" i="2"/>
  <c r="E72" i="2"/>
  <c r="P46" i="32"/>
  <c r="P38" i="32"/>
  <c r="P42" i="32"/>
  <c r="D22" i="2"/>
  <c r="E22" i="2"/>
  <c r="E23" i="2"/>
  <c r="D24" i="2"/>
  <c r="E24" i="2"/>
  <c r="E28" i="2"/>
  <c r="F11" i="2"/>
  <c r="P12" i="32"/>
  <c r="D28" i="2"/>
  <c r="C40" i="32"/>
  <c r="P37" i="32"/>
  <c r="P44" i="32"/>
  <c r="P45" i="32"/>
  <c r="P48" i="32"/>
  <c r="D75" i="2"/>
  <c r="P50" i="32"/>
  <c r="P51" i="32"/>
  <c r="D76" i="2"/>
  <c r="E76" i="2"/>
  <c r="P52" i="32"/>
  <c r="P54" i="32"/>
  <c r="H35" i="2"/>
  <c r="H36" i="2"/>
  <c r="H37" i="2"/>
  <c r="H38" i="2"/>
  <c r="H39" i="2"/>
  <c r="H40" i="2"/>
  <c r="H41" i="2"/>
  <c r="H42" i="2"/>
  <c r="H43" i="2"/>
  <c r="H44" i="2"/>
  <c r="P56" i="32"/>
  <c r="D77" i="2"/>
  <c r="E77" i="2"/>
  <c r="P58" i="32"/>
  <c r="H46" i="2"/>
  <c r="P59" i="32"/>
  <c r="P60" i="32"/>
  <c r="F52" i="2"/>
  <c r="P63" i="32"/>
  <c r="P64" i="32"/>
  <c r="F53" i="2"/>
  <c r="P65" i="32"/>
  <c r="F54" i="2"/>
  <c r="P66" i="32"/>
  <c r="F55" i="2"/>
  <c r="P67" i="32"/>
  <c r="F56" i="2"/>
  <c r="P68" i="32"/>
  <c r="F57" i="2"/>
  <c r="P69" i="32"/>
  <c r="F58" i="2"/>
  <c r="P70" i="32"/>
  <c r="P71" i="32"/>
  <c r="F59" i="2"/>
  <c r="P72" i="32"/>
  <c r="F60" i="2"/>
  <c r="P73" i="32"/>
  <c r="F63" i="2"/>
  <c r="P74" i="32"/>
  <c r="F64" i="2"/>
  <c r="P75" i="32"/>
  <c r="F65" i="2"/>
  <c r="P76" i="32"/>
  <c r="P78" i="32"/>
  <c r="P80" i="32"/>
  <c r="P85" i="32"/>
  <c r="P87" i="32"/>
  <c r="R43" i="32"/>
  <c r="Q12" i="32"/>
  <c r="Q35" i="32"/>
  <c r="Q46" i="32"/>
  <c r="Q38" i="32"/>
  <c r="Q39" i="32"/>
  <c r="Q42" i="32"/>
  <c r="Q37" i="32"/>
  <c r="Q44" i="32"/>
  <c r="Q45" i="32"/>
  <c r="Q48" i="32"/>
  <c r="Q50" i="32"/>
  <c r="Q51" i="32"/>
  <c r="Q52" i="32"/>
  <c r="Q54" i="32"/>
  <c r="Q56" i="32"/>
  <c r="Q58" i="32"/>
  <c r="Q59" i="32"/>
  <c r="Q60" i="32"/>
  <c r="Q63" i="32"/>
  <c r="Q64" i="32"/>
  <c r="Q65" i="32"/>
  <c r="Q66" i="32"/>
  <c r="Q67" i="32"/>
  <c r="Q68" i="32"/>
  <c r="Q69" i="32"/>
  <c r="Q70" i="32"/>
  <c r="Q71" i="32"/>
  <c r="Q72" i="32"/>
  <c r="Q73" i="32"/>
  <c r="Q74" i="32"/>
  <c r="Q75" i="32"/>
  <c r="Q76" i="32"/>
  <c r="Q78" i="32"/>
  <c r="Q80" i="32"/>
  <c r="Q85" i="32"/>
  <c r="Q87" i="32"/>
  <c r="S43" i="32"/>
  <c r="R12" i="32"/>
  <c r="R35" i="32"/>
  <c r="R46" i="32"/>
  <c r="R38" i="32"/>
  <c r="R39" i="32"/>
  <c r="R40" i="32"/>
  <c r="R42" i="32"/>
  <c r="R37" i="32"/>
  <c r="R44" i="32"/>
  <c r="R45" i="32"/>
  <c r="R48" i="32"/>
  <c r="R50" i="32"/>
  <c r="R51" i="32"/>
  <c r="R52" i="32"/>
  <c r="R54" i="32"/>
  <c r="R56" i="32"/>
  <c r="R58" i="32"/>
  <c r="R59" i="32"/>
  <c r="R60" i="32"/>
  <c r="R63" i="32"/>
  <c r="R64" i="32"/>
  <c r="R65" i="32"/>
  <c r="R66" i="32"/>
  <c r="R67" i="32"/>
  <c r="R68" i="32"/>
  <c r="R69" i="32"/>
  <c r="R70" i="32"/>
  <c r="R71" i="32"/>
  <c r="R72" i="32"/>
  <c r="R73" i="32"/>
  <c r="R74" i="32"/>
  <c r="R75" i="32"/>
  <c r="R76" i="32"/>
  <c r="R78" i="32"/>
  <c r="R80" i="32"/>
  <c r="R85" i="32"/>
  <c r="R87" i="32"/>
  <c r="T43" i="32"/>
  <c r="S12" i="32"/>
  <c r="S35" i="32"/>
  <c r="S46" i="32"/>
  <c r="S38" i="32"/>
  <c r="S39" i="32"/>
  <c r="S40" i="32"/>
  <c r="S41" i="32"/>
  <c r="S42" i="32"/>
  <c r="S37" i="32"/>
  <c r="S44" i="32"/>
  <c r="S45" i="32"/>
  <c r="S48" i="32"/>
  <c r="S50" i="32"/>
  <c r="S51" i="32"/>
  <c r="S52" i="32"/>
  <c r="S54" i="32"/>
  <c r="S56" i="32"/>
  <c r="S58" i="32"/>
  <c r="S59" i="32"/>
  <c r="S60" i="32"/>
  <c r="S63" i="32"/>
  <c r="S64" i="32"/>
  <c r="S65" i="32"/>
  <c r="S66" i="32"/>
  <c r="S67" i="32"/>
  <c r="S68" i="32"/>
  <c r="S69" i="32"/>
  <c r="S70" i="32"/>
  <c r="S71" i="32"/>
  <c r="S72" i="32"/>
  <c r="S73" i="32"/>
  <c r="S74" i="32"/>
  <c r="S75" i="32"/>
  <c r="S76" i="32"/>
  <c r="S78" i="32"/>
  <c r="S80" i="32"/>
  <c r="S85" i="32"/>
  <c r="S87" i="32"/>
  <c r="U43" i="32"/>
  <c r="T12" i="32"/>
  <c r="T35" i="32"/>
  <c r="T46" i="32"/>
  <c r="T38" i="32"/>
  <c r="T39" i="32"/>
  <c r="T40" i="32"/>
  <c r="T41" i="32"/>
  <c r="T42" i="32"/>
  <c r="T37" i="32"/>
  <c r="T44" i="32"/>
  <c r="T45" i="32"/>
  <c r="T48" i="32"/>
  <c r="T50" i="32"/>
  <c r="T51" i="32"/>
  <c r="T52" i="32"/>
  <c r="T54" i="32"/>
  <c r="T56" i="32"/>
  <c r="T58" i="32"/>
  <c r="T59" i="32"/>
  <c r="T60" i="32"/>
  <c r="T63" i="32"/>
  <c r="T64" i="32"/>
  <c r="T65" i="32"/>
  <c r="T66" i="32"/>
  <c r="T67" i="32"/>
  <c r="T68" i="32"/>
  <c r="T69" i="32"/>
  <c r="T70" i="32"/>
  <c r="T71" i="32"/>
  <c r="T72" i="32"/>
  <c r="T73" i="32"/>
  <c r="T74" i="32"/>
  <c r="T75" i="32"/>
  <c r="T76" i="32"/>
  <c r="T78" i="32"/>
  <c r="T80" i="32"/>
  <c r="T85" i="32"/>
  <c r="T87" i="32"/>
  <c r="V43" i="32"/>
  <c r="U12" i="32"/>
  <c r="U35" i="32"/>
  <c r="U46" i="32"/>
  <c r="U38" i="32"/>
  <c r="U39" i="32"/>
  <c r="U40" i="32"/>
  <c r="U41" i="32"/>
  <c r="U42" i="32"/>
  <c r="U37" i="32"/>
  <c r="U44" i="32"/>
  <c r="U45" i="32"/>
  <c r="U48" i="32"/>
  <c r="U50" i="32"/>
  <c r="U51" i="32"/>
  <c r="U52" i="32"/>
  <c r="U54" i="32"/>
  <c r="U56" i="32"/>
  <c r="U58" i="32"/>
  <c r="U59" i="32"/>
  <c r="U60" i="32"/>
  <c r="U63" i="32"/>
  <c r="U64" i="32"/>
  <c r="U65" i="32"/>
  <c r="U66" i="32"/>
  <c r="U67" i="32"/>
  <c r="U68" i="32"/>
  <c r="U69" i="32"/>
  <c r="U70" i="32"/>
  <c r="U71" i="32"/>
  <c r="U72" i="32"/>
  <c r="U73" i="32"/>
  <c r="U74" i="32"/>
  <c r="U75" i="32"/>
  <c r="U76" i="32"/>
  <c r="U78" i="32"/>
  <c r="U80" i="32"/>
  <c r="U85" i="32"/>
  <c r="U87" i="32"/>
  <c r="W43" i="32"/>
  <c r="V12" i="32"/>
  <c r="V35" i="32"/>
  <c r="V46" i="32"/>
  <c r="V38" i="32"/>
  <c r="V39" i="32"/>
  <c r="V40" i="32"/>
  <c r="V41" i="32"/>
  <c r="V42" i="32"/>
  <c r="V37" i="32"/>
  <c r="V44" i="32"/>
  <c r="V45" i="32"/>
  <c r="V48" i="32"/>
  <c r="V50" i="32"/>
  <c r="V51" i="32"/>
  <c r="V52" i="32"/>
  <c r="V54" i="32"/>
  <c r="V56" i="32"/>
  <c r="V58" i="32"/>
  <c r="V59" i="32"/>
  <c r="V60" i="32"/>
  <c r="V63" i="32"/>
  <c r="V64" i="32"/>
  <c r="V65" i="32"/>
  <c r="V66" i="32"/>
  <c r="V67" i="32"/>
  <c r="V68" i="32"/>
  <c r="V69" i="32"/>
  <c r="V70" i="32"/>
  <c r="V71" i="32"/>
  <c r="V72" i="32"/>
  <c r="V73" i="32"/>
  <c r="V74" i="32"/>
  <c r="V75" i="32"/>
  <c r="V76" i="32"/>
  <c r="V78" i="32"/>
  <c r="V80" i="32"/>
  <c r="V85" i="32"/>
  <c r="V87" i="32"/>
  <c r="X43" i="32"/>
  <c r="W12" i="32"/>
  <c r="W35" i="32"/>
  <c r="W46" i="32"/>
  <c r="W38" i="32"/>
  <c r="W39" i="32"/>
  <c r="W40" i="32"/>
  <c r="W41" i="32"/>
  <c r="W42" i="32"/>
  <c r="W37" i="32"/>
  <c r="W44" i="32"/>
  <c r="W45" i="32"/>
  <c r="W48" i="32"/>
  <c r="W50" i="32"/>
  <c r="W51" i="32"/>
  <c r="W52" i="32"/>
  <c r="W54" i="32"/>
  <c r="W56" i="32"/>
  <c r="W58" i="32"/>
  <c r="W59" i="32"/>
  <c r="W60" i="32"/>
  <c r="W63" i="32"/>
  <c r="W64" i="32"/>
  <c r="W65" i="32"/>
  <c r="W66" i="32"/>
  <c r="W67" i="32"/>
  <c r="W68" i="32"/>
  <c r="W69" i="32"/>
  <c r="W70" i="32"/>
  <c r="W71" i="32"/>
  <c r="W72" i="32"/>
  <c r="W73" i="32"/>
  <c r="W74" i="32"/>
  <c r="W75" i="32"/>
  <c r="W76" i="32"/>
  <c r="W78" i="32"/>
  <c r="W80" i="32"/>
  <c r="W85" i="32"/>
  <c r="W87" i="32"/>
  <c r="Y43" i="32"/>
  <c r="X12" i="32"/>
  <c r="X35" i="32"/>
  <c r="X46" i="32"/>
  <c r="X38" i="32"/>
  <c r="X39" i="32"/>
  <c r="X40" i="32"/>
  <c r="X41" i="32"/>
  <c r="X42" i="32"/>
  <c r="X37" i="32"/>
  <c r="X44" i="32"/>
  <c r="X45" i="32"/>
  <c r="X48" i="32"/>
  <c r="X50" i="32"/>
  <c r="X51" i="32"/>
  <c r="X52" i="32"/>
  <c r="X54" i="32"/>
  <c r="X56" i="32"/>
  <c r="X58" i="32"/>
  <c r="X59" i="32"/>
  <c r="X60" i="32"/>
  <c r="X63" i="32"/>
  <c r="X64" i="32"/>
  <c r="X65" i="32"/>
  <c r="X66" i="32"/>
  <c r="X67" i="32"/>
  <c r="X68" i="32"/>
  <c r="X69" i="32"/>
  <c r="X70" i="32"/>
  <c r="X71" i="32"/>
  <c r="X72" i="32"/>
  <c r="X73" i="32"/>
  <c r="X74" i="32"/>
  <c r="X75" i="32"/>
  <c r="X76" i="32"/>
  <c r="X78" i="32"/>
  <c r="X80" i="32"/>
  <c r="X85" i="32"/>
  <c r="X87" i="32"/>
  <c r="Z43" i="32"/>
  <c r="Y12" i="32"/>
  <c r="Y35" i="32"/>
  <c r="Y46" i="32"/>
  <c r="Y38" i="32"/>
  <c r="Y39" i="32"/>
  <c r="Y40" i="32"/>
  <c r="Y41" i="32"/>
  <c r="Y42" i="32"/>
  <c r="Y37" i="32"/>
  <c r="Y44" i="32"/>
  <c r="Y45" i="32"/>
  <c r="Y48" i="32"/>
  <c r="Y50" i="32"/>
  <c r="Y51" i="32"/>
  <c r="Y52" i="32"/>
  <c r="Y54" i="32"/>
  <c r="Y56" i="32"/>
  <c r="Y58" i="32"/>
  <c r="Y59" i="32"/>
  <c r="Y60" i="32"/>
  <c r="Y63" i="32"/>
  <c r="Y64" i="32"/>
  <c r="Y65" i="32"/>
  <c r="Y66" i="32"/>
  <c r="Y67" i="32"/>
  <c r="Y68" i="32"/>
  <c r="Y69" i="32"/>
  <c r="Y70" i="32"/>
  <c r="Y71" i="32"/>
  <c r="Y72" i="32"/>
  <c r="Y73" i="32"/>
  <c r="Y74" i="32"/>
  <c r="Y75" i="32"/>
  <c r="Y76" i="32"/>
  <c r="Y78" i="32"/>
  <c r="Y80" i="32"/>
  <c r="Y85" i="32"/>
  <c r="Y87" i="32"/>
  <c r="AA43" i="32"/>
  <c r="Z12" i="32"/>
  <c r="Z35" i="32"/>
  <c r="Z46" i="32"/>
  <c r="Z38" i="32"/>
  <c r="Z39" i="32"/>
  <c r="Z40" i="32"/>
  <c r="Z41" i="32"/>
  <c r="Z42" i="32"/>
  <c r="Z37" i="32"/>
  <c r="Z44" i="32"/>
  <c r="Z45" i="32"/>
  <c r="Z48" i="32"/>
  <c r="Z50" i="32"/>
  <c r="Z51" i="32"/>
  <c r="Z52" i="32"/>
  <c r="Z54" i="32"/>
  <c r="Z56" i="32"/>
  <c r="Z58" i="32"/>
  <c r="Z59" i="32"/>
  <c r="Z60" i="32"/>
  <c r="Z63" i="32"/>
  <c r="Z64" i="32"/>
  <c r="Z65" i="32"/>
  <c r="Z66" i="32"/>
  <c r="Z67" i="32"/>
  <c r="Z68" i="32"/>
  <c r="Z69" i="32"/>
  <c r="Z70" i="32"/>
  <c r="Z71" i="32"/>
  <c r="Z72" i="32"/>
  <c r="Z73" i="32"/>
  <c r="Z74" i="32"/>
  <c r="Z75" i="32"/>
  <c r="Z76" i="32"/>
  <c r="Z78" i="32"/>
  <c r="Z80" i="32"/>
  <c r="Z85" i="32"/>
  <c r="Z87" i="32"/>
  <c r="J14" i="2"/>
  <c r="M13" i="2"/>
  <c r="S13" i="2"/>
  <c r="S14" i="2"/>
  <c r="M14" i="2"/>
  <c r="AB33" i="32"/>
  <c r="AB43" i="32"/>
  <c r="AA12" i="32"/>
  <c r="AA35" i="32"/>
  <c r="AA46" i="32"/>
  <c r="AA38" i="32"/>
  <c r="AA39" i="32"/>
  <c r="AA40" i="32"/>
  <c r="AA41" i="32"/>
  <c r="AA42" i="32"/>
  <c r="AA37" i="32"/>
  <c r="AA44" i="32"/>
  <c r="AA45" i="32"/>
  <c r="AA48" i="32"/>
  <c r="AA50" i="32"/>
  <c r="AA51" i="32"/>
  <c r="AA52" i="32"/>
  <c r="AA54" i="32"/>
  <c r="AA56" i="32"/>
  <c r="AA58" i="32"/>
  <c r="AA59" i="32"/>
  <c r="AA60" i="32"/>
  <c r="AA63" i="32"/>
  <c r="AA64" i="32"/>
  <c r="AA65" i="32"/>
  <c r="AA66" i="32"/>
  <c r="AA67" i="32"/>
  <c r="AA68" i="32"/>
  <c r="AA69" i="32"/>
  <c r="AA70" i="32"/>
  <c r="AA71" i="32"/>
  <c r="AA72" i="32"/>
  <c r="AA73" i="32"/>
  <c r="AA74" i="32"/>
  <c r="AA75" i="32"/>
  <c r="AA76" i="32"/>
  <c r="AA78" i="32"/>
  <c r="AA80" i="32"/>
  <c r="AA85" i="32"/>
  <c r="AA87" i="32"/>
  <c r="AC33" i="32"/>
  <c r="AC43" i="32"/>
  <c r="AB12" i="32"/>
  <c r="AB35" i="32"/>
  <c r="F72" i="2"/>
  <c r="AB46" i="32"/>
  <c r="AB38" i="32"/>
  <c r="AB39" i="32"/>
  <c r="AB40" i="32"/>
  <c r="AB41" i="32"/>
  <c r="AB42" i="32"/>
  <c r="AB37" i="32"/>
  <c r="AB44" i="32"/>
  <c r="AB45" i="32"/>
  <c r="AB48" i="32"/>
  <c r="AB50" i="32"/>
  <c r="F79" i="2"/>
  <c r="AB51" i="32"/>
  <c r="AB52" i="32"/>
  <c r="AB54" i="32"/>
  <c r="AB56" i="32"/>
  <c r="F77" i="2"/>
  <c r="AB58" i="32"/>
  <c r="AB59" i="32"/>
  <c r="AB60" i="32"/>
  <c r="AB63" i="32"/>
  <c r="AB64" i="32"/>
  <c r="AB65" i="32"/>
  <c r="AB66" i="32"/>
  <c r="AB67" i="32"/>
  <c r="AB68" i="32"/>
  <c r="AB69" i="32"/>
  <c r="AB70" i="32"/>
  <c r="AB71" i="32"/>
  <c r="AB72" i="32"/>
  <c r="AB73" i="32"/>
  <c r="AB74" i="32"/>
  <c r="AB75" i="32"/>
  <c r="AB76" i="32"/>
  <c r="AB78" i="32"/>
  <c r="AB80" i="32"/>
  <c r="O14" i="2"/>
  <c r="AB84" i="32"/>
  <c r="AB85" i="32"/>
  <c r="AB87" i="32"/>
  <c r="AD33" i="32"/>
  <c r="AD43" i="32"/>
  <c r="AC12" i="32"/>
  <c r="AC35" i="32"/>
  <c r="AC46" i="32"/>
  <c r="AC38" i="32"/>
  <c r="AC39" i="32"/>
  <c r="AC40" i="32"/>
  <c r="AC41" i="32"/>
  <c r="AC42" i="32"/>
  <c r="AC37" i="32"/>
  <c r="AC44" i="32"/>
  <c r="AC45" i="32"/>
  <c r="AC48" i="32"/>
  <c r="AC50" i="32"/>
  <c r="AC51" i="32"/>
  <c r="AC52" i="32"/>
  <c r="AC54" i="32"/>
  <c r="AC56" i="32"/>
  <c r="AC58" i="32"/>
  <c r="AC59" i="32"/>
  <c r="AC60" i="32"/>
  <c r="AC63" i="32"/>
  <c r="AC64" i="32"/>
  <c r="AC65" i="32"/>
  <c r="AC66" i="32"/>
  <c r="AC67" i="32"/>
  <c r="AC68" i="32"/>
  <c r="AC69" i="32"/>
  <c r="AC70" i="32"/>
  <c r="AC71" i="32"/>
  <c r="AC72" i="32"/>
  <c r="AC73" i="32"/>
  <c r="AC74" i="32"/>
  <c r="AC75" i="32"/>
  <c r="AC76" i="32"/>
  <c r="AC78" i="32"/>
  <c r="AC80" i="32"/>
  <c r="AC84" i="32"/>
  <c r="AC85" i="32"/>
  <c r="AC87" i="32"/>
  <c r="AE33" i="32"/>
  <c r="AE43" i="32"/>
  <c r="AD12" i="32"/>
  <c r="AD35" i="32"/>
  <c r="AD46" i="32"/>
  <c r="AD38" i="32"/>
  <c r="AD39" i="32"/>
  <c r="AD40" i="32"/>
  <c r="AD41" i="32"/>
  <c r="AD42" i="32"/>
  <c r="AD37" i="32"/>
  <c r="AD44" i="32"/>
  <c r="AD45" i="32"/>
  <c r="AD48" i="32"/>
  <c r="AD50" i="32"/>
  <c r="AD51" i="32"/>
  <c r="AD52" i="32"/>
  <c r="AD54" i="32"/>
  <c r="AD56" i="32"/>
  <c r="AD58" i="32"/>
  <c r="AD59" i="32"/>
  <c r="AD60" i="32"/>
  <c r="AD63" i="32"/>
  <c r="AD64" i="32"/>
  <c r="AD65" i="32"/>
  <c r="AD66" i="32"/>
  <c r="AD67" i="32"/>
  <c r="AD68" i="32"/>
  <c r="AD69" i="32"/>
  <c r="AD70" i="32"/>
  <c r="AD71" i="32"/>
  <c r="AD72" i="32"/>
  <c r="AD73" i="32"/>
  <c r="AD74" i="32"/>
  <c r="AD75" i="32"/>
  <c r="AD76" i="32"/>
  <c r="AD78" i="32"/>
  <c r="AD80" i="32"/>
  <c r="AD84" i="32"/>
  <c r="AD85" i="32"/>
  <c r="AD87" i="32"/>
  <c r="AF33" i="32"/>
  <c r="AF43" i="32"/>
  <c r="AE12" i="32"/>
  <c r="AE35" i="32"/>
  <c r="AE46" i="32"/>
  <c r="AE38" i="32"/>
  <c r="AE39" i="32"/>
  <c r="AE40" i="32"/>
  <c r="AE41" i="32"/>
  <c r="AE42" i="32"/>
  <c r="AE37" i="32"/>
  <c r="AE44" i="32"/>
  <c r="AE45" i="32"/>
  <c r="AE48" i="32"/>
  <c r="AE50" i="32"/>
  <c r="AE51" i="32"/>
  <c r="AE52" i="32"/>
  <c r="AE54" i="32"/>
  <c r="AE56" i="32"/>
  <c r="AE58" i="32"/>
  <c r="AE59" i="32"/>
  <c r="AE60" i="32"/>
  <c r="AE63" i="32"/>
  <c r="AE64" i="32"/>
  <c r="AE65" i="32"/>
  <c r="AE66" i="32"/>
  <c r="AE67" i="32"/>
  <c r="AE68" i="32"/>
  <c r="AE69" i="32"/>
  <c r="AE70" i="32"/>
  <c r="AE71" i="32"/>
  <c r="AE72" i="32"/>
  <c r="AE73" i="32"/>
  <c r="AE74" i="32"/>
  <c r="AE75" i="32"/>
  <c r="AE76" i="32"/>
  <c r="AE78" i="32"/>
  <c r="AE80" i="32"/>
  <c r="AE84" i="32"/>
  <c r="AE85" i="32"/>
  <c r="AE87" i="32"/>
  <c r="AG33" i="32"/>
  <c r="AG43" i="32"/>
  <c r="AF12" i="32"/>
  <c r="AF35" i="32"/>
  <c r="AF46" i="32"/>
  <c r="AF38" i="32"/>
  <c r="AF39" i="32"/>
  <c r="AF40" i="32"/>
  <c r="AF41" i="32"/>
  <c r="AF42" i="32"/>
  <c r="AF37" i="32"/>
  <c r="AF44" i="32"/>
  <c r="AF45" i="32"/>
  <c r="AF48" i="32"/>
  <c r="AF50" i="32"/>
  <c r="AF51" i="32"/>
  <c r="AF52" i="32"/>
  <c r="AF54" i="32"/>
  <c r="AF56" i="32"/>
  <c r="AF58" i="32"/>
  <c r="AF59" i="32"/>
  <c r="AF60" i="32"/>
  <c r="AF63" i="32"/>
  <c r="AF64" i="32"/>
  <c r="AF65" i="32"/>
  <c r="AF66" i="32"/>
  <c r="AF67" i="32"/>
  <c r="AF68" i="32"/>
  <c r="AF69" i="32"/>
  <c r="AF70" i="32"/>
  <c r="AF71" i="32"/>
  <c r="AF72" i="32"/>
  <c r="AF73" i="32"/>
  <c r="AF74" i="32"/>
  <c r="AF75" i="32"/>
  <c r="AF76" i="32"/>
  <c r="AF78" i="32"/>
  <c r="AF80" i="32"/>
  <c r="AF84" i="32"/>
  <c r="AF85" i="32"/>
  <c r="AF87" i="32"/>
  <c r="AH33" i="32"/>
  <c r="AH43" i="32"/>
  <c r="AG12" i="32"/>
  <c r="AG35" i="32"/>
  <c r="AG46" i="32"/>
  <c r="AG38" i="32"/>
  <c r="AG39" i="32"/>
  <c r="AG40" i="32"/>
  <c r="AG41" i="32"/>
  <c r="AG42" i="32"/>
  <c r="AG37" i="32"/>
  <c r="AG44" i="32"/>
  <c r="AG45" i="32"/>
  <c r="AG48" i="32"/>
  <c r="AG50" i="32"/>
  <c r="AG51" i="32"/>
  <c r="AG52" i="32"/>
  <c r="AG54" i="32"/>
  <c r="AG56" i="32"/>
  <c r="AG58" i="32"/>
  <c r="AG59" i="32"/>
  <c r="AG60" i="32"/>
  <c r="AG63" i="32"/>
  <c r="AG64" i="32"/>
  <c r="AG65" i="32"/>
  <c r="AG66" i="32"/>
  <c r="AG67" i="32"/>
  <c r="AG68" i="32"/>
  <c r="AG69" i="32"/>
  <c r="AG70" i="32"/>
  <c r="AG71" i="32"/>
  <c r="AG72" i="32"/>
  <c r="AG73" i="32"/>
  <c r="AG74" i="32"/>
  <c r="AG75" i="32"/>
  <c r="AG76" i="32"/>
  <c r="AG78" i="32"/>
  <c r="AG80" i="32"/>
  <c r="AG84" i="32"/>
  <c r="AG85" i="32"/>
  <c r="AG87" i="32"/>
  <c r="AI33" i="32"/>
  <c r="AI43" i="32"/>
  <c r="AH12" i="32"/>
  <c r="AH35" i="32"/>
  <c r="AH46" i="32"/>
  <c r="AH38" i="32"/>
  <c r="AH39" i="32"/>
  <c r="AH40" i="32"/>
  <c r="AH41" i="32"/>
  <c r="AH42" i="32"/>
  <c r="AH37" i="32"/>
  <c r="AH44" i="32"/>
  <c r="AH45" i="32"/>
  <c r="AH48" i="32"/>
  <c r="AH50" i="32"/>
  <c r="AH51" i="32"/>
  <c r="AH52" i="32"/>
  <c r="AH54" i="32"/>
  <c r="AH56" i="32"/>
  <c r="AH58" i="32"/>
  <c r="AH59" i="32"/>
  <c r="AH60" i="32"/>
  <c r="AH63" i="32"/>
  <c r="AH64" i="32"/>
  <c r="AH65" i="32"/>
  <c r="AH66" i="32"/>
  <c r="AH67" i="32"/>
  <c r="AH68" i="32"/>
  <c r="AH69" i="32"/>
  <c r="AH70" i="32"/>
  <c r="AH71" i="32"/>
  <c r="AH72" i="32"/>
  <c r="AH73" i="32"/>
  <c r="AH74" i="32"/>
  <c r="AH75" i="32"/>
  <c r="AH76" i="32"/>
  <c r="AH78" i="32"/>
  <c r="AH80" i="32"/>
  <c r="AH84" i="32"/>
  <c r="AH85" i="32"/>
  <c r="AH87" i="32"/>
  <c r="AJ33" i="32"/>
  <c r="AJ43" i="32"/>
  <c r="AI12" i="32"/>
  <c r="AI35" i="32"/>
  <c r="AI46" i="32"/>
  <c r="AI38" i="32"/>
  <c r="AI39" i="32"/>
  <c r="AI40" i="32"/>
  <c r="AI41" i="32"/>
  <c r="AI42" i="32"/>
  <c r="AI37" i="32"/>
  <c r="AI44" i="32"/>
  <c r="AI45" i="32"/>
  <c r="AI48" i="32"/>
  <c r="AI50" i="32"/>
  <c r="AI51" i="32"/>
  <c r="AI52" i="32"/>
  <c r="AI54" i="32"/>
  <c r="AI56" i="32"/>
  <c r="AI58" i="32"/>
  <c r="AI59" i="32"/>
  <c r="AI60" i="32"/>
  <c r="AI63" i="32"/>
  <c r="AI64" i="32"/>
  <c r="AI65" i="32"/>
  <c r="AI66" i="32"/>
  <c r="AI67" i="32"/>
  <c r="AI68" i="32"/>
  <c r="AI69" i="32"/>
  <c r="AI70" i="32"/>
  <c r="AI71" i="32"/>
  <c r="AI72" i="32"/>
  <c r="AI73" i="32"/>
  <c r="AI74" i="32"/>
  <c r="AI75" i="32"/>
  <c r="AI76" i="32"/>
  <c r="AI78" i="32"/>
  <c r="AI80" i="32"/>
  <c r="AI84" i="32"/>
  <c r="AI85" i="32"/>
  <c r="AI87" i="32"/>
  <c r="AK33" i="32"/>
  <c r="AK43" i="32"/>
  <c r="AJ12" i="32"/>
  <c r="AJ35" i="32"/>
  <c r="AJ46" i="32"/>
  <c r="AJ38" i="32"/>
  <c r="AJ39" i="32"/>
  <c r="AJ40" i="32"/>
  <c r="AJ41" i="32"/>
  <c r="AJ42" i="32"/>
  <c r="AJ37" i="32"/>
  <c r="AJ44" i="32"/>
  <c r="AJ45" i="32"/>
  <c r="AJ48" i="32"/>
  <c r="AJ50" i="32"/>
  <c r="AJ51" i="32"/>
  <c r="AJ52" i="32"/>
  <c r="AJ54" i="32"/>
  <c r="AJ56" i="32"/>
  <c r="AJ58" i="32"/>
  <c r="AJ59" i="32"/>
  <c r="AJ60" i="32"/>
  <c r="AJ63" i="32"/>
  <c r="AJ64" i="32"/>
  <c r="AJ65" i="32"/>
  <c r="AJ66" i="32"/>
  <c r="AJ67" i="32"/>
  <c r="AJ68" i="32"/>
  <c r="AJ69" i="32"/>
  <c r="AJ70" i="32"/>
  <c r="AJ71" i="32"/>
  <c r="AJ72" i="32"/>
  <c r="AJ73" i="32"/>
  <c r="AJ74" i="32"/>
  <c r="AJ75" i="32"/>
  <c r="AJ76" i="32"/>
  <c r="AJ78" i="32"/>
  <c r="AJ80" i="32"/>
  <c r="AJ84" i="32"/>
  <c r="AJ85" i="32"/>
  <c r="AJ87" i="32"/>
  <c r="AL33" i="32"/>
  <c r="AL43" i="32"/>
  <c r="AK12" i="32"/>
  <c r="AK35" i="32"/>
  <c r="AK46" i="32"/>
  <c r="AK38" i="32"/>
  <c r="AK39" i="32"/>
  <c r="AK40" i="32"/>
  <c r="AK41" i="32"/>
  <c r="AK42" i="32"/>
  <c r="AK37" i="32"/>
  <c r="AK44" i="32"/>
  <c r="AK45" i="32"/>
  <c r="AK48" i="32"/>
  <c r="AK50" i="32"/>
  <c r="AK51" i="32"/>
  <c r="AK52" i="32"/>
  <c r="AK54" i="32"/>
  <c r="AK56" i="32"/>
  <c r="AK58" i="32"/>
  <c r="AK59" i="32"/>
  <c r="AK60" i="32"/>
  <c r="AK63" i="32"/>
  <c r="AK64" i="32"/>
  <c r="AK65" i="32"/>
  <c r="AK66" i="32"/>
  <c r="AK67" i="32"/>
  <c r="AK68" i="32"/>
  <c r="AK69" i="32"/>
  <c r="AK70" i="32"/>
  <c r="AK71" i="32"/>
  <c r="AK72" i="32"/>
  <c r="AK73" i="32"/>
  <c r="AK74" i="32"/>
  <c r="AK75" i="32"/>
  <c r="AK76" i="32"/>
  <c r="AK78" i="32"/>
  <c r="AK80" i="32"/>
  <c r="AK84" i="32"/>
  <c r="AK85" i="32"/>
  <c r="AK87" i="32"/>
  <c r="AM33" i="32"/>
  <c r="AM43" i="32"/>
  <c r="AL12" i="32"/>
  <c r="AL35" i="32"/>
  <c r="AL46" i="32"/>
  <c r="AL38" i="32"/>
  <c r="AL39" i="32"/>
  <c r="AL40" i="32"/>
  <c r="AL41" i="32"/>
  <c r="AL42" i="32"/>
  <c r="AL37" i="32"/>
  <c r="AL44" i="32"/>
  <c r="AL45" i="32"/>
  <c r="AL48" i="32"/>
  <c r="AL50" i="32"/>
  <c r="AL51" i="32"/>
  <c r="AL52" i="32"/>
  <c r="AL54" i="32"/>
  <c r="AL56" i="32"/>
  <c r="AL58" i="32"/>
  <c r="AL59" i="32"/>
  <c r="AL60" i="32"/>
  <c r="AL63" i="32"/>
  <c r="AL64" i="32"/>
  <c r="AL65" i="32"/>
  <c r="AL66" i="32"/>
  <c r="AL67" i="32"/>
  <c r="AL68" i="32"/>
  <c r="AL69" i="32"/>
  <c r="AL70" i="32"/>
  <c r="AL71" i="32"/>
  <c r="AL72" i="32"/>
  <c r="AL73" i="32"/>
  <c r="AL74" i="32"/>
  <c r="AL75" i="32"/>
  <c r="AL76" i="32"/>
  <c r="AL78" i="32"/>
  <c r="AL80" i="32"/>
  <c r="AL84" i="32"/>
  <c r="AL85" i="32"/>
  <c r="AL87" i="32"/>
  <c r="J15" i="2"/>
  <c r="S15" i="2"/>
  <c r="M15" i="2"/>
  <c r="AN33" i="32"/>
  <c r="AN43" i="32"/>
  <c r="AM12" i="32"/>
  <c r="AM35" i="32"/>
  <c r="AM46" i="32"/>
  <c r="AM38" i="32"/>
  <c r="AM39" i="32"/>
  <c r="AM40" i="32"/>
  <c r="AM41" i="32"/>
  <c r="AM42" i="32"/>
  <c r="AM37" i="32"/>
  <c r="AM44" i="32"/>
  <c r="AM45" i="32"/>
  <c r="AM48" i="32"/>
  <c r="AM50" i="32"/>
  <c r="AM51" i="32"/>
  <c r="AM52" i="32"/>
  <c r="AM54" i="32"/>
  <c r="AM56" i="32"/>
  <c r="AM58" i="32"/>
  <c r="AM59" i="32"/>
  <c r="AM60" i="32"/>
  <c r="AM63" i="32"/>
  <c r="AM64" i="32"/>
  <c r="AM65" i="32"/>
  <c r="AM66" i="32"/>
  <c r="AM67" i="32"/>
  <c r="AM68" i="32"/>
  <c r="AM69" i="32"/>
  <c r="AM70" i="32"/>
  <c r="AM71" i="32"/>
  <c r="AM72" i="32"/>
  <c r="AM73" i="32"/>
  <c r="AM74" i="32"/>
  <c r="AM75" i="32"/>
  <c r="AM76" i="32"/>
  <c r="AM78" i="32"/>
  <c r="AM80" i="32"/>
  <c r="AM84" i="32"/>
  <c r="AM85" i="32"/>
  <c r="AM87" i="32"/>
  <c r="AO33" i="32"/>
  <c r="AO43" i="32"/>
  <c r="AN12" i="32"/>
  <c r="AN35" i="32"/>
  <c r="G72" i="2"/>
  <c r="AN46" i="32"/>
  <c r="AN38" i="32"/>
  <c r="AN39" i="32"/>
  <c r="AN40" i="32"/>
  <c r="AN41" i="32"/>
  <c r="AN42" i="32"/>
  <c r="AN37" i="32"/>
  <c r="AN44" i="32"/>
  <c r="AN45" i="32"/>
  <c r="AN48" i="32"/>
  <c r="AN50" i="32"/>
  <c r="G79" i="2"/>
  <c r="AN51" i="32"/>
  <c r="AN52" i="32"/>
  <c r="AN54" i="32"/>
  <c r="AN56" i="32"/>
  <c r="G77" i="2"/>
  <c r="AN58" i="32"/>
  <c r="AN59" i="32"/>
  <c r="AN60" i="32"/>
  <c r="AN63" i="32"/>
  <c r="AN64" i="32"/>
  <c r="AN65" i="32"/>
  <c r="AN66" i="32"/>
  <c r="AN67" i="32"/>
  <c r="AN68" i="32"/>
  <c r="AN69" i="32"/>
  <c r="AN70" i="32"/>
  <c r="AN71" i="32"/>
  <c r="AN72" i="32"/>
  <c r="AN73" i="32"/>
  <c r="AN74" i="32"/>
  <c r="AN75" i="32"/>
  <c r="AN76" i="32"/>
  <c r="AN78" i="32"/>
  <c r="AN80" i="32"/>
  <c r="O15" i="2"/>
  <c r="AN84" i="32"/>
  <c r="AN85" i="32"/>
  <c r="AN87" i="32"/>
  <c r="AP33" i="32"/>
  <c r="AP43" i="32"/>
  <c r="AO12" i="32"/>
  <c r="AO35" i="32"/>
  <c r="AO46" i="32"/>
  <c r="AO38" i="32"/>
  <c r="AO39" i="32"/>
  <c r="AO40" i="32"/>
  <c r="AO41" i="32"/>
  <c r="AO42" i="32"/>
  <c r="AO37" i="32"/>
  <c r="AO44" i="32"/>
  <c r="AO45" i="32"/>
  <c r="AO48" i="32"/>
  <c r="AO50" i="32"/>
  <c r="AO51" i="32"/>
  <c r="AO52" i="32"/>
  <c r="AO54" i="32"/>
  <c r="AO56" i="32"/>
  <c r="AO58" i="32"/>
  <c r="AO59" i="32"/>
  <c r="AO60" i="32"/>
  <c r="AO63" i="32"/>
  <c r="AO64" i="32"/>
  <c r="AO65" i="32"/>
  <c r="AO66" i="32"/>
  <c r="AO67" i="32"/>
  <c r="AO68" i="32"/>
  <c r="AO69" i="32"/>
  <c r="AO70" i="32"/>
  <c r="AO71" i="32"/>
  <c r="AO72" i="32"/>
  <c r="AO73" i="32"/>
  <c r="AO74" i="32"/>
  <c r="AO75" i="32"/>
  <c r="AO76" i="32"/>
  <c r="AO78" i="32"/>
  <c r="AO80" i="32"/>
  <c r="AO84" i="32"/>
  <c r="AO85" i="32"/>
  <c r="AO87" i="32"/>
  <c r="AQ33" i="32"/>
  <c r="AQ43" i="32"/>
  <c r="AP12" i="32"/>
  <c r="AP35" i="32"/>
  <c r="AP46" i="32"/>
  <c r="AP38" i="32"/>
  <c r="AP39" i="32"/>
  <c r="AP40" i="32"/>
  <c r="AP41" i="32"/>
  <c r="AP42" i="32"/>
  <c r="AP37" i="32"/>
  <c r="AP44" i="32"/>
  <c r="AP45" i="32"/>
  <c r="AP48" i="32"/>
  <c r="AP50" i="32"/>
  <c r="AP51" i="32"/>
  <c r="AP52" i="32"/>
  <c r="AP54" i="32"/>
  <c r="AP56" i="32"/>
  <c r="AP58" i="32"/>
  <c r="AP59" i="32"/>
  <c r="AP60" i="32"/>
  <c r="AP63" i="32"/>
  <c r="AP64" i="32"/>
  <c r="AP65" i="32"/>
  <c r="AP66" i="32"/>
  <c r="AP67" i="32"/>
  <c r="AP68" i="32"/>
  <c r="AP69" i="32"/>
  <c r="AP70" i="32"/>
  <c r="AP71" i="32"/>
  <c r="AP72" i="32"/>
  <c r="AP73" i="32"/>
  <c r="AP74" i="32"/>
  <c r="AP75" i="32"/>
  <c r="AP76" i="32"/>
  <c r="AP78" i="32"/>
  <c r="AP80" i="32"/>
  <c r="AP84" i="32"/>
  <c r="AP85" i="32"/>
  <c r="AP87" i="32"/>
  <c r="AR33" i="32"/>
  <c r="AR43" i="32"/>
  <c r="AQ12" i="32"/>
  <c r="AQ35" i="32"/>
  <c r="AQ46" i="32"/>
  <c r="AQ38" i="32"/>
  <c r="AQ39" i="32"/>
  <c r="AQ40" i="32"/>
  <c r="AQ41" i="32"/>
  <c r="AQ42" i="32"/>
  <c r="AQ37" i="32"/>
  <c r="AQ44" i="32"/>
  <c r="AQ45" i="32"/>
  <c r="AQ48" i="32"/>
  <c r="AQ50" i="32"/>
  <c r="AQ51" i="32"/>
  <c r="AQ52" i="32"/>
  <c r="AQ54" i="32"/>
  <c r="AQ56" i="32"/>
  <c r="AQ58" i="32"/>
  <c r="AQ59" i="32"/>
  <c r="AQ60" i="32"/>
  <c r="AQ63" i="32"/>
  <c r="AQ64" i="32"/>
  <c r="AQ65" i="32"/>
  <c r="AQ66" i="32"/>
  <c r="AQ67" i="32"/>
  <c r="AQ68" i="32"/>
  <c r="AQ69" i="32"/>
  <c r="AQ70" i="32"/>
  <c r="AQ71" i="32"/>
  <c r="AQ72" i="32"/>
  <c r="AQ73" i="32"/>
  <c r="AQ74" i="32"/>
  <c r="AQ75" i="32"/>
  <c r="AQ76" i="32"/>
  <c r="AQ78" i="32"/>
  <c r="AQ80" i="32"/>
  <c r="AQ84" i="32"/>
  <c r="AQ85" i="32"/>
  <c r="AQ87" i="32"/>
  <c r="AS33" i="32"/>
  <c r="AS43" i="32"/>
  <c r="AR12" i="32"/>
  <c r="AR35" i="32"/>
  <c r="AR46" i="32"/>
  <c r="AR38" i="32"/>
  <c r="AR39" i="32"/>
  <c r="AR40" i="32"/>
  <c r="AR41" i="32"/>
  <c r="AR42" i="32"/>
  <c r="AR37" i="32"/>
  <c r="AR44" i="32"/>
  <c r="AR45" i="32"/>
  <c r="AR48" i="32"/>
  <c r="AR50" i="32"/>
  <c r="AR51" i="32"/>
  <c r="AR52" i="32"/>
  <c r="AR54" i="32"/>
  <c r="AR56" i="32"/>
  <c r="AR58" i="32"/>
  <c r="AR59" i="32"/>
  <c r="AR60" i="32"/>
  <c r="AR63" i="32"/>
  <c r="AR64" i="32"/>
  <c r="AR65" i="32"/>
  <c r="AR66" i="32"/>
  <c r="AR67" i="32"/>
  <c r="AR68" i="32"/>
  <c r="AR69" i="32"/>
  <c r="AR70" i="32"/>
  <c r="AR71" i="32"/>
  <c r="AR72" i="32"/>
  <c r="AR73" i="32"/>
  <c r="AR74" i="32"/>
  <c r="AR75" i="32"/>
  <c r="AR76" i="32"/>
  <c r="AR78" i="32"/>
  <c r="AR80" i="32"/>
  <c r="AR84" i="32"/>
  <c r="AR85" i="32"/>
  <c r="AR87" i="32"/>
  <c r="AT33" i="32"/>
  <c r="AT43" i="32"/>
  <c r="AS12" i="32"/>
  <c r="AS35" i="32"/>
  <c r="AS46" i="32"/>
  <c r="AS38" i="32"/>
  <c r="AS39" i="32"/>
  <c r="AS40" i="32"/>
  <c r="AS41" i="32"/>
  <c r="AS42" i="32"/>
  <c r="AS37" i="32"/>
  <c r="AS44" i="32"/>
  <c r="AS45" i="32"/>
  <c r="AS48" i="32"/>
  <c r="AS50" i="32"/>
  <c r="AS51" i="32"/>
  <c r="AS52" i="32"/>
  <c r="AS54" i="32"/>
  <c r="AS56" i="32"/>
  <c r="AS58" i="32"/>
  <c r="AS59" i="32"/>
  <c r="AS60" i="32"/>
  <c r="AS63" i="32"/>
  <c r="AS64" i="32"/>
  <c r="AS65" i="32"/>
  <c r="AS66" i="32"/>
  <c r="AS67" i="32"/>
  <c r="AS68" i="32"/>
  <c r="AS69" i="32"/>
  <c r="AS70" i="32"/>
  <c r="AS71" i="32"/>
  <c r="AS72" i="32"/>
  <c r="AS73" i="32"/>
  <c r="AS74" i="32"/>
  <c r="AS75" i="32"/>
  <c r="AS76" i="32"/>
  <c r="AS78" i="32"/>
  <c r="AS80" i="32"/>
  <c r="AS84" i="32"/>
  <c r="AS85" i="32"/>
  <c r="AS87" i="32"/>
  <c r="AU33" i="32"/>
  <c r="AU43" i="32"/>
  <c r="AT12" i="32"/>
  <c r="AT35" i="32"/>
  <c r="AT46" i="32"/>
  <c r="AT38" i="32"/>
  <c r="AT39" i="32"/>
  <c r="AT40" i="32"/>
  <c r="AT41" i="32"/>
  <c r="AT42" i="32"/>
  <c r="AT37" i="32"/>
  <c r="AT44" i="32"/>
  <c r="AT45" i="32"/>
  <c r="AT48" i="32"/>
  <c r="AT50" i="32"/>
  <c r="AT51" i="32"/>
  <c r="AT52" i="32"/>
  <c r="AT54" i="32"/>
  <c r="AT56" i="32"/>
  <c r="AT58" i="32"/>
  <c r="AT59" i="32"/>
  <c r="AT60" i="32"/>
  <c r="AT63" i="32"/>
  <c r="AT64" i="32"/>
  <c r="AT65" i="32"/>
  <c r="AT66" i="32"/>
  <c r="AT67" i="32"/>
  <c r="AT68" i="32"/>
  <c r="AT69" i="32"/>
  <c r="AT70" i="32"/>
  <c r="AT71" i="32"/>
  <c r="AT72" i="32"/>
  <c r="AT73" i="32"/>
  <c r="AT74" i="32"/>
  <c r="AT75" i="32"/>
  <c r="AT76" i="32"/>
  <c r="AT78" i="32"/>
  <c r="AT80" i="32"/>
  <c r="AT84" i="32"/>
  <c r="AT85" i="32"/>
  <c r="AT87" i="32"/>
  <c r="AV33" i="32"/>
  <c r="AV43" i="32"/>
  <c r="AU12" i="32"/>
  <c r="AU35" i="32"/>
  <c r="AU46" i="32"/>
  <c r="AU38" i="32"/>
  <c r="AU39" i="32"/>
  <c r="AU40" i="32"/>
  <c r="AU41" i="32"/>
  <c r="AU42" i="32"/>
  <c r="AU37" i="32"/>
  <c r="AU44" i="32"/>
  <c r="AU45" i="32"/>
  <c r="AU48" i="32"/>
  <c r="AU50" i="32"/>
  <c r="AU51" i="32"/>
  <c r="AU52" i="32"/>
  <c r="AU54" i="32"/>
  <c r="AU56" i="32"/>
  <c r="AU58" i="32"/>
  <c r="AU59" i="32"/>
  <c r="AU60" i="32"/>
  <c r="AU63" i="32"/>
  <c r="AU64" i="32"/>
  <c r="AU65" i="32"/>
  <c r="AU66" i="32"/>
  <c r="AU67" i="32"/>
  <c r="AU68" i="32"/>
  <c r="AU69" i="32"/>
  <c r="AU70" i="32"/>
  <c r="AU71" i="32"/>
  <c r="AU72" i="32"/>
  <c r="AU73" i="32"/>
  <c r="AU74" i="32"/>
  <c r="AU75" i="32"/>
  <c r="AU76" i="32"/>
  <c r="AU78" i="32"/>
  <c r="AU80" i="32"/>
  <c r="AU84" i="32"/>
  <c r="AU85" i="32"/>
  <c r="AU87" i="32"/>
  <c r="AW33" i="32"/>
  <c r="AW43" i="32"/>
  <c r="AV12" i="32"/>
  <c r="AV35" i="32"/>
  <c r="AV46" i="32"/>
  <c r="AV38" i="32"/>
  <c r="AV39" i="32"/>
  <c r="AV40" i="32"/>
  <c r="AV41" i="32"/>
  <c r="AV42" i="32"/>
  <c r="AV37" i="32"/>
  <c r="AV44" i="32"/>
  <c r="AV45" i="32"/>
  <c r="AV48" i="32"/>
  <c r="AV50" i="32"/>
  <c r="AV51" i="32"/>
  <c r="AV52" i="32"/>
  <c r="AV54" i="32"/>
  <c r="AV56" i="32"/>
  <c r="AV58" i="32"/>
  <c r="AV59" i="32"/>
  <c r="AV60" i="32"/>
  <c r="AV63" i="32"/>
  <c r="AV64" i="32"/>
  <c r="AV65" i="32"/>
  <c r="AV66" i="32"/>
  <c r="AV67" i="32"/>
  <c r="AV68" i="32"/>
  <c r="AV69" i="32"/>
  <c r="AV70" i="32"/>
  <c r="AV71" i="32"/>
  <c r="AV72" i="32"/>
  <c r="AV73" i="32"/>
  <c r="AV74" i="32"/>
  <c r="AV75" i="32"/>
  <c r="AV76" i="32"/>
  <c r="AV78" i="32"/>
  <c r="AV80" i="32"/>
  <c r="AV84" i="32"/>
  <c r="AV85" i="32"/>
  <c r="AV87" i="32"/>
  <c r="AX33" i="32"/>
  <c r="AX43" i="32"/>
  <c r="AW12" i="32"/>
  <c r="AW35" i="32"/>
  <c r="AW46" i="32"/>
  <c r="AW38" i="32"/>
  <c r="AW39" i="32"/>
  <c r="AW40" i="32"/>
  <c r="AW41" i="32"/>
  <c r="AW42" i="32"/>
  <c r="AW37" i="32"/>
  <c r="AW44" i="32"/>
  <c r="AW45" i="32"/>
  <c r="AW48" i="32"/>
  <c r="AW50" i="32"/>
  <c r="AW51" i="32"/>
  <c r="AW52" i="32"/>
  <c r="AW54" i="32"/>
  <c r="AW56" i="32"/>
  <c r="AW58" i="32"/>
  <c r="AW59" i="32"/>
  <c r="AW60" i="32"/>
  <c r="AW63" i="32"/>
  <c r="AW64" i="32"/>
  <c r="AW65" i="32"/>
  <c r="AW66" i="32"/>
  <c r="AW67" i="32"/>
  <c r="AW68" i="32"/>
  <c r="AW69" i="32"/>
  <c r="AW70" i="32"/>
  <c r="AW71" i="32"/>
  <c r="AW72" i="32"/>
  <c r="AW73" i="32"/>
  <c r="AW74" i="32"/>
  <c r="AW75" i="32"/>
  <c r="AW76" i="32"/>
  <c r="AW78" i="32"/>
  <c r="AW80" i="32"/>
  <c r="AW84" i="32"/>
  <c r="AW85" i="32"/>
  <c r="AW87" i="32"/>
  <c r="AY33" i="32"/>
  <c r="AY43" i="32"/>
  <c r="AX12" i="32"/>
  <c r="AX35" i="32"/>
  <c r="AX46" i="32"/>
  <c r="AX38" i="32"/>
  <c r="AX39" i="32"/>
  <c r="AX40" i="32"/>
  <c r="AX41" i="32"/>
  <c r="AX42" i="32"/>
  <c r="AX37" i="32"/>
  <c r="AX44" i="32"/>
  <c r="AX45" i="32"/>
  <c r="AX48" i="32"/>
  <c r="AX50" i="32"/>
  <c r="AX51" i="32"/>
  <c r="AX52" i="32"/>
  <c r="AX54" i="32"/>
  <c r="AX56" i="32"/>
  <c r="AX58" i="32"/>
  <c r="AX59" i="32"/>
  <c r="AX60" i="32"/>
  <c r="AX63" i="32"/>
  <c r="AX64" i="32"/>
  <c r="AX65" i="32"/>
  <c r="AX66" i="32"/>
  <c r="AX67" i="32"/>
  <c r="AX68" i="32"/>
  <c r="AX69" i="32"/>
  <c r="AX70" i="32"/>
  <c r="AX71" i="32"/>
  <c r="AX72" i="32"/>
  <c r="AX73" i="32"/>
  <c r="AX74" i="32"/>
  <c r="AX75" i="32"/>
  <c r="AX76" i="32"/>
  <c r="AX78" i="32"/>
  <c r="AX80" i="32"/>
  <c r="AX84" i="32"/>
  <c r="AX85" i="32"/>
  <c r="AX87" i="32"/>
  <c r="J16" i="2"/>
  <c r="S16" i="2"/>
  <c r="M16" i="2"/>
  <c r="AZ33" i="32"/>
  <c r="AZ43" i="32"/>
  <c r="AY12" i="32"/>
  <c r="AY35" i="32"/>
  <c r="AY46" i="32"/>
  <c r="AY38" i="32"/>
  <c r="AY39" i="32"/>
  <c r="AY40" i="32"/>
  <c r="AY41" i="32"/>
  <c r="AY42" i="32"/>
  <c r="AY37" i="32"/>
  <c r="AY44" i="32"/>
  <c r="AY45" i="32"/>
  <c r="AY48" i="32"/>
  <c r="AY50" i="32"/>
  <c r="AY51" i="32"/>
  <c r="AY52" i="32"/>
  <c r="AY54" i="32"/>
  <c r="AY56" i="32"/>
  <c r="AY58" i="32"/>
  <c r="AY59" i="32"/>
  <c r="AY60" i="32"/>
  <c r="AY63" i="32"/>
  <c r="AY64" i="32"/>
  <c r="AY65" i="32"/>
  <c r="AY66" i="32"/>
  <c r="AY67" i="32"/>
  <c r="AY68" i="32"/>
  <c r="AY69" i="32"/>
  <c r="AY70" i="32"/>
  <c r="AY71" i="32"/>
  <c r="AY72" i="32"/>
  <c r="AY73" i="32"/>
  <c r="AY74" i="32"/>
  <c r="AY75" i="32"/>
  <c r="AY76" i="32"/>
  <c r="AY78" i="32"/>
  <c r="AY80" i="32"/>
  <c r="AY84" i="32"/>
  <c r="AY85" i="32"/>
  <c r="AY87" i="32"/>
  <c r="BA33" i="32"/>
  <c r="BA43" i="32"/>
  <c r="AZ12" i="32"/>
  <c r="AZ35" i="32"/>
  <c r="H72" i="2"/>
  <c r="AZ46" i="32"/>
  <c r="AZ38" i="32"/>
  <c r="AZ39" i="32"/>
  <c r="AZ40" i="32"/>
  <c r="AZ41" i="32"/>
  <c r="AZ42" i="32"/>
  <c r="AZ37" i="32"/>
  <c r="AZ44" i="32"/>
  <c r="AZ45" i="32"/>
  <c r="AZ48" i="32"/>
  <c r="AZ50" i="32"/>
  <c r="H79" i="2"/>
  <c r="AZ51" i="32"/>
  <c r="AZ52" i="32"/>
  <c r="AZ54" i="32"/>
  <c r="AZ56" i="32"/>
  <c r="H77" i="2"/>
  <c r="AZ58" i="32"/>
  <c r="AZ59" i="32"/>
  <c r="AZ60" i="32"/>
  <c r="AZ63" i="32"/>
  <c r="AZ64" i="32"/>
  <c r="AZ65" i="32"/>
  <c r="AZ66" i="32"/>
  <c r="AZ67" i="32"/>
  <c r="AZ68" i="32"/>
  <c r="AZ69" i="32"/>
  <c r="AZ70" i="32"/>
  <c r="AZ71" i="32"/>
  <c r="AZ72" i="32"/>
  <c r="AZ73" i="32"/>
  <c r="AZ74" i="32"/>
  <c r="AZ75" i="32"/>
  <c r="AZ76" i="32"/>
  <c r="AZ78" i="32"/>
  <c r="AZ80" i="32"/>
  <c r="O16" i="2"/>
  <c r="AZ84" i="32"/>
  <c r="AZ85" i="32"/>
  <c r="AZ87" i="32"/>
  <c r="BB33" i="32"/>
  <c r="BB43" i="32"/>
  <c r="BA12" i="32"/>
  <c r="BA35" i="32"/>
  <c r="BA46" i="32"/>
  <c r="BA38" i="32"/>
  <c r="BA39" i="32"/>
  <c r="BA40" i="32"/>
  <c r="BA41" i="32"/>
  <c r="BA42" i="32"/>
  <c r="BA37" i="32"/>
  <c r="BA44" i="32"/>
  <c r="BA45" i="32"/>
  <c r="BA48" i="32"/>
  <c r="BA50" i="32"/>
  <c r="BA51" i="32"/>
  <c r="BA52" i="32"/>
  <c r="BA54" i="32"/>
  <c r="BA56" i="32"/>
  <c r="BA58" i="32"/>
  <c r="BA59" i="32"/>
  <c r="BA60" i="32"/>
  <c r="BA63" i="32"/>
  <c r="BA64" i="32"/>
  <c r="BA65" i="32"/>
  <c r="BA66" i="32"/>
  <c r="BA67" i="32"/>
  <c r="BA68" i="32"/>
  <c r="BA69" i="32"/>
  <c r="BA70" i="32"/>
  <c r="BA71" i="32"/>
  <c r="BA72" i="32"/>
  <c r="BA73" i="32"/>
  <c r="BA74" i="32"/>
  <c r="BA75" i="32"/>
  <c r="BA76" i="32"/>
  <c r="BA78" i="32"/>
  <c r="BA80" i="32"/>
  <c r="BA84" i="32"/>
  <c r="BA85" i="32"/>
  <c r="BA87" i="32"/>
  <c r="BC33" i="32"/>
  <c r="BC43" i="32"/>
  <c r="BB12" i="32"/>
  <c r="BB35" i="32"/>
  <c r="BB46" i="32"/>
  <c r="BB38" i="32"/>
  <c r="BB39" i="32"/>
  <c r="BB40" i="32"/>
  <c r="BB41" i="32"/>
  <c r="BB42" i="32"/>
  <c r="BB37" i="32"/>
  <c r="BB44" i="32"/>
  <c r="BB45" i="32"/>
  <c r="BB48" i="32"/>
  <c r="BB50" i="32"/>
  <c r="BB51" i="32"/>
  <c r="BB52" i="32"/>
  <c r="BB54" i="32"/>
  <c r="BB56" i="32"/>
  <c r="BB58" i="32"/>
  <c r="BB59" i="32"/>
  <c r="BB60" i="32"/>
  <c r="BB63" i="32"/>
  <c r="BB64" i="32"/>
  <c r="BB65" i="32"/>
  <c r="BB66" i="32"/>
  <c r="BB67" i="32"/>
  <c r="BB68" i="32"/>
  <c r="BB69" i="32"/>
  <c r="BB70" i="32"/>
  <c r="BB71" i="32"/>
  <c r="BB72" i="32"/>
  <c r="BB73" i="32"/>
  <c r="BB74" i="32"/>
  <c r="BB75" i="32"/>
  <c r="BB76" i="32"/>
  <c r="BB78" i="32"/>
  <c r="BB80" i="32"/>
  <c r="BB84" i="32"/>
  <c r="BB85" i="32"/>
  <c r="BB87" i="32"/>
  <c r="BD33" i="32"/>
  <c r="BD43" i="32"/>
  <c r="BC12" i="32"/>
  <c r="BC35" i="32"/>
  <c r="BC46" i="32"/>
  <c r="BC38" i="32"/>
  <c r="BC39" i="32"/>
  <c r="BC40" i="32"/>
  <c r="BC41" i="32"/>
  <c r="BC42" i="32"/>
  <c r="BC37" i="32"/>
  <c r="BC44" i="32"/>
  <c r="BC45" i="32"/>
  <c r="BC48" i="32"/>
  <c r="BC50" i="32"/>
  <c r="BC51" i="32"/>
  <c r="BC52" i="32"/>
  <c r="BC54" i="32"/>
  <c r="BC56" i="32"/>
  <c r="BC58" i="32"/>
  <c r="BC59" i="32"/>
  <c r="BC60" i="32"/>
  <c r="BC63" i="32"/>
  <c r="BC64" i="32"/>
  <c r="BC65" i="32"/>
  <c r="BC66" i="32"/>
  <c r="BC67" i="32"/>
  <c r="BC68" i="32"/>
  <c r="BC69" i="32"/>
  <c r="BC70" i="32"/>
  <c r="BC71" i="32"/>
  <c r="BC72" i="32"/>
  <c r="BC73" i="32"/>
  <c r="BC74" i="32"/>
  <c r="BC75" i="32"/>
  <c r="BC76" i="32"/>
  <c r="BC78" i="32"/>
  <c r="BC80" i="32"/>
  <c r="BC84" i="32"/>
  <c r="BC85" i="32"/>
  <c r="BC87" i="32"/>
  <c r="BE33" i="32"/>
  <c r="BE43" i="32"/>
  <c r="BD12" i="32"/>
  <c r="BD35" i="32"/>
  <c r="BD46" i="32"/>
  <c r="BD38" i="32"/>
  <c r="BD39" i="32"/>
  <c r="BD40" i="32"/>
  <c r="BD41" i="32"/>
  <c r="BD42" i="32"/>
  <c r="BD37" i="32"/>
  <c r="BD44" i="32"/>
  <c r="BD45" i="32"/>
  <c r="BD48" i="32"/>
  <c r="BD50" i="32"/>
  <c r="BD51" i="32"/>
  <c r="BD52" i="32"/>
  <c r="BD54" i="32"/>
  <c r="BD56" i="32"/>
  <c r="BD58" i="32"/>
  <c r="BD59" i="32"/>
  <c r="BD60" i="32"/>
  <c r="BD63" i="32"/>
  <c r="BD64" i="32"/>
  <c r="BD65" i="32"/>
  <c r="BD66" i="32"/>
  <c r="BD67" i="32"/>
  <c r="BD68" i="32"/>
  <c r="BD69" i="32"/>
  <c r="BD70" i="32"/>
  <c r="BD71" i="32"/>
  <c r="BD72" i="32"/>
  <c r="BD73" i="32"/>
  <c r="BD74" i="32"/>
  <c r="BD75" i="32"/>
  <c r="BD76" i="32"/>
  <c r="BD78" i="32"/>
  <c r="BD80" i="32"/>
  <c r="BD84" i="32"/>
  <c r="BD85" i="32"/>
  <c r="BD87" i="32"/>
  <c r="BF33" i="32"/>
  <c r="BF43" i="32"/>
  <c r="BE12" i="32"/>
  <c r="BE35" i="32"/>
  <c r="BE46" i="32"/>
  <c r="BE38" i="32"/>
  <c r="BE39" i="32"/>
  <c r="BE40" i="32"/>
  <c r="BE41" i="32"/>
  <c r="BE42" i="32"/>
  <c r="BE37" i="32"/>
  <c r="BE44" i="32"/>
  <c r="BE45" i="32"/>
  <c r="BE48" i="32"/>
  <c r="BE50" i="32"/>
  <c r="BE51" i="32"/>
  <c r="BE52" i="32"/>
  <c r="BE54" i="32"/>
  <c r="BE56" i="32"/>
  <c r="BE58" i="32"/>
  <c r="BE59" i="32"/>
  <c r="BE60" i="32"/>
  <c r="BE63" i="32"/>
  <c r="BE64" i="32"/>
  <c r="BE65" i="32"/>
  <c r="BE66" i="32"/>
  <c r="BE67" i="32"/>
  <c r="BE68" i="32"/>
  <c r="BE69" i="32"/>
  <c r="BE70" i="32"/>
  <c r="BE71" i="32"/>
  <c r="BE72" i="32"/>
  <c r="BE73" i="32"/>
  <c r="BE74" i="32"/>
  <c r="BE75" i="32"/>
  <c r="BE76" i="32"/>
  <c r="BE78" i="32"/>
  <c r="BE80" i="32"/>
  <c r="BE84" i="32"/>
  <c r="BE85" i="32"/>
  <c r="BE87" i="32"/>
  <c r="BG33" i="32"/>
  <c r="BG43" i="32"/>
  <c r="BF12" i="32"/>
  <c r="BF35" i="32"/>
  <c r="BF46" i="32"/>
  <c r="BF38" i="32"/>
  <c r="BF39" i="32"/>
  <c r="BF40" i="32"/>
  <c r="BF41" i="32"/>
  <c r="BF42" i="32"/>
  <c r="BF37" i="32"/>
  <c r="BF44" i="32"/>
  <c r="BF45" i="32"/>
  <c r="BF48" i="32"/>
  <c r="BF50" i="32"/>
  <c r="BF51" i="32"/>
  <c r="BF52" i="32"/>
  <c r="BF54" i="32"/>
  <c r="BF56" i="32"/>
  <c r="BF58" i="32"/>
  <c r="BF59" i="32"/>
  <c r="BF60" i="32"/>
  <c r="BF63" i="32"/>
  <c r="BF64" i="32"/>
  <c r="BF65" i="32"/>
  <c r="BF66" i="32"/>
  <c r="BF67" i="32"/>
  <c r="BF68" i="32"/>
  <c r="BF69" i="32"/>
  <c r="BF70" i="32"/>
  <c r="BF71" i="32"/>
  <c r="BF72" i="32"/>
  <c r="BF73" i="32"/>
  <c r="BF74" i="32"/>
  <c r="BF75" i="32"/>
  <c r="BF76" i="32"/>
  <c r="BF78" i="32"/>
  <c r="BF80" i="32"/>
  <c r="BF84" i="32"/>
  <c r="BF85" i="32"/>
  <c r="BF87" i="32"/>
  <c r="BH33" i="32"/>
  <c r="BH43" i="32"/>
  <c r="BG12" i="32"/>
  <c r="BG35" i="32"/>
  <c r="BG46" i="32"/>
  <c r="BG38" i="32"/>
  <c r="BG39" i="32"/>
  <c r="BG40" i="32"/>
  <c r="BG41" i="32"/>
  <c r="BG42" i="32"/>
  <c r="BG37" i="32"/>
  <c r="BG44" i="32"/>
  <c r="BG45" i="32"/>
  <c r="BG48" i="32"/>
  <c r="BG50" i="32"/>
  <c r="BG51" i="32"/>
  <c r="BG52" i="32"/>
  <c r="BG54" i="32"/>
  <c r="BG56" i="32"/>
  <c r="BG58" i="32"/>
  <c r="BG59" i="32"/>
  <c r="BG60" i="32"/>
  <c r="BG63" i="32"/>
  <c r="BG64" i="32"/>
  <c r="BG65" i="32"/>
  <c r="BG66" i="32"/>
  <c r="BG67" i="32"/>
  <c r="BG68" i="32"/>
  <c r="BG69" i="32"/>
  <c r="BG70" i="32"/>
  <c r="BG71" i="32"/>
  <c r="BG72" i="32"/>
  <c r="BG73" i="32"/>
  <c r="BG74" i="32"/>
  <c r="BG75" i="32"/>
  <c r="BG76" i="32"/>
  <c r="BG78" i="32"/>
  <c r="BG80" i="32"/>
  <c r="BG84" i="32"/>
  <c r="BG85" i="32"/>
  <c r="BG87" i="32"/>
  <c r="BI33" i="32"/>
  <c r="BI43" i="32"/>
  <c r="BH12" i="32"/>
  <c r="BH35" i="32"/>
  <c r="BH46" i="32"/>
  <c r="BH38" i="32"/>
  <c r="BH39" i="32"/>
  <c r="BH40" i="32"/>
  <c r="BH41" i="32"/>
  <c r="BH42" i="32"/>
  <c r="BH37" i="32"/>
  <c r="BH44" i="32"/>
  <c r="BH45" i="32"/>
  <c r="BH48" i="32"/>
  <c r="BH50" i="32"/>
  <c r="BH51" i="32"/>
  <c r="BH52" i="32"/>
  <c r="BH54" i="32"/>
  <c r="BH56" i="32"/>
  <c r="BH58" i="32"/>
  <c r="BH59" i="32"/>
  <c r="BH60" i="32"/>
  <c r="BH63" i="32"/>
  <c r="BH64" i="32"/>
  <c r="BH65" i="32"/>
  <c r="BH66" i="32"/>
  <c r="BH67" i="32"/>
  <c r="BH68" i="32"/>
  <c r="BH69" i="32"/>
  <c r="BH70" i="32"/>
  <c r="BH71" i="32"/>
  <c r="BH72" i="32"/>
  <c r="BH73" i="32"/>
  <c r="BH74" i="32"/>
  <c r="BH75" i="32"/>
  <c r="BH76" i="32"/>
  <c r="BH78" i="32"/>
  <c r="BH80" i="32"/>
  <c r="BH84" i="32"/>
  <c r="BH85" i="32"/>
  <c r="BH87" i="32"/>
  <c r="BJ33" i="32"/>
  <c r="BJ43" i="32"/>
  <c r="BI12" i="32"/>
  <c r="BI35" i="32"/>
  <c r="BI46" i="32"/>
  <c r="BI38" i="32"/>
  <c r="BI39" i="32"/>
  <c r="BI40" i="32"/>
  <c r="BI41" i="32"/>
  <c r="BI42" i="32"/>
  <c r="BI37" i="32"/>
  <c r="BI44" i="32"/>
  <c r="BI45" i="32"/>
  <c r="BI48" i="32"/>
  <c r="BI50" i="32"/>
  <c r="BI51" i="32"/>
  <c r="BI52" i="32"/>
  <c r="BI54" i="32"/>
  <c r="BI56" i="32"/>
  <c r="BI58" i="32"/>
  <c r="BI59" i="32"/>
  <c r="BI60" i="32"/>
  <c r="BI63" i="32"/>
  <c r="BI64" i="32"/>
  <c r="BI65" i="32"/>
  <c r="BI66" i="32"/>
  <c r="BI67" i="32"/>
  <c r="BI68" i="32"/>
  <c r="BI69" i="32"/>
  <c r="BI70" i="32"/>
  <c r="BI71" i="32"/>
  <c r="BI72" i="32"/>
  <c r="BI73" i="32"/>
  <c r="BI74" i="32"/>
  <c r="BI75" i="32"/>
  <c r="BI76" i="32"/>
  <c r="BI78" i="32"/>
  <c r="BI80" i="32"/>
  <c r="BI84" i="32"/>
  <c r="BI85" i="32"/>
  <c r="BI87" i="32"/>
  <c r="BK33" i="32"/>
  <c r="BK43" i="32"/>
  <c r="BJ12" i="32"/>
  <c r="BJ35" i="32"/>
  <c r="BJ46" i="32"/>
  <c r="BJ38" i="32"/>
  <c r="BJ39" i="32"/>
  <c r="BJ40" i="32"/>
  <c r="BJ41" i="32"/>
  <c r="BJ42" i="32"/>
  <c r="BJ37" i="32"/>
  <c r="BJ44" i="32"/>
  <c r="BJ45" i="32"/>
  <c r="BJ48" i="32"/>
  <c r="BJ50" i="32"/>
  <c r="BJ51" i="32"/>
  <c r="BJ52" i="32"/>
  <c r="BJ54" i="32"/>
  <c r="BJ56" i="32"/>
  <c r="BJ58" i="32"/>
  <c r="BJ59" i="32"/>
  <c r="BJ60" i="32"/>
  <c r="BJ63" i="32"/>
  <c r="BJ64" i="32"/>
  <c r="BJ65" i="32"/>
  <c r="BJ66" i="32"/>
  <c r="BJ67" i="32"/>
  <c r="BJ68" i="32"/>
  <c r="BJ69" i="32"/>
  <c r="BJ70" i="32"/>
  <c r="BJ71" i="32"/>
  <c r="BJ72" i="32"/>
  <c r="BJ73" i="32"/>
  <c r="BJ74" i="32"/>
  <c r="BJ75" i="32"/>
  <c r="BJ76" i="32"/>
  <c r="BJ78" i="32"/>
  <c r="BJ80" i="32"/>
  <c r="BJ84" i="32"/>
  <c r="BJ85" i="32"/>
  <c r="BJ87" i="32"/>
  <c r="J17" i="2"/>
  <c r="S17" i="2"/>
  <c r="M17" i="2"/>
  <c r="BL33" i="32"/>
  <c r="BL43" i="32"/>
  <c r="BK12" i="32"/>
  <c r="BK35" i="32"/>
  <c r="BK46" i="32"/>
  <c r="BK38" i="32"/>
  <c r="BK39" i="32"/>
  <c r="BK40" i="32"/>
  <c r="BK41" i="32"/>
  <c r="BK42" i="32"/>
  <c r="BK37" i="32"/>
  <c r="BK44" i="32"/>
  <c r="BK45" i="32"/>
  <c r="BK48" i="32"/>
  <c r="BK50" i="32"/>
  <c r="BK51" i="32"/>
  <c r="BK52" i="32"/>
  <c r="BK54" i="32"/>
  <c r="BK56" i="32"/>
  <c r="BK58" i="32"/>
  <c r="BK59" i="32"/>
  <c r="BK60" i="32"/>
  <c r="BK63" i="32"/>
  <c r="BK64" i="32"/>
  <c r="BK65" i="32"/>
  <c r="BK66" i="32"/>
  <c r="BK67" i="32"/>
  <c r="BK68" i="32"/>
  <c r="BK69" i="32"/>
  <c r="BK70" i="32"/>
  <c r="BK71" i="32"/>
  <c r="BK72" i="32"/>
  <c r="BK73" i="32"/>
  <c r="BK74" i="32"/>
  <c r="BK75" i="32"/>
  <c r="BK76" i="32"/>
  <c r="BK78" i="32"/>
  <c r="BK80" i="32"/>
  <c r="BK84" i="32"/>
  <c r="BK85" i="32"/>
  <c r="BK87" i="32"/>
  <c r="BM33" i="32"/>
  <c r="BM43" i="32"/>
  <c r="BL12" i="32"/>
  <c r="BL35" i="32"/>
  <c r="I72" i="2"/>
  <c r="BL46" i="32"/>
  <c r="BL38" i="32"/>
  <c r="BL39" i="32"/>
  <c r="BL40" i="32"/>
  <c r="BL41" i="32"/>
  <c r="BL42" i="32"/>
  <c r="BL37" i="32"/>
  <c r="BL44" i="32"/>
  <c r="BL45" i="32"/>
  <c r="BL48" i="32"/>
  <c r="BL50" i="32"/>
  <c r="I79" i="2"/>
  <c r="BL51" i="32"/>
  <c r="BL52" i="32"/>
  <c r="BL54" i="32"/>
  <c r="BL56" i="32"/>
  <c r="I77" i="2"/>
  <c r="BL58" i="32"/>
  <c r="BL59" i="32"/>
  <c r="BL60" i="32"/>
  <c r="BL63" i="32"/>
  <c r="BL64" i="32"/>
  <c r="BL65" i="32"/>
  <c r="BL66" i="32"/>
  <c r="BL67" i="32"/>
  <c r="BL68" i="32"/>
  <c r="BL69" i="32"/>
  <c r="BL70" i="32"/>
  <c r="BL71" i="32"/>
  <c r="BL72" i="32"/>
  <c r="BL73" i="32"/>
  <c r="BL74" i="32"/>
  <c r="BL75" i="32"/>
  <c r="BL76" i="32"/>
  <c r="BL78" i="32"/>
  <c r="BL80" i="32"/>
  <c r="O17" i="2"/>
  <c r="BL84" i="32"/>
  <c r="BL85" i="32"/>
  <c r="BL87" i="32"/>
  <c r="BN33" i="32"/>
  <c r="BN43" i="32"/>
  <c r="BM12" i="32"/>
  <c r="BM35" i="32"/>
  <c r="BM46" i="32"/>
  <c r="BM38" i="32"/>
  <c r="BM39" i="32"/>
  <c r="BM40" i="32"/>
  <c r="BM41" i="32"/>
  <c r="BM42" i="32"/>
  <c r="BM37" i="32"/>
  <c r="BM44" i="32"/>
  <c r="BM45" i="32"/>
  <c r="BM48" i="32"/>
  <c r="BM50" i="32"/>
  <c r="BM51" i="32"/>
  <c r="BM52" i="32"/>
  <c r="BM54" i="32"/>
  <c r="BM56" i="32"/>
  <c r="BM58" i="32"/>
  <c r="BM59" i="32"/>
  <c r="BM60" i="32"/>
  <c r="BM63" i="32"/>
  <c r="BM64" i="32"/>
  <c r="BM65" i="32"/>
  <c r="BM66" i="32"/>
  <c r="BM67" i="32"/>
  <c r="BM68" i="32"/>
  <c r="BM69" i="32"/>
  <c r="BM70" i="32"/>
  <c r="BM71" i="32"/>
  <c r="BM72" i="32"/>
  <c r="BM73" i="32"/>
  <c r="BM74" i="32"/>
  <c r="BM75" i="32"/>
  <c r="BM76" i="32"/>
  <c r="BM78" i="32"/>
  <c r="BM80" i="32"/>
  <c r="BM84" i="32"/>
  <c r="BM85" i="32"/>
  <c r="BM87" i="32"/>
  <c r="BO33" i="32"/>
  <c r="BO43" i="32"/>
  <c r="BN12" i="32"/>
  <c r="BN35" i="32"/>
  <c r="BN46" i="32"/>
  <c r="BN38" i="32"/>
  <c r="BN39" i="32"/>
  <c r="BN40" i="32"/>
  <c r="BN41" i="32"/>
  <c r="BN42" i="32"/>
  <c r="BN37" i="32"/>
  <c r="BN44" i="32"/>
  <c r="BN45" i="32"/>
  <c r="BN48" i="32"/>
  <c r="BN50" i="32"/>
  <c r="BN51" i="32"/>
  <c r="BN52" i="32"/>
  <c r="BN54" i="32"/>
  <c r="BN56" i="32"/>
  <c r="BN58" i="32"/>
  <c r="BN59" i="32"/>
  <c r="BN60" i="32"/>
  <c r="BN63" i="32"/>
  <c r="BN64" i="32"/>
  <c r="BN65" i="32"/>
  <c r="BN66" i="32"/>
  <c r="BN67" i="32"/>
  <c r="BN68" i="32"/>
  <c r="BN69" i="32"/>
  <c r="BN70" i="32"/>
  <c r="BN71" i="32"/>
  <c r="BN72" i="32"/>
  <c r="BN73" i="32"/>
  <c r="BN74" i="32"/>
  <c r="BN75" i="32"/>
  <c r="BN76" i="32"/>
  <c r="BN78" i="32"/>
  <c r="BN80" i="32"/>
  <c r="BN84" i="32"/>
  <c r="BN85" i="32"/>
  <c r="BN87" i="32"/>
  <c r="BP33" i="32"/>
  <c r="BP43" i="32"/>
  <c r="BO12" i="32"/>
  <c r="BO35" i="32"/>
  <c r="BO46" i="32"/>
  <c r="BO38" i="32"/>
  <c r="BO39" i="32"/>
  <c r="BO40" i="32"/>
  <c r="BO41" i="32"/>
  <c r="BO42" i="32"/>
  <c r="BO37" i="32"/>
  <c r="BO44" i="32"/>
  <c r="BO45" i="32"/>
  <c r="BO48" i="32"/>
  <c r="BO50" i="32"/>
  <c r="BO51" i="32"/>
  <c r="BO52" i="32"/>
  <c r="BO54" i="32"/>
  <c r="BO56" i="32"/>
  <c r="BO58" i="32"/>
  <c r="BO59" i="32"/>
  <c r="BO60" i="32"/>
  <c r="BO63" i="32"/>
  <c r="BO64" i="32"/>
  <c r="BO65" i="32"/>
  <c r="BO66" i="32"/>
  <c r="BO67" i="32"/>
  <c r="BO68" i="32"/>
  <c r="BO69" i="32"/>
  <c r="BO70" i="32"/>
  <c r="BO71" i="32"/>
  <c r="BO72" i="32"/>
  <c r="BO73" i="32"/>
  <c r="BO74" i="32"/>
  <c r="BO75" i="32"/>
  <c r="BO76" i="32"/>
  <c r="BO78" i="32"/>
  <c r="BO80" i="32"/>
  <c r="BO84" i="32"/>
  <c r="BO85" i="32"/>
  <c r="BO87" i="32"/>
  <c r="BQ33" i="32"/>
  <c r="BQ43" i="32"/>
  <c r="BP12" i="32"/>
  <c r="BP35" i="32"/>
  <c r="BP46" i="32"/>
  <c r="BP38" i="32"/>
  <c r="BP39" i="32"/>
  <c r="BP40" i="32"/>
  <c r="BP41" i="32"/>
  <c r="BP42" i="32"/>
  <c r="BP37" i="32"/>
  <c r="BP44" i="32"/>
  <c r="BP45" i="32"/>
  <c r="BP48" i="32"/>
  <c r="BP50" i="32"/>
  <c r="BP51" i="32"/>
  <c r="BP52" i="32"/>
  <c r="BP54" i="32"/>
  <c r="BP56" i="32"/>
  <c r="BP58" i="32"/>
  <c r="BP59" i="32"/>
  <c r="BP60" i="32"/>
  <c r="BP63" i="32"/>
  <c r="BP64" i="32"/>
  <c r="BP65" i="32"/>
  <c r="BP66" i="32"/>
  <c r="BP67" i="32"/>
  <c r="BP68" i="32"/>
  <c r="BP69" i="32"/>
  <c r="BP70" i="32"/>
  <c r="BP71" i="32"/>
  <c r="BP72" i="32"/>
  <c r="BP73" i="32"/>
  <c r="BP74" i="32"/>
  <c r="BP75" i="32"/>
  <c r="BP76" i="32"/>
  <c r="BP78" i="32"/>
  <c r="BP80" i="32"/>
  <c r="BP84" i="32"/>
  <c r="BP85" i="32"/>
  <c r="BP87" i="32"/>
  <c r="BR33" i="32"/>
  <c r="BR43" i="32"/>
  <c r="BQ12" i="32"/>
  <c r="BQ35" i="32"/>
  <c r="BQ46" i="32"/>
  <c r="BQ38" i="32"/>
  <c r="BQ39" i="32"/>
  <c r="BQ40" i="32"/>
  <c r="BQ41" i="32"/>
  <c r="BQ42" i="32"/>
  <c r="BQ37" i="32"/>
  <c r="BQ44" i="32"/>
  <c r="BQ45" i="32"/>
  <c r="BQ48" i="32"/>
  <c r="BQ50" i="32"/>
  <c r="BQ51" i="32"/>
  <c r="BQ52" i="32"/>
  <c r="BQ54" i="32"/>
  <c r="BQ56" i="32"/>
  <c r="BQ58" i="32"/>
  <c r="BQ59" i="32"/>
  <c r="BQ60" i="32"/>
  <c r="BQ63" i="32"/>
  <c r="BQ64" i="32"/>
  <c r="BQ65" i="32"/>
  <c r="BQ66" i="32"/>
  <c r="BQ67" i="32"/>
  <c r="BQ68" i="32"/>
  <c r="BQ69" i="32"/>
  <c r="BQ70" i="32"/>
  <c r="BQ71" i="32"/>
  <c r="BQ72" i="32"/>
  <c r="BQ73" i="32"/>
  <c r="BQ74" i="32"/>
  <c r="BQ75" i="32"/>
  <c r="BQ76" i="32"/>
  <c r="BQ78" i="32"/>
  <c r="BQ80" i="32"/>
  <c r="BQ84" i="32"/>
  <c r="BQ85" i="32"/>
  <c r="BQ87" i="32"/>
  <c r="BS33" i="32"/>
  <c r="BS43" i="32"/>
  <c r="BR12" i="32"/>
  <c r="BR35" i="32"/>
  <c r="BR46" i="32"/>
  <c r="BR38" i="32"/>
  <c r="BR39" i="32"/>
  <c r="BR40" i="32"/>
  <c r="BR41" i="32"/>
  <c r="BR42" i="32"/>
  <c r="BR37" i="32"/>
  <c r="BR44" i="32"/>
  <c r="BR45" i="32"/>
  <c r="BR48" i="32"/>
  <c r="BR50" i="32"/>
  <c r="BR51" i="32"/>
  <c r="BR52" i="32"/>
  <c r="BR54" i="32"/>
  <c r="BR56" i="32"/>
  <c r="BR58" i="32"/>
  <c r="BR59" i="32"/>
  <c r="BR60" i="32"/>
  <c r="BR63" i="32"/>
  <c r="BR64" i="32"/>
  <c r="BR65" i="32"/>
  <c r="BR66" i="32"/>
  <c r="BR67" i="32"/>
  <c r="BR68" i="32"/>
  <c r="BR69" i="32"/>
  <c r="BR70" i="32"/>
  <c r="BR71" i="32"/>
  <c r="BR72" i="32"/>
  <c r="BR73" i="32"/>
  <c r="BR74" i="32"/>
  <c r="BR75" i="32"/>
  <c r="BR76" i="32"/>
  <c r="BR78" i="32"/>
  <c r="BR80" i="32"/>
  <c r="BR84" i="32"/>
  <c r="BR85" i="32"/>
  <c r="BR87" i="32"/>
  <c r="BT33" i="32"/>
  <c r="BT43" i="32"/>
  <c r="BS12" i="32"/>
  <c r="BS35" i="32"/>
  <c r="BS46" i="32"/>
  <c r="BS38" i="32"/>
  <c r="BS39" i="32"/>
  <c r="BS40" i="32"/>
  <c r="BS41" i="32"/>
  <c r="BS42" i="32"/>
  <c r="BS37" i="32"/>
  <c r="BS44" i="32"/>
  <c r="BS45" i="32"/>
  <c r="BS48" i="32"/>
  <c r="BS50" i="32"/>
  <c r="BS51" i="32"/>
  <c r="BS52" i="32"/>
  <c r="BS54" i="32"/>
  <c r="BS56" i="32"/>
  <c r="BS58" i="32"/>
  <c r="BS59" i="32"/>
  <c r="BS60" i="32"/>
  <c r="BS63" i="32"/>
  <c r="BS64" i="32"/>
  <c r="BS65" i="32"/>
  <c r="BS66" i="32"/>
  <c r="BS67" i="32"/>
  <c r="BS68" i="32"/>
  <c r="BS69" i="32"/>
  <c r="BS70" i="32"/>
  <c r="BS71" i="32"/>
  <c r="BS72" i="32"/>
  <c r="BS73" i="32"/>
  <c r="BS74" i="32"/>
  <c r="BS75" i="32"/>
  <c r="BS76" i="32"/>
  <c r="BS78" i="32"/>
  <c r="BS80" i="32"/>
  <c r="BS84" i="32"/>
  <c r="BS85" i="32"/>
  <c r="BS87" i="32"/>
  <c r="BU33" i="32"/>
  <c r="BU43" i="32"/>
  <c r="BT12" i="32"/>
  <c r="BT35" i="32"/>
  <c r="BT46" i="32"/>
  <c r="BT38" i="32"/>
  <c r="BT39" i="32"/>
  <c r="BT40" i="32"/>
  <c r="BT41" i="32"/>
  <c r="BT42" i="32"/>
  <c r="BT37" i="32"/>
  <c r="BT44" i="32"/>
  <c r="BT45" i="32"/>
  <c r="BT48" i="32"/>
  <c r="BT50" i="32"/>
  <c r="BT51" i="32"/>
  <c r="BT52" i="32"/>
  <c r="BT54" i="32"/>
  <c r="BT56" i="32"/>
  <c r="BT58" i="32"/>
  <c r="BT59" i="32"/>
  <c r="BT60" i="32"/>
  <c r="BT63" i="32"/>
  <c r="BT64" i="32"/>
  <c r="BT65" i="32"/>
  <c r="BT66" i="32"/>
  <c r="BT67" i="32"/>
  <c r="BT68" i="32"/>
  <c r="BT69" i="32"/>
  <c r="BT70" i="32"/>
  <c r="BT71" i="32"/>
  <c r="BT72" i="32"/>
  <c r="BT73" i="32"/>
  <c r="BT74" i="32"/>
  <c r="BT75" i="32"/>
  <c r="BT76" i="32"/>
  <c r="BT78" i="32"/>
  <c r="BT80" i="32"/>
  <c r="BT84" i="32"/>
  <c r="BT85" i="32"/>
  <c r="BT87" i="32"/>
  <c r="BV33" i="32"/>
  <c r="BV43" i="32"/>
  <c r="BU12" i="32"/>
  <c r="BU35" i="32"/>
  <c r="BU46" i="32"/>
  <c r="BU38" i="32"/>
  <c r="BU39" i="32"/>
  <c r="BU40" i="32"/>
  <c r="BU41" i="32"/>
  <c r="BU42" i="32"/>
  <c r="BU37" i="32"/>
  <c r="BU44" i="32"/>
  <c r="BU45" i="32"/>
  <c r="BU48" i="32"/>
  <c r="BU50" i="32"/>
  <c r="BU51" i="32"/>
  <c r="BU52" i="32"/>
  <c r="BU54" i="32"/>
  <c r="BU56" i="32"/>
  <c r="BU58" i="32"/>
  <c r="BU59" i="32"/>
  <c r="BU60" i="32"/>
  <c r="BU63" i="32"/>
  <c r="BU64" i="32"/>
  <c r="BU65" i="32"/>
  <c r="BU66" i="32"/>
  <c r="BU67" i="32"/>
  <c r="BU68" i="32"/>
  <c r="BU69" i="32"/>
  <c r="BU70" i="32"/>
  <c r="BU71" i="32"/>
  <c r="BU72" i="32"/>
  <c r="BU73" i="32"/>
  <c r="BU74" i="32"/>
  <c r="BU75" i="32"/>
  <c r="BU76" i="32"/>
  <c r="BU78" i="32"/>
  <c r="BU80" i="32"/>
  <c r="BU84" i="32"/>
  <c r="BU85" i="32"/>
  <c r="BU87" i="32"/>
  <c r="BW33" i="32"/>
  <c r="BW43" i="32"/>
  <c r="BV12" i="32"/>
  <c r="BV35" i="32"/>
  <c r="BV46" i="32"/>
  <c r="BV38" i="32"/>
  <c r="BV39" i="32"/>
  <c r="BV40" i="32"/>
  <c r="BV41" i="32"/>
  <c r="BV42" i="32"/>
  <c r="BV37" i="32"/>
  <c r="BV44" i="32"/>
  <c r="BV45" i="32"/>
  <c r="BV48" i="32"/>
  <c r="BV50" i="32"/>
  <c r="BV51" i="32"/>
  <c r="BV52" i="32"/>
  <c r="BV54" i="32"/>
  <c r="BV56" i="32"/>
  <c r="BV58" i="32"/>
  <c r="BV59" i="32"/>
  <c r="BV60" i="32"/>
  <c r="BV63" i="32"/>
  <c r="BV64" i="32"/>
  <c r="BV65" i="32"/>
  <c r="BV66" i="32"/>
  <c r="BV67" i="32"/>
  <c r="BV68" i="32"/>
  <c r="BV69" i="32"/>
  <c r="BV70" i="32"/>
  <c r="BV71" i="32"/>
  <c r="BV72" i="32"/>
  <c r="BV73" i="32"/>
  <c r="BV74" i="32"/>
  <c r="BV75" i="32"/>
  <c r="BV76" i="32"/>
  <c r="BV78" i="32"/>
  <c r="BV80" i="32"/>
  <c r="BV84" i="32"/>
  <c r="BV85" i="32"/>
  <c r="BV87" i="32"/>
  <c r="J18" i="2"/>
  <c r="S18" i="2"/>
  <c r="M18" i="2"/>
  <c r="BX33" i="32"/>
  <c r="BX43" i="32"/>
  <c r="BW12" i="32"/>
  <c r="BW35" i="32"/>
  <c r="BW46" i="32"/>
  <c r="BW38" i="32"/>
  <c r="BW39" i="32"/>
  <c r="BW40" i="32"/>
  <c r="BW41" i="32"/>
  <c r="BW42" i="32"/>
  <c r="BW37" i="32"/>
  <c r="BW44" i="32"/>
  <c r="BW45" i="32"/>
  <c r="BW48" i="32"/>
  <c r="BW50" i="32"/>
  <c r="BW51" i="32"/>
  <c r="BW52" i="32"/>
  <c r="BW54" i="32"/>
  <c r="BW56" i="32"/>
  <c r="BW58" i="32"/>
  <c r="BW59" i="32"/>
  <c r="BW60" i="32"/>
  <c r="BW63" i="32"/>
  <c r="BW64" i="32"/>
  <c r="BW65" i="32"/>
  <c r="BW66" i="32"/>
  <c r="BW67" i="32"/>
  <c r="BW68" i="32"/>
  <c r="BW69" i="32"/>
  <c r="BW70" i="32"/>
  <c r="BW71" i="32"/>
  <c r="BW72" i="32"/>
  <c r="BW73" i="32"/>
  <c r="BW74" i="32"/>
  <c r="BW75" i="32"/>
  <c r="BW76" i="32"/>
  <c r="BW78" i="32"/>
  <c r="BW80" i="32"/>
  <c r="BW84" i="32"/>
  <c r="BW85" i="32"/>
  <c r="BW87" i="32"/>
  <c r="BY33" i="32"/>
  <c r="BY43" i="32"/>
  <c r="BX12" i="32"/>
  <c r="BX35" i="32"/>
  <c r="J72" i="2"/>
  <c r="BX46" i="32"/>
  <c r="BX38" i="32"/>
  <c r="BX39" i="32"/>
  <c r="BX40" i="32"/>
  <c r="BX41" i="32"/>
  <c r="BX42" i="32"/>
  <c r="BX37" i="32"/>
  <c r="BX44" i="32"/>
  <c r="BX45" i="32"/>
  <c r="BX48" i="32"/>
  <c r="BX50" i="32"/>
  <c r="J79" i="2"/>
  <c r="BX51" i="32"/>
  <c r="BX52" i="32"/>
  <c r="BX54" i="32"/>
  <c r="BX56" i="32"/>
  <c r="J77" i="2"/>
  <c r="BX58" i="32"/>
  <c r="BX59" i="32"/>
  <c r="BX60" i="32"/>
  <c r="BX63" i="32"/>
  <c r="BX64" i="32"/>
  <c r="BX65" i="32"/>
  <c r="BX66" i="32"/>
  <c r="BX67" i="32"/>
  <c r="BX68" i="32"/>
  <c r="BX69" i="32"/>
  <c r="BX70" i="32"/>
  <c r="BX71" i="32"/>
  <c r="BX72" i="32"/>
  <c r="BX73" i="32"/>
  <c r="BX74" i="32"/>
  <c r="BX75" i="32"/>
  <c r="BX76" i="32"/>
  <c r="BX78" i="32"/>
  <c r="BX80" i="32"/>
  <c r="O18" i="2"/>
  <c r="BX84" i="32"/>
  <c r="BX85" i="32"/>
  <c r="BX87" i="32"/>
  <c r="BZ33" i="32"/>
  <c r="BZ43" i="32"/>
  <c r="BY12" i="32"/>
  <c r="BY35" i="32"/>
  <c r="BY46" i="32"/>
  <c r="BY38" i="32"/>
  <c r="BY39" i="32"/>
  <c r="BY40" i="32"/>
  <c r="BY41" i="32"/>
  <c r="BY42" i="32"/>
  <c r="BY37" i="32"/>
  <c r="BY44" i="32"/>
  <c r="BY45" i="32"/>
  <c r="BY48" i="32"/>
  <c r="BY50" i="32"/>
  <c r="BY51" i="32"/>
  <c r="BY52" i="32"/>
  <c r="BY54" i="32"/>
  <c r="BY56" i="32"/>
  <c r="BY58" i="32"/>
  <c r="BY59" i="32"/>
  <c r="BY60" i="32"/>
  <c r="BY63" i="32"/>
  <c r="BY64" i="32"/>
  <c r="BY65" i="32"/>
  <c r="BY66" i="32"/>
  <c r="BY67" i="32"/>
  <c r="BY68" i="32"/>
  <c r="BY69" i="32"/>
  <c r="BY70" i="32"/>
  <c r="BY71" i="32"/>
  <c r="BY72" i="32"/>
  <c r="BY73" i="32"/>
  <c r="BY74" i="32"/>
  <c r="BY75" i="32"/>
  <c r="BY76" i="32"/>
  <c r="BY78" i="32"/>
  <c r="BY80" i="32"/>
  <c r="BY84" i="32"/>
  <c r="BY85" i="32"/>
  <c r="BY87" i="32"/>
  <c r="CA33" i="32"/>
  <c r="CA43" i="32"/>
  <c r="BZ12" i="32"/>
  <c r="BZ35" i="32"/>
  <c r="BZ46" i="32"/>
  <c r="BZ38" i="32"/>
  <c r="BZ39" i="32"/>
  <c r="BZ40" i="32"/>
  <c r="BZ41" i="32"/>
  <c r="BZ42" i="32"/>
  <c r="BZ37" i="32"/>
  <c r="BZ44" i="32"/>
  <c r="BZ45" i="32"/>
  <c r="BZ48" i="32"/>
  <c r="BZ50" i="32"/>
  <c r="BZ51" i="32"/>
  <c r="BZ52" i="32"/>
  <c r="BZ54" i="32"/>
  <c r="BZ56" i="32"/>
  <c r="BZ58" i="32"/>
  <c r="BZ59" i="32"/>
  <c r="BZ60" i="32"/>
  <c r="BZ63" i="32"/>
  <c r="BZ64" i="32"/>
  <c r="BZ65" i="32"/>
  <c r="BZ66" i="32"/>
  <c r="BZ67" i="32"/>
  <c r="BZ68" i="32"/>
  <c r="BZ69" i="32"/>
  <c r="BZ70" i="32"/>
  <c r="BZ71" i="32"/>
  <c r="BZ72" i="32"/>
  <c r="BZ73" i="32"/>
  <c r="BZ74" i="32"/>
  <c r="BZ75" i="32"/>
  <c r="BZ76" i="32"/>
  <c r="BZ78" i="32"/>
  <c r="BZ80" i="32"/>
  <c r="BZ84" i="32"/>
  <c r="BZ85" i="32"/>
  <c r="BZ87" i="32"/>
  <c r="CB33" i="32"/>
  <c r="CB43" i="32"/>
  <c r="CA12" i="32"/>
  <c r="CA35" i="32"/>
  <c r="CA46" i="32"/>
  <c r="CA38" i="32"/>
  <c r="CA39" i="32"/>
  <c r="CA40" i="32"/>
  <c r="CA41" i="32"/>
  <c r="CA42" i="32"/>
  <c r="CA37" i="32"/>
  <c r="CA44" i="32"/>
  <c r="CA45" i="32"/>
  <c r="CA48" i="32"/>
  <c r="CA50" i="32"/>
  <c r="CA51" i="32"/>
  <c r="CA52" i="32"/>
  <c r="CA54" i="32"/>
  <c r="CA56" i="32"/>
  <c r="CA58" i="32"/>
  <c r="CA59" i="32"/>
  <c r="CA60" i="32"/>
  <c r="CA63" i="32"/>
  <c r="CA64" i="32"/>
  <c r="CA65" i="32"/>
  <c r="CA66" i="32"/>
  <c r="CA67" i="32"/>
  <c r="CA68" i="32"/>
  <c r="CA69" i="32"/>
  <c r="CA70" i="32"/>
  <c r="CA71" i="32"/>
  <c r="CA72" i="32"/>
  <c r="CA73" i="32"/>
  <c r="CA74" i="32"/>
  <c r="CA75" i="32"/>
  <c r="CA76" i="32"/>
  <c r="CA78" i="32"/>
  <c r="CA80" i="32"/>
  <c r="CA84" i="32"/>
  <c r="CA85" i="32"/>
  <c r="CA87" i="32"/>
  <c r="CC33" i="32"/>
  <c r="CC43" i="32"/>
  <c r="CB12" i="32"/>
  <c r="CB35" i="32"/>
  <c r="CB46" i="32"/>
  <c r="CB38" i="32"/>
  <c r="CB39" i="32"/>
  <c r="CB40" i="32"/>
  <c r="CB41" i="32"/>
  <c r="CB42" i="32"/>
  <c r="CB37" i="32"/>
  <c r="CB44" i="32"/>
  <c r="CB45" i="32"/>
  <c r="CB48" i="32"/>
  <c r="CB50" i="32"/>
  <c r="CB51" i="32"/>
  <c r="CB52" i="32"/>
  <c r="CB54" i="32"/>
  <c r="CB56" i="32"/>
  <c r="CB58" i="32"/>
  <c r="CB59" i="32"/>
  <c r="CB60" i="32"/>
  <c r="CB63" i="32"/>
  <c r="CB64" i="32"/>
  <c r="CB65" i="32"/>
  <c r="CB66" i="32"/>
  <c r="CB67" i="32"/>
  <c r="CB68" i="32"/>
  <c r="CB69" i="32"/>
  <c r="CB70" i="32"/>
  <c r="CB71" i="32"/>
  <c r="CB72" i="32"/>
  <c r="CB73" i="32"/>
  <c r="CB74" i="32"/>
  <c r="CB75" i="32"/>
  <c r="CB76" i="32"/>
  <c r="CB78" i="32"/>
  <c r="CB80" i="32"/>
  <c r="CB84" i="32"/>
  <c r="CB85" i="32"/>
  <c r="CB87" i="32"/>
  <c r="CD33" i="32"/>
  <c r="CD43" i="32"/>
  <c r="CC12" i="32"/>
  <c r="CC35" i="32"/>
  <c r="CC46" i="32"/>
  <c r="CC38" i="32"/>
  <c r="CC39" i="32"/>
  <c r="CC40" i="32"/>
  <c r="CC41" i="32"/>
  <c r="CC42" i="32"/>
  <c r="CC37" i="32"/>
  <c r="CC44" i="32"/>
  <c r="CC45" i="32"/>
  <c r="CC48" i="32"/>
  <c r="CC50" i="32"/>
  <c r="CC51" i="32"/>
  <c r="CC52" i="32"/>
  <c r="CC54" i="32"/>
  <c r="CC56" i="32"/>
  <c r="CC58" i="32"/>
  <c r="CC59" i="32"/>
  <c r="CC60" i="32"/>
  <c r="CC63" i="32"/>
  <c r="CC64" i="32"/>
  <c r="CC65" i="32"/>
  <c r="CC66" i="32"/>
  <c r="CC67" i="32"/>
  <c r="CC68" i="32"/>
  <c r="CC69" i="32"/>
  <c r="CC70" i="32"/>
  <c r="CC71" i="32"/>
  <c r="CC72" i="32"/>
  <c r="CC73" i="32"/>
  <c r="CC74" i="32"/>
  <c r="CC75" i="32"/>
  <c r="CC76" i="32"/>
  <c r="CC78" i="32"/>
  <c r="CC80" i="32"/>
  <c r="CC84" i="32"/>
  <c r="CC85" i="32"/>
  <c r="CC87" i="32"/>
  <c r="CE33" i="32"/>
  <c r="CE43" i="32"/>
  <c r="CD12" i="32"/>
  <c r="CD35" i="32"/>
  <c r="CD46" i="32"/>
  <c r="CD38" i="32"/>
  <c r="CD39" i="32"/>
  <c r="CD40" i="32"/>
  <c r="CD41" i="32"/>
  <c r="CD42" i="32"/>
  <c r="CD37" i="32"/>
  <c r="CD44" i="32"/>
  <c r="CD45" i="32"/>
  <c r="CD48" i="32"/>
  <c r="CD50" i="32"/>
  <c r="CD51" i="32"/>
  <c r="CD52" i="32"/>
  <c r="CD54" i="32"/>
  <c r="CD56" i="32"/>
  <c r="CD58" i="32"/>
  <c r="CD59" i="32"/>
  <c r="CD60" i="32"/>
  <c r="CD63" i="32"/>
  <c r="CD64" i="32"/>
  <c r="CD65" i="32"/>
  <c r="CD66" i="32"/>
  <c r="CD67" i="32"/>
  <c r="CD68" i="32"/>
  <c r="CD69" i="32"/>
  <c r="CD70" i="32"/>
  <c r="CD71" i="32"/>
  <c r="CD72" i="32"/>
  <c r="CD73" i="32"/>
  <c r="CD74" i="32"/>
  <c r="CD75" i="32"/>
  <c r="CD76" i="32"/>
  <c r="CD78" i="32"/>
  <c r="CD80" i="32"/>
  <c r="CD84" i="32"/>
  <c r="CD85" i="32"/>
  <c r="CD87" i="32"/>
  <c r="CF33" i="32"/>
  <c r="CF43" i="32"/>
  <c r="CE12" i="32"/>
  <c r="CE35" i="32"/>
  <c r="CE46" i="32"/>
  <c r="CE38" i="32"/>
  <c r="CE39" i="32"/>
  <c r="CE40" i="32"/>
  <c r="CE41" i="32"/>
  <c r="CE42" i="32"/>
  <c r="CE37" i="32"/>
  <c r="CE44" i="32"/>
  <c r="CE45" i="32"/>
  <c r="CE48" i="32"/>
  <c r="CE50" i="32"/>
  <c r="CE51" i="32"/>
  <c r="CE52" i="32"/>
  <c r="CE54" i="32"/>
  <c r="CE56" i="32"/>
  <c r="CE58" i="32"/>
  <c r="CE59" i="32"/>
  <c r="CE60" i="32"/>
  <c r="CE63" i="32"/>
  <c r="CE64" i="32"/>
  <c r="CE65" i="32"/>
  <c r="CE66" i="32"/>
  <c r="CE67" i="32"/>
  <c r="CE68" i="32"/>
  <c r="CE69" i="32"/>
  <c r="CE70" i="32"/>
  <c r="CE71" i="32"/>
  <c r="CE72" i="32"/>
  <c r="CE73" i="32"/>
  <c r="CE74" i="32"/>
  <c r="CE75" i="32"/>
  <c r="CE76" i="32"/>
  <c r="CE78" i="32"/>
  <c r="CE80" i="32"/>
  <c r="CE84" i="32"/>
  <c r="CE85" i="32"/>
  <c r="CE87" i="32"/>
  <c r="CG33" i="32"/>
  <c r="CG43" i="32"/>
  <c r="CF12" i="32"/>
  <c r="CF35" i="32"/>
  <c r="CF46" i="32"/>
  <c r="CF38" i="32"/>
  <c r="CF39" i="32"/>
  <c r="CF40" i="32"/>
  <c r="CF41" i="32"/>
  <c r="CF42" i="32"/>
  <c r="CF37" i="32"/>
  <c r="CF44" i="32"/>
  <c r="CF45" i="32"/>
  <c r="CF48" i="32"/>
  <c r="CF50" i="32"/>
  <c r="CF51" i="32"/>
  <c r="CF52" i="32"/>
  <c r="CF54" i="32"/>
  <c r="CF56" i="32"/>
  <c r="CF58" i="32"/>
  <c r="CF59" i="32"/>
  <c r="CF60" i="32"/>
  <c r="CF63" i="32"/>
  <c r="CF64" i="32"/>
  <c r="CF65" i="32"/>
  <c r="CF66" i="32"/>
  <c r="CF67" i="32"/>
  <c r="CF68" i="32"/>
  <c r="CF69" i="32"/>
  <c r="CF70" i="32"/>
  <c r="CF71" i="32"/>
  <c r="CF72" i="32"/>
  <c r="CF73" i="32"/>
  <c r="CF74" i="32"/>
  <c r="CF75" i="32"/>
  <c r="CF76" i="32"/>
  <c r="CF78" i="32"/>
  <c r="CF80" i="32"/>
  <c r="CF84" i="32"/>
  <c r="CF85" i="32"/>
  <c r="CF87" i="32"/>
  <c r="CH33" i="32"/>
  <c r="CH43" i="32"/>
  <c r="CG12" i="32"/>
  <c r="CG35" i="32"/>
  <c r="CG46" i="32"/>
  <c r="CG38" i="32"/>
  <c r="CG39" i="32"/>
  <c r="CG40" i="32"/>
  <c r="CG41" i="32"/>
  <c r="CG42" i="32"/>
  <c r="CG37" i="32"/>
  <c r="CG44" i="32"/>
  <c r="CG45" i="32"/>
  <c r="CG48" i="32"/>
  <c r="CG50" i="32"/>
  <c r="CG51" i="32"/>
  <c r="CG52" i="32"/>
  <c r="CG54" i="32"/>
  <c r="CG56" i="32"/>
  <c r="CG58" i="32"/>
  <c r="CG59" i="32"/>
  <c r="CG60" i="32"/>
  <c r="CG63" i="32"/>
  <c r="CG64" i="32"/>
  <c r="CG65" i="32"/>
  <c r="CG66" i="32"/>
  <c r="CG67" i="32"/>
  <c r="CG68" i="32"/>
  <c r="CG69" i="32"/>
  <c r="CG70" i="32"/>
  <c r="CG71" i="32"/>
  <c r="CG72" i="32"/>
  <c r="CG73" i="32"/>
  <c r="CG74" i="32"/>
  <c r="CG75" i="32"/>
  <c r="CG76" i="32"/>
  <c r="CG78" i="32"/>
  <c r="CG80" i="32"/>
  <c r="CG84" i="32"/>
  <c r="CG85" i="32"/>
  <c r="CG87" i="32"/>
  <c r="CI33" i="32"/>
  <c r="CI43" i="32"/>
  <c r="CH12" i="32"/>
  <c r="CH35" i="32"/>
  <c r="CH46" i="32"/>
  <c r="CH38" i="32"/>
  <c r="CH39" i="32"/>
  <c r="CH40" i="32"/>
  <c r="CH41" i="32"/>
  <c r="CH42" i="32"/>
  <c r="CH37" i="32"/>
  <c r="CH44" i="32"/>
  <c r="CH45" i="32"/>
  <c r="CH48" i="32"/>
  <c r="CH50" i="32"/>
  <c r="CH51" i="32"/>
  <c r="CH52" i="32"/>
  <c r="CH54" i="32"/>
  <c r="CH56" i="32"/>
  <c r="CH58" i="32"/>
  <c r="CH59" i="32"/>
  <c r="CH60" i="32"/>
  <c r="CH63" i="32"/>
  <c r="CH64" i="32"/>
  <c r="CH65" i="32"/>
  <c r="CH66" i="32"/>
  <c r="CH67" i="32"/>
  <c r="CH68" i="32"/>
  <c r="CH69" i="32"/>
  <c r="CH70" i="32"/>
  <c r="CH71" i="32"/>
  <c r="CH72" i="32"/>
  <c r="CH73" i="32"/>
  <c r="CH74" i="32"/>
  <c r="CH75" i="32"/>
  <c r="CH76" i="32"/>
  <c r="CH78" i="32"/>
  <c r="CH80" i="32"/>
  <c r="CH84" i="32"/>
  <c r="CH85" i="32"/>
  <c r="CH87" i="32"/>
  <c r="J19" i="2"/>
  <c r="S19" i="2"/>
  <c r="M19" i="2"/>
  <c r="CJ33" i="32"/>
  <c r="CJ43" i="32"/>
  <c r="CI12" i="32"/>
  <c r="CI35" i="32"/>
  <c r="CI46" i="32"/>
  <c r="CI38" i="32"/>
  <c r="CI39" i="32"/>
  <c r="CI40" i="32"/>
  <c r="CI41" i="32"/>
  <c r="CI42" i="32"/>
  <c r="CI37" i="32"/>
  <c r="CI44" i="32"/>
  <c r="CI45" i="32"/>
  <c r="CI48" i="32"/>
  <c r="CI50" i="32"/>
  <c r="CI51" i="32"/>
  <c r="CI52" i="32"/>
  <c r="CI54" i="32"/>
  <c r="CI56" i="32"/>
  <c r="CI58" i="32"/>
  <c r="CI59" i="32"/>
  <c r="CI60" i="32"/>
  <c r="CI63" i="32"/>
  <c r="CI64" i="32"/>
  <c r="CI65" i="32"/>
  <c r="CI66" i="32"/>
  <c r="CI67" i="32"/>
  <c r="CI68" i="32"/>
  <c r="CI69" i="32"/>
  <c r="CI70" i="32"/>
  <c r="CI71" i="32"/>
  <c r="CI72" i="32"/>
  <c r="CI73" i="32"/>
  <c r="CI74" i="32"/>
  <c r="CI75" i="32"/>
  <c r="CI76" i="32"/>
  <c r="CI78" i="32"/>
  <c r="CI80" i="32"/>
  <c r="CI84" i="32"/>
  <c r="CI85" i="32"/>
  <c r="CI87" i="32"/>
  <c r="CK33" i="32"/>
  <c r="CK43" i="32"/>
  <c r="CJ12" i="32"/>
  <c r="CJ35" i="32"/>
  <c r="K72" i="2"/>
  <c r="CJ46" i="32"/>
  <c r="CJ38" i="32"/>
  <c r="CJ39" i="32"/>
  <c r="CJ40" i="32"/>
  <c r="CJ41" i="32"/>
  <c r="CJ42" i="32"/>
  <c r="CJ37" i="32"/>
  <c r="CJ44" i="32"/>
  <c r="CJ45" i="32"/>
  <c r="CJ48" i="32"/>
  <c r="CJ50" i="32"/>
  <c r="K79" i="2"/>
  <c r="CJ51" i="32"/>
  <c r="CJ52" i="32"/>
  <c r="CJ54" i="32"/>
  <c r="CJ56" i="32"/>
  <c r="K77" i="2"/>
  <c r="CJ58" i="32"/>
  <c r="CJ59" i="32"/>
  <c r="CJ60" i="32"/>
  <c r="CJ63" i="32"/>
  <c r="CJ64" i="32"/>
  <c r="CJ65" i="32"/>
  <c r="CJ66" i="32"/>
  <c r="CJ67" i="32"/>
  <c r="CJ68" i="32"/>
  <c r="CJ69" i="32"/>
  <c r="CJ70" i="32"/>
  <c r="CJ71" i="32"/>
  <c r="CJ72" i="32"/>
  <c r="CJ73" i="32"/>
  <c r="CJ74" i="32"/>
  <c r="CJ75" i="32"/>
  <c r="CJ76" i="32"/>
  <c r="CJ78" i="32"/>
  <c r="CJ80" i="32"/>
  <c r="O19" i="2"/>
  <c r="CJ84" i="32"/>
  <c r="CJ85" i="32"/>
  <c r="CJ87" i="32"/>
  <c r="CL33" i="32"/>
  <c r="CL43" i="32"/>
  <c r="CK12" i="32"/>
  <c r="CK35" i="32"/>
  <c r="CK46" i="32"/>
  <c r="CK38" i="32"/>
  <c r="CK39" i="32"/>
  <c r="CK40" i="32"/>
  <c r="CK41" i="32"/>
  <c r="CK42" i="32"/>
  <c r="CK37" i="32"/>
  <c r="CK44" i="32"/>
  <c r="CK45" i="32"/>
  <c r="CK48" i="32"/>
  <c r="CK50" i="32"/>
  <c r="CK51" i="32"/>
  <c r="CK52" i="32"/>
  <c r="CK54" i="32"/>
  <c r="CK56" i="32"/>
  <c r="CK58" i="32"/>
  <c r="CK59" i="32"/>
  <c r="CK60" i="32"/>
  <c r="CK63" i="32"/>
  <c r="CK64" i="32"/>
  <c r="CK65" i="32"/>
  <c r="CK66" i="32"/>
  <c r="CK67" i="32"/>
  <c r="CK68" i="32"/>
  <c r="CK69" i="32"/>
  <c r="CK70" i="32"/>
  <c r="CK71" i="32"/>
  <c r="CK72" i="32"/>
  <c r="CK73" i="32"/>
  <c r="CK74" i="32"/>
  <c r="CK75" i="32"/>
  <c r="CK76" i="32"/>
  <c r="CK78" i="32"/>
  <c r="CK80" i="32"/>
  <c r="CK84" i="32"/>
  <c r="CK85" i="32"/>
  <c r="CK87" i="32"/>
  <c r="CM33" i="32"/>
  <c r="CM43" i="32"/>
  <c r="CL12" i="32"/>
  <c r="CL35" i="32"/>
  <c r="CL46" i="32"/>
  <c r="CL38" i="32"/>
  <c r="CL39" i="32"/>
  <c r="CL40" i="32"/>
  <c r="CL41" i="32"/>
  <c r="CL42" i="32"/>
  <c r="CL37" i="32"/>
  <c r="CL44" i="32"/>
  <c r="CL45" i="32"/>
  <c r="CL48" i="32"/>
  <c r="CL50" i="32"/>
  <c r="CL51" i="32"/>
  <c r="CL52" i="32"/>
  <c r="CL54" i="32"/>
  <c r="CL56" i="32"/>
  <c r="CL58" i="32"/>
  <c r="CL59" i="32"/>
  <c r="CL60" i="32"/>
  <c r="CL63" i="32"/>
  <c r="CL64" i="32"/>
  <c r="CL65" i="32"/>
  <c r="CL66" i="32"/>
  <c r="CL67" i="32"/>
  <c r="CL68" i="32"/>
  <c r="CL69" i="32"/>
  <c r="CL70" i="32"/>
  <c r="CL71" i="32"/>
  <c r="CL72" i="32"/>
  <c r="CL73" i="32"/>
  <c r="CL74" i="32"/>
  <c r="CL75" i="32"/>
  <c r="CL76" i="32"/>
  <c r="CL78" i="32"/>
  <c r="CL80" i="32"/>
  <c r="CL84" i="32"/>
  <c r="CL85" i="32"/>
  <c r="CL87" i="32"/>
  <c r="CN33" i="32"/>
  <c r="CN43" i="32"/>
  <c r="CM12" i="32"/>
  <c r="CM35" i="32"/>
  <c r="CM46" i="32"/>
  <c r="CM38" i="32"/>
  <c r="CM39" i="32"/>
  <c r="CM40" i="32"/>
  <c r="CM41" i="32"/>
  <c r="CM42" i="32"/>
  <c r="CM37" i="32"/>
  <c r="CM44" i="32"/>
  <c r="CM45" i="32"/>
  <c r="CM48" i="32"/>
  <c r="CM50" i="32"/>
  <c r="CM51" i="32"/>
  <c r="CM52" i="32"/>
  <c r="CM54" i="32"/>
  <c r="CM56" i="32"/>
  <c r="CM58" i="32"/>
  <c r="CM59" i="32"/>
  <c r="CM60" i="32"/>
  <c r="CM63" i="32"/>
  <c r="CM64" i="32"/>
  <c r="CM65" i="32"/>
  <c r="CM66" i="32"/>
  <c r="CM67" i="32"/>
  <c r="CM68" i="32"/>
  <c r="CM69" i="32"/>
  <c r="CM70" i="32"/>
  <c r="CM71" i="32"/>
  <c r="CM72" i="32"/>
  <c r="CM73" i="32"/>
  <c r="CM74" i="32"/>
  <c r="CM75" i="32"/>
  <c r="CM76" i="32"/>
  <c r="CM78" i="32"/>
  <c r="CM80" i="32"/>
  <c r="CM84" i="32"/>
  <c r="CM85" i="32"/>
  <c r="CM87" i="32"/>
  <c r="CO33" i="32"/>
  <c r="CO43" i="32"/>
  <c r="CN12" i="32"/>
  <c r="CN35" i="32"/>
  <c r="CN46" i="32"/>
  <c r="CN38" i="32"/>
  <c r="CN39" i="32"/>
  <c r="CN40" i="32"/>
  <c r="CN41" i="32"/>
  <c r="CN42" i="32"/>
  <c r="CN37" i="32"/>
  <c r="CN44" i="32"/>
  <c r="CN45" i="32"/>
  <c r="CN48" i="32"/>
  <c r="CN50" i="32"/>
  <c r="CN51" i="32"/>
  <c r="CN52" i="32"/>
  <c r="CN54" i="32"/>
  <c r="CN56" i="32"/>
  <c r="CN58" i="32"/>
  <c r="CN59" i="32"/>
  <c r="CN60" i="32"/>
  <c r="CN63" i="32"/>
  <c r="CN64" i="32"/>
  <c r="CN65" i="32"/>
  <c r="CN66" i="32"/>
  <c r="CN67" i="32"/>
  <c r="CN68" i="32"/>
  <c r="CN69" i="32"/>
  <c r="CN70" i="32"/>
  <c r="CN71" i="32"/>
  <c r="CN72" i="32"/>
  <c r="CN73" i="32"/>
  <c r="CN74" i="32"/>
  <c r="CN75" i="32"/>
  <c r="CN76" i="32"/>
  <c r="CN78" i="32"/>
  <c r="CN80" i="32"/>
  <c r="CN84" i="32"/>
  <c r="CN85" i="32"/>
  <c r="CN87" i="32"/>
  <c r="CP33" i="32"/>
  <c r="CP43" i="32"/>
  <c r="CO12" i="32"/>
  <c r="CO35" i="32"/>
  <c r="CO46" i="32"/>
  <c r="CO38" i="32"/>
  <c r="CO39" i="32"/>
  <c r="CO40" i="32"/>
  <c r="CO41" i="32"/>
  <c r="CO42" i="32"/>
  <c r="CO37" i="32"/>
  <c r="CO44" i="32"/>
  <c r="CO45" i="32"/>
  <c r="CO48" i="32"/>
  <c r="CO50" i="32"/>
  <c r="CO51" i="32"/>
  <c r="CO52" i="32"/>
  <c r="CO54" i="32"/>
  <c r="CO56" i="32"/>
  <c r="CO58" i="32"/>
  <c r="CO59" i="32"/>
  <c r="CO60" i="32"/>
  <c r="CO63" i="32"/>
  <c r="CO64" i="32"/>
  <c r="CO65" i="32"/>
  <c r="CO66" i="32"/>
  <c r="CO67" i="32"/>
  <c r="CO68" i="32"/>
  <c r="CO69" i="32"/>
  <c r="CO70" i="32"/>
  <c r="CO71" i="32"/>
  <c r="CO72" i="32"/>
  <c r="CO73" i="32"/>
  <c r="CO74" i="32"/>
  <c r="CO75" i="32"/>
  <c r="CO76" i="32"/>
  <c r="CO78" i="32"/>
  <c r="CO80" i="32"/>
  <c r="CO84" i="32"/>
  <c r="CO85" i="32"/>
  <c r="CO87" i="32"/>
  <c r="CQ33" i="32"/>
  <c r="CQ43" i="32"/>
  <c r="CP12" i="32"/>
  <c r="CP35" i="32"/>
  <c r="CP46" i="32"/>
  <c r="CP38" i="32"/>
  <c r="CP39" i="32"/>
  <c r="CP40" i="32"/>
  <c r="CP41" i="32"/>
  <c r="CP42" i="32"/>
  <c r="CP37" i="32"/>
  <c r="CP44" i="32"/>
  <c r="CP45" i="32"/>
  <c r="CP48" i="32"/>
  <c r="CP50" i="32"/>
  <c r="CP51" i="32"/>
  <c r="CP52" i="32"/>
  <c r="CP54" i="32"/>
  <c r="CP56" i="32"/>
  <c r="CP58" i="32"/>
  <c r="CP59" i="32"/>
  <c r="CP60" i="32"/>
  <c r="CP63" i="32"/>
  <c r="CP64" i="32"/>
  <c r="CP65" i="32"/>
  <c r="CP66" i="32"/>
  <c r="CP67" i="32"/>
  <c r="CP68" i="32"/>
  <c r="CP69" i="32"/>
  <c r="CP70" i="32"/>
  <c r="CP71" i="32"/>
  <c r="CP72" i="32"/>
  <c r="CP73" i="32"/>
  <c r="CP74" i="32"/>
  <c r="CP75" i="32"/>
  <c r="CP76" i="32"/>
  <c r="CP78" i="32"/>
  <c r="CP80" i="32"/>
  <c r="CP84" i="32"/>
  <c r="CP85" i="32"/>
  <c r="CP87" i="32"/>
  <c r="CR33" i="32"/>
  <c r="CR43" i="32"/>
  <c r="CQ12" i="32"/>
  <c r="CQ35" i="32"/>
  <c r="CQ46" i="32"/>
  <c r="CQ38" i="32"/>
  <c r="CQ39" i="32"/>
  <c r="CQ40" i="32"/>
  <c r="CQ41" i="32"/>
  <c r="CQ42" i="32"/>
  <c r="CQ37" i="32"/>
  <c r="CQ44" i="32"/>
  <c r="CQ45" i="32"/>
  <c r="CQ48" i="32"/>
  <c r="CQ50" i="32"/>
  <c r="CQ51" i="32"/>
  <c r="CQ52" i="32"/>
  <c r="CQ54" i="32"/>
  <c r="CQ56" i="32"/>
  <c r="CQ58" i="32"/>
  <c r="CQ59" i="32"/>
  <c r="CQ60" i="32"/>
  <c r="CQ63" i="32"/>
  <c r="CQ64" i="32"/>
  <c r="CQ65" i="32"/>
  <c r="CQ66" i="32"/>
  <c r="CQ67" i="32"/>
  <c r="CQ68" i="32"/>
  <c r="CQ69" i="32"/>
  <c r="CQ70" i="32"/>
  <c r="CQ71" i="32"/>
  <c r="CQ72" i="32"/>
  <c r="CQ73" i="32"/>
  <c r="CQ74" i="32"/>
  <c r="CQ75" i="32"/>
  <c r="CQ76" i="32"/>
  <c r="CQ78" i="32"/>
  <c r="CQ80" i="32"/>
  <c r="CQ84" i="32"/>
  <c r="CQ85" i="32"/>
  <c r="CQ87" i="32"/>
  <c r="CS33" i="32"/>
  <c r="CS43" i="32"/>
  <c r="CR12" i="32"/>
  <c r="CR35" i="32"/>
  <c r="CR46" i="32"/>
  <c r="CR38" i="32"/>
  <c r="CR39" i="32"/>
  <c r="CR40" i="32"/>
  <c r="CR41" i="32"/>
  <c r="CR42" i="32"/>
  <c r="CR37" i="32"/>
  <c r="CR44" i="32"/>
  <c r="CR45" i="32"/>
  <c r="CR48" i="32"/>
  <c r="CR50" i="32"/>
  <c r="CR51" i="32"/>
  <c r="CR52" i="32"/>
  <c r="CR54" i="32"/>
  <c r="CR56" i="32"/>
  <c r="CR58" i="32"/>
  <c r="CR59" i="32"/>
  <c r="CR60" i="32"/>
  <c r="CR63" i="32"/>
  <c r="CR64" i="32"/>
  <c r="CR65" i="32"/>
  <c r="CR66" i="32"/>
  <c r="CR67" i="32"/>
  <c r="CR68" i="32"/>
  <c r="CR69" i="32"/>
  <c r="CR70" i="32"/>
  <c r="CR71" i="32"/>
  <c r="CR72" i="32"/>
  <c r="CR73" i="32"/>
  <c r="CR74" i="32"/>
  <c r="CR75" i="32"/>
  <c r="CR76" i="32"/>
  <c r="CR78" i="32"/>
  <c r="CR80" i="32"/>
  <c r="CR84" i="32"/>
  <c r="CR85" i="32"/>
  <c r="CR87" i="32"/>
  <c r="CT33" i="32"/>
  <c r="CT43" i="32"/>
  <c r="CS12" i="32"/>
  <c r="CS35" i="32"/>
  <c r="CS46" i="32"/>
  <c r="CS38" i="32"/>
  <c r="CS39" i="32"/>
  <c r="CS40" i="32"/>
  <c r="CS41" i="32"/>
  <c r="CS42" i="32"/>
  <c r="CS37" i="32"/>
  <c r="CS44" i="32"/>
  <c r="CS45" i="32"/>
  <c r="CS48" i="32"/>
  <c r="CS50" i="32"/>
  <c r="CS51" i="32"/>
  <c r="CS52" i="32"/>
  <c r="CS54" i="32"/>
  <c r="CS56" i="32"/>
  <c r="CS58" i="32"/>
  <c r="CS59" i="32"/>
  <c r="CS60" i="32"/>
  <c r="CS63" i="32"/>
  <c r="CS64" i="32"/>
  <c r="CS65" i="32"/>
  <c r="CS66" i="32"/>
  <c r="CS67" i="32"/>
  <c r="CS68" i="32"/>
  <c r="CS69" i="32"/>
  <c r="CS70" i="32"/>
  <c r="CS71" i="32"/>
  <c r="CS72" i="32"/>
  <c r="CS73" i="32"/>
  <c r="CS74" i="32"/>
  <c r="CS75" i="32"/>
  <c r="CS76" i="32"/>
  <c r="CS78" i="32"/>
  <c r="CS80" i="32"/>
  <c r="CS84" i="32"/>
  <c r="CS85" i="32"/>
  <c r="CS87" i="32"/>
  <c r="CU33" i="32"/>
  <c r="CU43" i="32"/>
  <c r="CT12" i="32"/>
  <c r="CT35" i="32"/>
  <c r="CT46" i="32"/>
  <c r="CT38" i="32"/>
  <c r="CT39" i="32"/>
  <c r="CT40" i="32"/>
  <c r="CT41" i="32"/>
  <c r="CT42" i="32"/>
  <c r="CT37" i="32"/>
  <c r="CT44" i="32"/>
  <c r="CT45" i="32"/>
  <c r="CT48" i="32"/>
  <c r="CT50" i="32"/>
  <c r="CT51" i="32"/>
  <c r="CT52" i="32"/>
  <c r="CT54" i="32"/>
  <c r="CT56" i="32"/>
  <c r="CT58" i="32"/>
  <c r="CT59" i="32"/>
  <c r="CT60" i="32"/>
  <c r="CT63" i="32"/>
  <c r="CT64" i="32"/>
  <c r="CT65" i="32"/>
  <c r="CT66" i="32"/>
  <c r="CT67" i="32"/>
  <c r="CT68" i="32"/>
  <c r="CT69" i="32"/>
  <c r="CT70" i="32"/>
  <c r="CT71" i="32"/>
  <c r="CT72" i="32"/>
  <c r="CT73" i="32"/>
  <c r="CT74" i="32"/>
  <c r="CT75" i="32"/>
  <c r="CT76" i="32"/>
  <c r="CT78" i="32"/>
  <c r="CT80" i="32"/>
  <c r="CT84" i="32"/>
  <c r="CT85" i="32"/>
  <c r="CT87" i="32"/>
  <c r="J20" i="2"/>
  <c r="S20" i="2"/>
  <c r="M20" i="2"/>
  <c r="CV33" i="32"/>
  <c r="CV43" i="32"/>
  <c r="CU12" i="32"/>
  <c r="CU35" i="32"/>
  <c r="CU46" i="32"/>
  <c r="CU38" i="32"/>
  <c r="CU39" i="32"/>
  <c r="CU40" i="32"/>
  <c r="CU41" i="32"/>
  <c r="CU42" i="32"/>
  <c r="CU37" i="32"/>
  <c r="CU44" i="32"/>
  <c r="CU45" i="32"/>
  <c r="CU48" i="32"/>
  <c r="CU50" i="32"/>
  <c r="CU51" i="32"/>
  <c r="CU52" i="32"/>
  <c r="CU54" i="32"/>
  <c r="CU56" i="32"/>
  <c r="CU58" i="32"/>
  <c r="CU59" i="32"/>
  <c r="CU60" i="32"/>
  <c r="CU63" i="32"/>
  <c r="CU64" i="32"/>
  <c r="CU65" i="32"/>
  <c r="CU66" i="32"/>
  <c r="CU67" i="32"/>
  <c r="CU68" i="32"/>
  <c r="CU69" i="32"/>
  <c r="CU70" i="32"/>
  <c r="CU71" i="32"/>
  <c r="CU72" i="32"/>
  <c r="CU73" i="32"/>
  <c r="CU74" i="32"/>
  <c r="CU75" i="32"/>
  <c r="CU76" i="32"/>
  <c r="CU78" i="32"/>
  <c r="CU80" i="32"/>
  <c r="CU84" i="32"/>
  <c r="CU85" i="32"/>
  <c r="CU87" i="32"/>
  <c r="CW33" i="32"/>
  <c r="CW43" i="32"/>
  <c r="CV12" i="32"/>
  <c r="CV35" i="32"/>
  <c r="L72" i="2"/>
  <c r="CV46" i="32"/>
  <c r="CV38" i="32"/>
  <c r="CV39" i="32"/>
  <c r="CV40" i="32"/>
  <c r="CV41" i="32"/>
  <c r="CV42" i="32"/>
  <c r="CV37" i="32"/>
  <c r="CV44" i="32"/>
  <c r="CV45" i="32"/>
  <c r="CV48" i="32"/>
  <c r="CV50" i="32"/>
  <c r="L79" i="2"/>
  <c r="CV51" i="32"/>
  <c r="CV52" i="32"/>
  <c r="CV54" i="32"/>
  <c r="CV56" i="32"/>
  <c r="L77" i="2"/>
  <c r="CV58" i="32"/>
  <c r="CV59" i="32"/>
  <c r="CV60" i="32"/>
  <c r="CV63" i="32"/>
  <c r="CV64" i="32"/>
  <c r="CV65" i="32"/>
  <c r="CV66" i="32"/>
  <c r="CV67" i="32"/>
  <c r="CV68" i="32"/>
  <c r="CV69" i="32"/>
  <c r="CV70" i="32"/>
  <c r="CV71" i="32"/>
  <c r="CV72" i="32"/>
  <c r="CV73" i="32"/>
  <c r="CV74" i="32"/>
  <c r="CV75" i="32"/>
  <c r="CV76" i="32"/>
  <c r="CV78" i="32"/>
  <c r="CV80" i="32"/>
  <c r="O20" i="2"/>
  <c r="CV84" i="32"/>
  <c r="CV85" i="32"/>
  <c r="CV87" i="32"/>
  <c r="CX33" i="32"/>
  <c r="CX43" i="32"/>
  <c r="CW12" i="32"/>
  <c r="CW35" i="32"/>
  <c r="CW46" i="32"/>
  <c r="CW38" i="32"/>
  <c r="CW39" i="32"/>
  <c r="CW40" i="32"/>
  <c r="CW41" i="32"/>
  <c r="CW42" i="32"/>
  <c r="CW37" i="32"/>
  <c r="CW44" i="32"/>
  <c r="CW45" i="32"/>
  <c r="CW48" i="32"/>
  <c r="CW50" i="32"/>
  <c r="CW51" i="32"/>
  <c r="CW52" i="32"/>
  <c r="CW54" i="32"/>
  <c r="CW56" i="32"/>
  <c r="CW58" i="32"/>
  <c r="CW59" i="32"/>
  <c r="CW60" i="32"/>
  <c r="CW63" i="32"/>
  <c r="CW64" i="32"/>
  <c r="CW65" i="32"/>
  <c r="CW66" i="32"/>
  <c r="CW67" i="32"/>
  <c r="CW68" i="32"/>
  <c r="CW69" i="32"/>
  <c r="CW70" i="32"/>
  <c r="CW71" i="32"/>
  <c r="CW72" i="32"/>
  <c r="CW73" i="32"/>
  <c r="CW74" i="32"/>
  <c r="CW75" i="32"/>
  <c r="CW76" i="32"/>
  <c r="CW78" i="32"/>
  <c r="CW80" i="32"/>
  <c r="CW84" i="32"/>
  <c r="CW85" i="32"/>
  <c r="CW87" i="32"/>
  <c r="CY33" i="32"/>
  <c r="CY43" i="32"/>
  <c r="CX12" i="32"/>
  <c r="CX35" i="32"/>
  <c r="CX46" i="32"/>
  <c r="CX38" i="32"/>
  <c r="CX39" i="32"/>
  <c r="CX40" i="32"/>
  <c r="CX41" i="32"/>
  <c r="CX42" i="32"/>
  <c r="CX37" i="32"/>
  <c r="CX44" i="32"/>
  <c r="CX45" i="32"/>
  <c r="CX48" i="32"/>
  <c r="CX50" i="32"/>
  <c r="CX51" i="32"/>
  <c r="CX52" i="32"/>
  <c r="CX54" i="32"/>
  <c r="CX56" i="32"/>
  <c r="CX58" i="32"/>
  <c r="CX59" i="32"/>
  <c r="CX60" i="32"/>
  <c r="CX63" i="32"/>
  <c r="CX64" i="32"/>
  <c r="CX65" i="32"/>
  <c r="CX66" i="32"/>
  <c r="CX67" i="32"/>
  <c r="CX68" i="32"/>
  <c r="CX69" i="32"/>
  <c r="CX70" i="32"/>
  <c r="CX71" i="32"/>
  <c r="CX72" i="32"/>
  <c r="CX73" i="32"/>
  <c r="CX74" i="32"/>
  <c r="CX75" i="32"/>
  <c r="CX76" i="32"/>
  <c r="CX78" i="32"/>
  <c r="CX80" i="32"/>
  <c r="CX84" i="32"/>
  <c r="CX85" i="32"/>
  <c r="CX87" i="32"/>
  <c r="CZ33" i="32"/>
  <c r="CZ43" i="32"/>
  <c r="CY12" i="32"/>
  <c r="CY35" i="32"/>
  <c r="CY46" i="32"/>
  <c r="CY38" i="32"/>
  <c r="CY39" i="32"/>
  <c r="CY40" i="32"/>
  <c r="CY41" i="32"/>
  <c r="CY42" i="32"/>
  <c r="CY37" i="32"/>
  <c r="CY44" i="32"/>
  <c r="CY45" i="32"/>
  <c r="CY48" i="32"/>
  <c r="CY50" i="32"/>
  <c r="CY51" i="32"/>
  <c r="CY52" i="32"/>
  <c r="CY54" i="32"/>
  <c r="CY56" i="32"/>
  <c r="CY58" i="32"/>
  <c r="CY59" i="32"/>
  <c r="CY60" i="32"/>
  <c r="CY63" i="32"/>
  <c r="CY64" i="32"/>
  <c r="CY65" i="32"/>
  <c r="CY66" i="32"/>
  <c r="CY67" i="32"/>
  <c r="CY68" i="32"/>
  <c r="CY69" i="32"/>
  <c r="CY70" i="32"/>
  <c r="CY71" i="32"/>
  <c r="CY72" i="32"/>
  <c r="CY73" i="32"/>
  <c r="CY74" i="32"/>
  <c r="CY75" i="32"/>
  <c r="CY76" i="32"/>
  <c r="CY78" i="32"/>
  <c r="CY80" i="32"/>
  <c r="CY84" i="32"/>
  <c r="CY85" i="32"/>
  <c r="CY87" i="32"/>
  <c r="DA33" i="32"/>
  <c r="DA43" i="32"/>
  <c r="CZ12" i="32"/>
  <c r="CZ35" i="32"/>
  <c r="CZ46" i="32"/>
  <c r="CZ38" i="32"/>
  <c r="CZ39" i="32"/>
  <c r="CZ40" i="32"/>
  <c r="CZ41" i="32"/>
  <c r="CZ42" i="32"/>
  <c r="CZ37" i="32"/>
  <c r="CZ44" i="32"/>
  <c r="CZ45" i="32"/>
  <c r="CZ48" i="32"/>
  <c r="CZ50" i="32"/>
  <c r="CZ51" i="32"/>
  <c r="CZ52" i="32"/>
  <c r="CZ54" i="32"/>
  <c r="CZ56" i="32"/>
  <c r="CZ58" i="32"/>
  <c r="CZ59" i="32"/>
  <c r="CZ60" i="32"/>
  <c r="CZ63" i="32"/>
  <c r="CZ64" i="32"/>
  <c r="CZ65" i="32"/>
  <c r="CZ66" i="32"/>
  <c r="CZ67" i="32"/>
  <c r="CZ68" i="32"/>
  <c r="CZ69" i="32"/>
  <c r="CZ70" i="32"/>
  <c r="CZ71" i="32"/>
  <c r="CZ72" i="32"/>
  <c r="CZ73" i="32"/>
  <c r="CZ74" i="32"/>
  <c r="CZ75" i="32"/>
  <c r="CZ76" i="32"/>
  <c r="CZ78" i="32"/>
  <c r="CZ80" i="32"/>
  <c r="CZ84" i="32"/>
  <c r="CZ85" i="32"/>
  <c r="CZ87" i="32"/>
  <c r="DB33" i="32"/>
  <c r="DB43" i="32"/>
  <c r="DA12" i="32"/>
  <c r="DA35" i="32"/>
  <c r="DA46" i="32"/>
  <c r="DA38" i="32"/>
  <c r="DA39" i="32"/>
  <c r="DA40" i="32"/>
  <c r="DA41" i="32"/>
  <c r="DA42" i="32"/>
  <c r="DA37" i="32"/>
  <c r="DA44" i="32"/>
  <c r="DA45" i="32"/>
  <c r="DA48" i="32"/>
  <c r="DA50" i="32"/>
  <c r="DA51" i="32"/>
  <c r="DA52" i="32"/>
  <c r="DA54" i="32"/>
  <c r="DA56" i="32"/>
  <c r="DA58" i="32"/>
  <c r="DA59" i="32"/>
  <c r="DA60" i="32"/>
  <c r="DA63" i="32"/>
  <c r="DA64" i="32"/>
  <c r="DA65" i="32"/>
  <c r="DA66" i="32"/>
  <c r="DA67" i="32"/>
  <c r="DA68" i="32"/>
  <c r="DA69" i="32"/>
  <c r="DA70" i="32"/>
  <c r="DA71" i="32"/>
  <c r="DA72" i="32"/>
  <c r="DA73" i="32"/>
  <c r="DA74" i="32"/>
  <c r="DA75" i="32"/>
  <c r="DA76" i="32"/>
  <c r="DA78" i="32"/>
  <c r="DA80" i="32"/>
  <c r="DA84" i="32"/>
  <c r="DA85" i="32"/>
  <c r="DA87" i="32"/>
  <c r="DC33" i="32"/>
  <c r="DC43" i="32"/>
  <c r="DB12" i="32"/>
  <c r="DB35" i="32"/>
  <c r="DB46" i="32"/>
  <c r="DB38" i="32"/>
  <c r="DB39" i="32"/>
  <c r="DB40" i="32"/>
  <c r="DB41" i="32"/>
  <c r="DB42" i="32"/>
  <c r="DB37" i="32"/>
  <c r="DB44" i="32"/>
  <c r="DB45" i="32"/>
  <c r="DB48" i="32"/>
  <c r="DB50" i="32"/>
  <c r="DB51" i="32"/>
  <c r="DB52" i="32"/>
  <c r="DB54" i="32"/>
  <c r="DB56" i="32"/>
  <c r="DB58" i="32"/>
  <c r="DB59" i="32"/>
  <c r="DB60" i="32"/>
  <c r="DB63" i="32"/>
  <c r="DB64" i="32"/>
  <c r="DB65" i="32"/>
  <c r="DB66" i="32"/>
  <c r="DB67" i="32"/>
  <c r="DB68" i="32"/>
  <c r="DB69" i="32"/>
  <c r="DB70" i="32"/>
  <c r="DB71" i="32"/>
  <c r="DB72" i="32"/>
  <c r="DB73" i="32"/>
  <c r="DB74" i="32"/>
  <c r="DB75" i="32"/>
  <c r="DB76" i="32"/>
  <c r="DB78" i="32"/>
  <c r="DB80" i="32"/>
  <c r="DB84" i="32"/>
  <c r="DB85" i="32"/>
  <c r="DB87" i="32"/>
  <c r="DD33" i="32"/>
  <c r="DD43" i="32"/>
  <c r="DC12" i="32"/>
  <c r="DC35" i="32"/>
  <c r="DC46" i="32"/>
  <c r="DC38" i="32"/>
  <c r="DC39" i="32"/>
  <c r="DC40" i="32"/>
  <c r="DC41" i="32"/>
  <c r="DC42" i="32"/>
  <c r="DC37" i="32"/>
  <c r="DC44" i="32"/>
  <c r="DC45" i="32"/>
  <c r="DC48" i="32"/>
  <c r="DC50" i="32"/>
  <c r="DC51" i="32"/>
  <c r="DC52" i="32"/>
  <c r="DC54" i="32"/>
  <c r="DC56" i="32"/>
  <c r="DC58" i="32"/>
  <c r="DC59" i="32"/>
  <c r="DC60" i="32"/>
  <c r="DC63" i="32"/>
  <c r="DC64" i="32"/>
  <c r="DC65" i="32"/>
  <c r="DC66" i="32"/>
  <c r="DC67" i="32"/>
  <c r="DC68" i="32"/>
  <c r="DC69" i="32"/>
  <c r="DC70" i="32"/>
  <c r="DC71" i="32"/>
  <c r="DC72" i="32"/>
  <c r="DC73" i="32"/>
  <c r="DC74" i="32"/>
  <c r="DC75" i="32"/>
  <c r="DC76" i="32"/>
  <c r="DC78" i="32"/>
  <c r="DC80" i="32"/>
  <c r="DC84" i="32"/>
  <c r="DC85" i="32"/>
  <c r="DC87" i="32"/>
  <c r="DE33" i="32"/>
  <c r="DE43" i="32"/>
  <c r="DD12" i="32"/>
  <c r="DD35" i="32"/>
  <c r="DD46" i="32"/>
  <c r="DD38" i="32"/>
  <c r="DD39" i="32"/>
  <c r="DD40" i="32"/>
  <c r="DD41" i="32"/>
  <c r="DD42" i="32"/>
  <c r="DD37" i="32"/>
  <c r="DD44" i="32"/>
  <c r="DD45" i="32"/>
  <c r="DD48" i="32"/>
  <c r="DD50" i="32"/>
  <c r="DD51" i="32"/>
  <c r="DD52" i="32"/>
  <c r="DD54" i="32"/>
  <c r="DD56" i="32"/>
  <c r="DD58" i="32"/>
  <c r="DD59" i="32"/>
  <c r="DD60" i="32"/>
  <c r="DD63" i="32"/>
  <c r="DD64" i="32"/>
  <c r="DD65" i="32"/>
  <c r="DD66" i="32"/>
  <c r="DD67" i="32"/>
  <c r="DD68" i="32"/>
  <c r="DD69" i="32"/>
  <c r="DD70" i="32"/>
  <c r="DD71" i="32"/>
  <c r="DD72" i="32"/>
  <c r="DD73" i="32"/>
  <c r="DD74" i="32"/>
  <c r="DD75" i="32"/>
  <c r="DD76" i="32"/>
  <c r="DD78" i="32"/>
  <c r="DD80" i="32"/>
  <c r="DD84" i="32"/>
  <c r="DD85" i="32"/>
  <c r="DD87" i="32"/>
  <c r="DF33" i="32"/>
  <c r="DF43" i="32"/>
  <c r="DE12" i="32"/>
  <c r="DE35" i="32"/>
  <c r="DE46" i="32"/>
  <c r="DE38" i="32"/>
  <c r="DE39" i="32"/>
  <c r="DE40" i="32"/>
  <c r="DE41" i="32"/>
  <c r="DE42" i="32"/>
  <c r="DE37" i="32"/>
  <c r="DE44" i="32"/>
  <c r="DE45" i="32"/>
  <c r="DE48" i="32"/>
  <c r="DE50" i="32"/>
  <c r="DE51" i="32"/>
  <c r="DE52" i="32"/>
  <c r="DE54" i="32"/>
  <c r="DE56" i="32"/>
  <c r="DE58" i="32"/>
  <c r="DE59" i="32"/>
  <c r="DE60" i="32"/>
  <c r="DE63" i="32"/>
  <c r="DE64" i="32"/>
  <c r="DE65" i="32"/>
  <c r="DE66" i="32"/>
  <c r="DE67" i="32"/>
  <c r="DE68" i="32"/>
  <c r="DE69" i="32"/>
  <c r="DE70" i="32"/>
  <c r="DE71" i="32"/>
  <c r="DE72" i="32"/>
  <c r="DE73" i="32"/>
  <c r="DE74" i="32"/>
  <c r="DE75" i="32"/>
  <c r="DE76" i="32"/>
  <c r="DE78" i="32"/>
  <c r="DE80" i="32"/>
  <c r="DE84" i="32"/>
  <c r="DE85" i="32"/>
  <c r="DE87" i="32"/>
  <c r="DG33" i="32"/>
  <c r="DG43" i="32"/>
  <c r="DF12" i="32"/>
  <c r="DF35" i="32"/>
  <c r="DF46" i="32"/>
  <c r="DF38" i="32"/>
  <c r="DF39" i="32"/>
  <c r="DF40" i="32"/>
  <c r="DF41" i="32"/>
  <c r="DF42" i="32"/>
  <c r="DF37" i="32"/>
  <c r="DF44" i="32"/>
  <c r="DF45" i="32"/>
  <c r="DF48" i="32"/>
  <c r="DF50" i="32"/>
  <c r="DF51" i="32"/>
  <c r="DF52" i="32"/>
  <c r="DF54" i="32"/>
  <c r="DF56" i="32"/>
  <c r="DF58" i="32"/>
  <c r="DF59" i="32"/>
  <c r="DF60" i="32"/>
  <c r="DF63" i="32"/>
  <c r="DF64" i="32"/>
  <c r="DF65" i="32"/>
  <c r="DF66" i="32"/>
  <c r="DF67" i="32"/>
  <c r="DF68" i="32"/>
  <c r="DF69" i="32"/>
  <c r="DF70" i="32"/>
  <c r="DF71" i="32"/>
  <c r="DF72" i="32"/>
  <c r="DF73" i="32"/>
  <c r="DF74" i="32"/>
  <c r="DF75" i="32"/>
  <c r="DF76" i="32"/>
  <c r="DF78" i="32"/>
  <c r="DF80" i="32"/>
  <c r="DF84" i="32"/>
  <c r="DF85" i="32"/>
  <c r="DF87" i="32"/>
  <c r="J21" i="2"/>
  <c r="S21" i="2"/>
  <c r="M21" i="2"/>
  <c r="DH33" i="32"/>
  <c r="DH43" i="32"/>
  <c r="DG12" i="32"/>
  <c r="DG35" i="32"/>
  <c r="DG46" i="32"/>
  <c r="DG38" i="32"/>
  <c r="DG39" i="32"/>
  <c r="DG40" i="32"/>
  <c r="DG41" i="32"/>
  <c r="DG42" i="32"/>
  <c r="DG37" i="32"/>
  <c r="DG44" i="32"/>
  <c r="DG45" i="32"/>
  <c r="DG48" i="32"/>
  <c r="DG50" i="32"/>
  <c r="DG51" i="32"/>
  <c r="DG52" i="32"/>
  <c r="DG54" i="32"/>
  <c r="DG56" i="32"/>
  <c r="DG58" i="32"/>
  <c r="DG59" i="32"/>
  <c r="DG60" i="32"/>
  <c r="DG63" i="32"/>
  <c r="DG64" i="32"/>
  <c r="DG65" i="32"/>
  <c r="DG66" i="32"/>
  <c r="DG67" i="32"/>
  <c r="DG68" i="32"/>
  <c r="DG69" i="32"/>
  <c r="DG70" i="32"/>
  <c r="DG71" i="32"/>
  <c r="DG72" i="32"/>
  <c r="DG73" i="32"/>
  <c r="DG74" i="32"/>
  <c r="DG75" i="32"/>
  <c r="DG76" i="32"/>
  <c r="DG78" i="32"/>
  <c r="DG80" i="32"/>
  <c r="DG84" i="32"/>
  <c r="DG85" i="32"/>
  <c r="DG87" i="32"/>
  <c r="DI33" i="32"/>
  <c r="DI43" i="32"/>
  <c r="DH12" i="32"/>
  <c r="DH35" i="32"/>
  <c r="M72" i="2"/>
  <c r="DH46" i="32"/>
  <c r="DH38" i="32"/>
  <c r="DH39" i="32"/>
  <c r="DH40" i="32"/>
  <c r="DH41" i="32"/>
  <c r="DH42" i="32"/>
  <c r="DH37" i="32"/>
  <c r="DH44" i="32"/>
  <c r="DH45" i="32"/>
  <c r="DH48" i="32"/>
  <c r="DH50" i="32"/>
  <c r="M79" i="2"/>
  <c r="DH51" i="32"/>
  <c r="DH52" i="32"/>
  <c r="DH54" i="32"/>
  <c r="DH56" i="32"/>
  <c r="M77" i="2"/>
  <c r="DH58" i="32"/>
  <c r="DH59" i="32"/>
  <c r="DH60" i="32"/>
  <c r="DH63" i="32"/>
  <c r="DH64" i="32"/>
  <c r="DH65" i="32"/>
  <c r="DH66" i="32"/>
  <c r="DH67" i="32"/>
  <c r="DH68" i="32"/>
  <c r="DH69" i="32"/>
  <c r="DH70" i="32"/>
  <c r="DH71" i="32"/>
  <c r="DH72" i="32"/>
  <c r="DH73" i="32"/>
  <c r="DH74" i="32"/>
  <c r="DH75" i="32"/>
  <c r="DH76" i="32"/>
  <c r="DH78" i="32"/>
  <c r="DH80" i="32"/>
  <c r="O21" i="2"/>
  <c r="DH84" i="32"/>
  <c r="DH85" i="32"/>
  <c r="DH87" i="32"/>
  <c r="DJ33" i="32"/>
  <c r="DJ43" i="32"/>
  <c r="DI87" i="32"/>
  <c r="DK33" i="32"/>
  <c r="DK43" i="32"/>
  <c r="DJ87" i="32"/>
  <c r="DL33" i="32"/>
  <c r="DL43" i="32"/>
  <c r="DK87" i="32"/>
  <c r="DM33" i="32"/>
  <c r="DM43" i="32"/>
  <c r="DL87" i="32"/>
  <c r="DN33" i="32"/>
  <c r="DN43" i="32"/>
  <c r="DM87" i="32"/>
  <c r="DO33" i="32"/>
  <c r="DO43" i="32"/>
  <c r="DN87" i="32"/>
  <c r="DP33" i="32"/>
  <c r="DP43" i="32"/>
  <c r="DO87" i="32"/>
  <c r="DQ33" i="32"/>
  <c r="DQ43" i="32"/>
  <c r="DP87" i="32"/>
  <c r="DR33" i="32"/>
  <c r="DR43" i="32"/>
  <c r="DQ87" i="32"/>
  <c r="DS33" i="32"/>
  <c r="DS43" i="32"/>
  <c r="DR87" i="32"/>
  <c r="J22" i="2"/>
  <c r="S22" i="2"/>
  <c r="M22" i="2"/>
  <c r="DT33" i="32"/>
  <c r="DT43" i="32"/>
  <c r="DS87" i="32"/>
  <c r="DU33" i="32"/>
  <c r="DU43" i="32"/>
  <c r="DT87" i="32"/>
  <c r="DV33" i="32"/>
  <c r="DV43" i="32"/>
  <c r="DU87" i="32"/>
  <c r="DW33" i="32"/>
  <c r="DW43" i="32"/>
  <c r="DV87" i="32"/>
  <c r="DX33" i="32"/>
  <c r="DX43" i="32"/>
  <c r="DW87" i="32"/>
  <c r="DY33" i="32"/>
  <c r="DY43" i="32"/>
  <c r="DX87" i="32"/>
  <c r="DZ33" i="32"/>
  <c r="DZ43" i="32"/>
  <c r="DY87" i="32"/>
  <c r="EA33" i="32"/>
  <c r="EA43" i="32"/>
  <c r="DZ87" i="32"/>
  <c r="EB33" i="32"/>
  <c r="EB43" i="32"/>
  <c r="EA87" i="32"/>
  <c r="EC33" i="32"/>
  <c r="EC43" i="32"/>
  <c r="EB87" i="32"/>
  <c r="ED33" i="32"/>
  <c r="ED43" i="32"/>
  <c r="EC87" i="32"/>
  <c r="EE33" i="32"/>
  <c r="EE43" i="32"/>
  <c r="ED87" i="32"/>
  <c r="J23" i="2"/>
  <c r="S23" i="2"/>
  <c r="M23" i="2"/>
  <c r="EF33" i="32"/>
  <c r="EF43" i="32"/>
  <c r="EE87" i="32"/>
  <c r="EG33" i="32"/>
  <c r="EG43" i="32"/>
  <c r="EF87" i="32"/>
  <c r="EH33" i="32"/>
  <c r="EH43" i="32"/>
  <c r="EG87" i="32"/>
  <c r="EI33" i="32"/>
  <c r="EI43" i="32"/>
  <c r="EH87" i="32"/>
  <c r="EJ33" i="32"/>
  <c r="EJ43" i="32"/>
  <c r="EI87" i="32"/>
  <c r="EK33" i="32"/>
  <c r="EK43" i="32"/>
  <c r="EJ87" i="32"/>
  <c r="EL33" i="32"/>
  <c r="EL43" i="32"/>
  <c r="EK87" i="32"/>
  <c r="EM33" i="32"/>
  <c r="EM43" i="32"/>
  <c r="EL87" i="32"/>
  <c r="EN33" i="32"/>
  <c r="EN43" i="32"/>
  <c r="EM87" i="32"/>
  <c r="EO33" i="32"/>
  <c r="EO43" i="32"/>
  <c r="EN87" i="32"/>
  <c r="EP33" i="32"/>
  <c r="EP43" i="32"/>
  <c r="EO87" i="32"/>
  <c r="EQ33" i="32"/>
  <c r="EQ43" i="32"/>
  <c r="EP38" i="32"/>
  <c r="EQ39" i="32"/>
  <c r="EO38" i="32"/>
  <c r="EP39" i="32"/>
  <c r="EQ40" i="32"/>
  <c r="EN38" i="32"/>
  <c r="EO39" i="32"/>
  <c r="EP40" i="32"/>
  <c r="EQ41" i="32"/>
  <c r="EQ38" i="32"/>
  <c r="EQ42" i="32"/>
  <c r="DI12" i="32"/>
  <c r="DJ12" i="32"/>
  <c r="DK12" i="32"/>
  <c r="DL12" i="32"/>
  <c r="DM12" i="32"/>
  <c r="DN12" i="32"/>
  <c r="DO12" i="32"/>
  <c r="DP12" i="32"/>
  <c r="DQ12" i="32"/>
  <c r="DR12" i="32"/>
  <c r="DS12" i="32"/>
  <c r="DT12" i="32"/>
  <c r="DU12" i="32"/>
  <c r="DV12" i="32"/>
  <c r="DW12" i="32"/>
  <c r="DX12" i="32"/>
  <c r="DY12" i="32"/>
  <c r="DZ12" i="32"/>
  <c r="EA12" i="32"/>
  <c r="EB12" i="32"/>
  <c r="EC12" i="32"/>
  <c r="ED12" i="32"/>
  <c r="EE12" i="32"/>
  <c r="EF12" i="32"/>
  <c r="EG12" i="32"/>
  <c r="EH12" i="32"/>
  <c r="EI12" i="32"/>
  <c r="EJ12" i="32"/>
  <c r="EK12" i="32"/>
  <c r="EL12" i="32"/>
  <c r="EM12" i="32"/>
  <c r="EN12" i="32"/>
  <c r="EO12" i="32"/>
  <c r="EP12" i="32"/>
  <c r="EQ12" i="32"/>
  <c r="EQ37" i="32"/>
  <c r="EM38" i="32"/>
  <c r="EN39" i="32"/>
  <c r="EO40" i="32"/>
  <c r="EP41" i="32"/>
  <c r="EP42" i="32"/>
  <c r="EP37" i="32"/>
  <c r="EL38" i="32"/>
  <c r="EM39" i="32"/>
  <c r="EN40" i="32"/>
  <c r="EO41" i="32"/>
  <c r="EO42" i="32"/>
  <c r="EO37" i="32"/>
  <c r="EK38" i="32"/>
  <c r="EL39" i="32"/>
  <c r="EM40" i="32"/>
  <c r="EN41" i="32"/>
  <c r="EN42" i="32"/>
  <c r="EN37" i="32"/>
  <c r="EJ38" i="32"/>
  <c r="EK39" i="32"/>
  <c r="EL40" i="32"/>
  <c r="EM41" i="32"/>
  <c r="EM42" i="32"/>
  <c r="EM37" i="32"/>
  <c r="EI38" i="32"/>
  <c r="EJ39" i="32"/>
  <c r="EK40" i="32"/>
  <c r="EL41" i="32"/>
  <c r="EL42" i="32"/>
  <c r="EL37" i="32"/>
  <c r="EH38" i="32"/>
  <c r="EI39" i="32"/>
  <c r="EJ40" i="32"/>
  <c r="EK41" i="32"/>
  <c r="EK42" i="32"/>
  <c r="EK37" i="32"/>
  <c r="EG38" i="32"/>
  <c r="EH39" i="32"/>
  <c r="EI40" i="32"/>
  <c r="EJ41" i="32"/>
  <c r="EJ42" i="32"/>
  <c r="EJ37" i="32"/>
  <c r="EF38" i="32"/>
  <c r="EG39" i="32"/>
  <c r="EH40" i="32"/>
  <c r="EI41" i="32"/>
  <c r="EI42" i="32"/>
  <c r="EI37" i="32"/>
  <c r="EE38" i="32"/>
  <c r="EF39" i="32"/>
  <c r="EG40" i="32"/>
  <c r="EH41" i="32"/>
  <c r="EH42" i="32"/>
  <c r="EH37" i="32"/>
  <c r="ED38" i="32"/>
  <c r="EE39" i="32"/>
  <c r="EF40" i="32"/>
  <c r="EG41" i="32"/>
  <c r="EG42" i="32"/>
  <c r="EG37" i="32"/>
  <c r="EC38" i="32"/>
  <c r="ED39" i="32"/>
  <c r="EE40" i="32"/>
  <c r="EF41" i="32"/>
  <c r="EF42" i="32"/>
  <c r="EF37" i="32"/>
  <c r="EB38" i="32"/>
  <c r="EC39" i="32"/>
  <c r="ED40" i="32"/>
  <c r="EE41" i="32"/>
  <c r="EE42" i="32"/>
  <c r="EE37" i="32"/>
  <c r="EA38" i="32"/>
  <c r="EB39" i="32"/>
  <c r="EC40" i="32"/>
  <c r="ED41" i="32"/>
  <c r="ED42" i="32"/>
  <c r="ED37" i="32"/>
  <c r="DZ38" i="32"/>
  <c r="EA39" i="32"/>
  <c r="EB40" i="32"/>
  <c r="EC41" i="32"/>
  <c r="EC42" i="32"/>
  <c r="EC37" i="32"/>
  <c r="DY38" i="32"/>
  <c r="DZ39" i="32"/>
  <c r="EA40" i="32"/>
  <c r="EB41" i="32"/>
  <c r="EB42" i="32"/>
  <c r="EB37" i="32"/>
  <c r="DX38" i="32"/>
  <c r="DY39" i="32"/>
  <c r="DZ40" i="32"/>
  <c r="EA41" i="32"/>
  <c r="EA42" i="32"/>
  <c r="EA37" i="32"/>
  <c r="DW38" i="32"/>
  <c r="DX39" i="32"/>
  <c r="DY40" i="32"/>
  <c r="DZ41" i="32"/>
  <c r="DZ42" i="32"/>
  <c r="DZ37" i="32"/>
  <c r="DV38" i="32"/>
  <c r="DW39" i="32"/>
  <c r="DX40" i="32"/>
  <c r="DY41" i="32"/>
  <c r="DY42" i="32"/>
  <c r="DY37" i="32"/>
  <c r="DU38" i="32"/>
  <c r="DV39" i="32"/>
  <c r="DW40" i="32"/>
  <c r="DX41" i="32"/>
  <c r="DX42" i="32"/>
  <c r="DX37" i="32"/>
  <c r="DT38" i="32"/>
  <c r="DU39" i="32"/>
  <c r="DV40" i="32"/>
  <c r="DW41" i="32"/>
  <c r="DW42" i="32"/>
  <c r="DW37" i="32"/>
  <c r="DS38" i="32"/>
  <c r="DT39" i="32"/>
  <c r="DU40" i="32"/>
  <c r="DV41" i="32"/>
  <c r="DV42" i="32"/>
  <c r="DV37" i="32"/>
  <c r="DR38" i="32"/>
  <c r="DS39" i="32"/>
  <c r="DT40" i="32"/>
  <c r="DU41" i="32"/>
  <c r="DU42" i="32"/>
  <c r="DU37" i="32"/>
  <c r="DQ38" i="32"/>
  <c r="DR39" i="32"/>
  <c r="DS40" i="32"/>
  <c r="DT41" i="32"/>
  <c r="DT42" i="32"/>
  <c r="DT37" i="32"/>
  <c r="DP38" i="32"/>
  <c r="DQ39" i="32"/>
  <c r="DR40" i="32"/>
  <c r="DS41" i="32"/>
  <c r="DS42" i="32"/>
  <c r="DS37" i="32"/>
  <c r="DO38" i="32"/>
  <c r="DP39" i="32"/>
  <c r="DQ40" i="32"/>
  <c r="DR41" i="32"/>
  <c r="DR42" i="32"/>
  <c r="DR37" i="32"/>
  <c r="DN38" i="32"/>
  <c r="DO39" i="32"/>
  <c r="DP40" i="32"/>
  <c r="DQ41" i="32"/>
  <c r="DQ42" i="32"/>
  <c r="DQ37" i="32"/>
  <c r="DM38" i="32"/>
  <c r="DN39" i="32"/>
  <c r="DO40" i="32"/>
  <c r="DP41" i="32"/>
  <c r="DP42" i="32"/>
  <c r="DP37" i="32"/>
  <c r="DL38" i="32"/>
  <c r="DM39" i="32"/>
  <c r="DN40" i="32"/>
  <c r="DO41" i="32"/>
  <c r="DO42" i="32"/>
  <c r="DO37" i="32"/>
  <c r="DK38" i="32"/>
  <c r="DL39" i="32"/>
  <c r="DM40" i="32"/>
  <c r="DN41" i="32"/>
  <c r="DN42" i="32"/>
  <c r="DN37" i="32"/>
  <c r="DJ38" i="32"/>
  <c r="DK39" i="32"/>
  <c r="DL40" i="32"/>
  <c r="DM41" i="32"/>
  <c r="DM42" i="32"/>
  <c r="DM37" i="32"/>
  <c r="DI38" i="32"/>
  <c r="DJ39" i="32"/>
  <c r="DK40" i="32"/>
  <c r="DL41" i="32"/>
  <c r="DL42" i="32"/>
  <c r="DL37" i="32"/>
  <c r="DI39" i="32"/>
  <c r="DJ40" i="32"/>
  <c r="DK41" i="32"/>
  <c r="DK42" i="32"/>
  <c r="DK37" i="32"/>
  <c r="DI40" i="32"/>
  <c r="DJ41" i="32"/>
  <c r="DJ42" i="32"/>
  <c r="DJ37" i="32"/>
  <c r="DI41" i="32"/>
  <c r="DI42" i="32"/>
  <c r="DI37" i="32"/>
  <c r="J42" i="32"/>
  <c r="J41" i="32"/>
  <c r="J40" i="32"/>
  <c r="J39" i="32"/>
  <c r="J38" i="32"/>
  <c r="EP87" i="32"/>
  <c r="EQ35" i="32"/>
  <c r="EQ46" i="32"/>
  <c r="EQ44" i="32"/>
  <c r="EQ45" i="32"/>
  <c r="EQ48" i="32"/>
  <c r="EP35" i="32"/>
  <c r="EP46" i="32"/>
  <c r="EP44" i="32"/>
  <c r="EP45" i="32"/>
  <c r="EP48" i="32"/>
  <c r="EO35" i="32"/>
  <c r="EO46" i="32"/>
  <c r="EO44" i="32"/>
  <c r="EO45" i="32"/>
  <c r="EO48" i="32"/>
  <c r="EN35" i="32"/>
  <c r="EN46" i="32"/>
  <c r="EN44" i="32"/>
  <c r="EN45" i="32"/>
  <c r="EN48" i="32"/>
  <c r="EM35" i="32"/>
  <c r="EM46" i="32"/>
  <c r="EM44" i="32"/>
  <c r="EM45" i="32"/>
  <c r="EM48" i="32"/>
  <c r="EL35" i="32"/>
  <c r="EL46" i="32"/>
  <c r="EL44" i="32"/>
  <c r="EL45" i="32"/>
  <c r="EL48" i="32"/>
  <c r="EK35" i="32"/>
  <c r="EK46" i="32"/>
  <c r="EK44" i="32"/>
  <c r="EK45" i="32"/>
  <c r="EK48" i="32"/>
  <c r="EJ35" i="32"/>
  <c r="EJ46" i="32"/>
  <c r="EJ44" i="32"/>
  <c r="EJ45" i="32"/>
  <c r="EJ48" i="32"/>
  <c r="EI35" i="32"/>
  <c r="EI46" i="32"/>
  <c r="EI44" i="32"/>
  <c r="EI45" i="32"/>
  <c r="EI48" i="32"/>
  <c r="EH35" i="32"/>
  <c r="EH46" i="32"/>
  <c r="EH44" i="32"/>
  <c r="EH45" i="32"/>
  <c r="EH48" i="32"/>
  <c r="EG35" i="32"/>
  <c r="EG46" i="32"/>
  <c r="EG44" i="32"/>
  <c r="EG45" i="32"/>
  <c r="EG48" i="32"/>
  <c r="EF35" i="32"/>
  <c r="EF46" i="32"/>
  <c r="EF44" i="32"/>
  <c r="EF45" i="32"/>
  <c r="EF48" i="32"/>
  <c r="EE35" i="32"/>
  <c r="EE46" i="32"/>
  <c r="EE44" i="32"/>
  <c r="EE45" i="32"/>
  <c r="EE48" i="32"/>
  <c r="ED35" i="32"/>
  <c r="ED46" i="32"/>
  <c r="ED44" i="32"/>
  <c r="ED45" i="32"/>
  <c r="ED48" i="32"/>
  <c r="EC35" i="32"/>
  <c r="EC46" i="32"/>
  <c r="EC44" i="32"/>
  <c r="EC45" i="32"/>
  <c r="EC48" i="32"/>
  <c r="EB35" i="32"/>
  <c r="EB46" i="32"/>
  <c r="EB44" i="32"/>
  <c r="EB45" i="32"/>
  <c r="EB48" i="32"/>
  <c r="EA35" i="32"/>
  <c r="EA46" i="32"/>
  <c r="EA44" i="32"/>
  <c r="EA45" i="32"/>
  <c r="EA48" i="32"/>
  <c r="DZ35" i="32"/>
  <c r="DZ46" i="32"/>
  <c r="DZ44" i="32"/>
  <c r="DZ45" i="32"/>
  <c r="DZ48" i="32"/>
  <c r="DY35" i="32"/>
  <c r="DY46" i="32"/>
  <c r="DY44" i="32"/>
  <c r="DY45" i="32"/>
  <c r="DY48" i="32"/>
  <c r="DX35" i="32"/>
  <c r="DX46" i="32"/>
  <c r="DX44" i="32"/>
  <c r="DX45" i="32"/>
  <c r="DX48" i="32"/>
  <c r="DW35" i="32"/>
  <c r="DW46" i="32"/>
  <c r="DW44" i="32"/>
  <c r="DW45" i="32"/>
  <c r="DW48" i="32"/>
  <c r="DV35" i="32"/>
  <c r="DV46" i="32"/>
  <c r="DV44" i="32"/>
  <c r="DV45" i="32"/>
  <c r="DV48" i="32"/>
  <c r="DU35" i="32"/>
  <c r="DU46" i="32"/>
  <c r="DU44" i="32"/>
  <c r="DU45" i="32"/>
  <c r="DU48" i="32"/>
  <c r="DT35" i="32"/>
  <c r="DT46" i="32"/>
  <c r="DT44" i="32"/>
  <c r="DT45" i="32"/>
  <c r="DT48" i="32"/>
  <c r="DS35" i="32"/>
  <c r="DS46" i="32"/>
  <c r="DS44" i="32"/>
  <c r="DS45" i="32"/>
  <c r="DS48" i="32"/>
  <c r="DR35" i="32"/>
  <c r="DR46" i="32"/>
  <c r="DR44" i="32"/>
  <c r="DR45" i="32"/>
  <c r="DR48" i="32"/>
  <c r="DQ35" i="32"/>
  <c r="DQ46" i="32"/>
  <c r="DQ44" i="32"/>
  <c r="DQ45" i="32"/>
  <c r="DQ48" i="32"/>
  <c r="DP35" i="32"/>
  <c r="DP46" i="32"/>
  <c r="DP44" i="32"/>
  <c r="DP45" i="32"/>
  <c r="DP48" i="32"/>
  <c r="DO35" i="32"/>
  <c r="DO46" i="32"/>
  <c r="DO44" i="32"/>
  <c r="DO45" i="32"/>
  <c r="DO48" i="32"/>
  <c r="DN35" i="32"/>
  <c r="DN46" i="32"/>
  <c r="DN44" i="32"/>
  <c r="DN45" i="32"/>
  <c r="DN48" i="32"/>
  <c r="DM35" i="32"/>
  <c r="DM46" i="32"/>
  <c r="DM44" i="32"/>
  <c r="DM45" i="32"/>
  <c r="DM48" i="32"/>
  <c r="DL35" i="32"/>
  <c r="DL46" i="32"/>
  <c r="DL44" i="32"/>
  <c r="DL45" i="32"/>
  <c r="DL48" i="32"/>
  <c r="DK35" i="32"/>
  <c r="DK46" i="32"/>
  <c r="DK44" i="32"/>
  <c r="DK45" i="32"/>
  <c r="DK48" i="32"/>
  <c r="DJ35" i="32"/>
  <c r="DJ46" i="32"/>
  <c r="DJ44" i="32"/>
  <c r="DJ45" i="32"/>
  <c r="DJ48" i="32"/>
  <c r="DI35" i="32"/>
  <c r="DI44" i="32"/>
  <c r="DI45" i="32"/>
  <c r="DI46" i="32"/>
  <c r="DI48" i="32"/>
  <c r="EQ13" i="32"/>
  <c r="EP13" i="32"/>
  <c r="EO13" i="32"/>
  <c r="EN13" i="32"/>
  <c r="EM13" i="32"/>
  <c r="EL13" i="32"/>
  <c r="EK13" i="32"/>
  <c r="EJ13" i="32"/>
  <c r="EI13" i="32"/>
  <c r="EH13" i="32"/>
  <c r="EG13" i="32"/>
  <c r="EF13" i="32"/>
  <c r="EE13" i="32"/>
  <c r="ED13" i="32"/>
  <c r="EC13" i="32"/>
  <c r="EB13" i="32"/>
  <c r="EA13" i="32"/>
  <c r="DZ13" i="32"/>
  <c r="DY13" i="32"/>
  <c r="DX13" i="32"/>
  <c r="DW13" i="32"/>
  <c r="DV13" i="32"/>
  <c r="DU13" i="32"/>
  <c r="DT13" i="32"/>
  <c r="DS13" i="32"/>
  <c r="DR13" i="32"/>
  <c r="DQ13" i="32"/>
  <c r="DP13" i="32"/>
  <c r="DO13" i="32"/>
  <c r="DN13" i="32"/>
  <c r="DM13" i="32"/>
  <c r="DL13" i="32"/>
  <c r="DK13" i="32"/>
  <c r="DJ13" i="32"/>
  <c r="DI13" i="32"/>
  <c r="DH13" i="32"/>
  <c r="DG13" i="32"/>
  <c r="DF13" i="32"/>
  <c r="DE13" i="32"/>
  <c r="DD13" i="32"/>
  <c r="DC13" i="32"/>
  <c r="DB13" i="32"/>
  <c r="DA13" i="32"/>
  <c r="CZ13" i="32"/>
  <c r="CY13" i="32"/>
  <c r="CX13" i="32"/>
  <c r="CW13" i="32"/>
  <c r="CV13" i="32"/>
  <c r="CU13" i="32"/>
  <c r="CT13" i="32"/>
  <c r="CS13" i="32"/>
  <c r="CR13" i="32"/>
  <c r="CQ13" i="32"/>
  <c r="CP13" i="32"/>
  <c r="CO13" i="32"/>
  <c r="CN13" i="32"/>
  <c r="CM13" i="32"/>
  <c r="CL13" i="32"/>
  <c r="CK13" i="32"/>
  <c r="CJ13" i="32"/>
  <c r="CI13" i="32"/>
  <c r="CH13" i="32"/>
  <c r="CG13" i="32"/>
  <c r="CF13" i="32"/>
  <c r="CE13" i="32"/>
  <c r="CD13" i="32"/>
  <c r="CC13" i="32"/>
  <c r="CB13" i="32"/>
  <c r="CA13" i="32"/>
  <c r="BZ13" i="32"/>
  <c r="BY13" i="32"/>
  <c r="BX13" i="32"/>
  <c r="BW13" i="32"/>
  <c r="BV13" i="32"/>
  <c r="BU13" i="32"/>
  <c r="BT13" i="32"/>
  <c r="BS13" i="32"/>
  <c r="BR13" i="32"/>
  <c r="BQ13" i="32"/>
  <c r="BP13" i="32"/>
  <c r="BO13" i="32"/>
  <c r="BN13" i="32"/>
  <c r="BM13" i="32"/>
  <c r="BL13" i="32"/>
  <c r="BK13" i="32"/>
  <c r="BJ13" i="32"/>
  <c r="BI13" i="32"/>
  <c r="BH13" i="32"/>
  <c r="BG13" i="32"/>
  <c r="BF13" i="32"/>
  <c r="BE13" i="32"/>
  <c r="BD13" i="32"/>
  <c r="BC13" i="32"/>
  <c r="BB13" i="32"/>
  <c r="BA13" i="32"/>
  <c r="AZ13" i="32"/>
  <c r="AY13" i="32"/>
  <c r="AX13" i="32"/>
  <c r="AW13" i="32"/>
  <c r="AV13" i="32"/>
  <c r="AU13" i="32"/>
  <c r="AT13" i="32"/>
  <c r="AS13" i="32"/>
  <c r="AR13" i="32"/>
  <c r="AQ13" i="32"/>
  <c r="AP13" i="32"/>
  <c r="AO13" i="32"/>
  <c r="AN13" i="32"/>
  <c r="AM13" i="32"/>
  <c r="AL13" i="32"/>
  <c r="AK13" i="32"/>
  <c r="AJ13" i="32"/>
  <c r="AI13" i="32"/>
  <c r="AH13" i="32"/>
  <c r="AG13" i="32"/>
  <c r="AF13" i="32"/>
  <c r="AE13" i="32"/>
  <c r="AD13" i="32"/>
  <c r="AC13" i="32"/>
  <c r="AB13" i="32"/>
  <c r="AA13" i="32"/>
  <c r="Z13" i="32"/>
  <c r="Y13" i="32"/>
  <c r="X13" i="32"/>
  <c r="W13" i="32"/>
  <c r="V13" i="32"/>
  <c r="U13" i="32"/>
  <c r="T13" i="32"/>
  <c r="S13" i="32"/>
  <c r="R13" i="32"/>
  <c r="Q13" i="32"/>
  <c r="P13" i="32"/>
  <c r="H24" i="2"/>
  <c r="N13" i="58"/>
  <c r="M13" i="58"/>
  <c r="L13" i="58"/>
  <c r="K13" i="58"/>
  <c r="J13" i="58"/>
  <c r="I13" i="58"/>
  <c r="H13" i="58"/>
  <c r="H15" i="58"/>
  <c r="H19" i="58"/>
  <c r="H9" i="58"/>
  <c r="H21" i="58"/>
  <c r="I15" i="58"/>
  <c r="I16" i="58"/>
  <c r="I19" i="58"/>
  <c r="I9" i="58"/>
  <c r="I21" i="58"/>
  <c r="J15" i="58"/>
  <c r="J16" i="58"/>
  <c r="J17" i="58"/>
  <c r="J19" i="58"/>
  <c r="J9" i="58"/>
  <c r="J21" i="58"/>
  <c r="K15" i="58"/>
  <c r="K16" i="58"/>
  <c r="K17" i="58"/>
  <c r="K18" i="58"/>
  <c r="K19" i="58"/>
  <c r="K9" i="58"/>
  <c r="K21" i="58"/>
  <c r="L15" i="58"/>
  <c r="L16" i="58"/>
  <c r="L17" i="58"/>
  <c r="L18" i="58"/>
  <c r="L19" i="58"/>
  <c r="L9" i="58"/>
  <c r="L21" i="58"/>
  <c r="M15" i="58"/>
  <c r="M16" i="58"/>
  <c r="M17" i="58"/>
  <c r="M18" i="58"/>
  <c r="M19" i="58"/>
  <c r="M9" i="58"/>
  <c r="M21" i="58"/>
  <c r="N15" i="58"/>
  <c r="N16" i="58"/>
  <c r="N17" i="58"/>
  <c r="N18" i="58"/>
  <c r="N19" i="58"/>
  <c r="N9" i="58"/>
  <c r="N21" i="58"/>
  <c r="O16" i="58"/>
  <c r="O17" i="58"/>
  <c r="O18" i="58"/>
  <c r="O19" i="58"/>
  <c r="O9" i="58"/>
  <c r="O21" i="58"/>
  <c r="P17" i="58"/>
  <c r="P18" i="58"/>
  <c r="P19" i="58"/>
  <c r="P9" i="58"/>
  <c r="P21" i="58"/>
  <c r="Q18" i="58"/>
  <c r="Q19" i="58"/>
  <c r="Q9" i="58"/>
  <c r="Q21" i="58"/>
  <c r="F21" i="58"/>
  <c r="B6" i="58"/>
  <c r="C6" i="58"/>
  <c r="B5" i="58"/>
  <c r="C4" i="58"/>
  <c r="B11" i="58"/>
  <c r="B10" i="58"/>
  <c r="B8" i="58"/>
  <c r="AA23" i="32"/>
  <c r="AB23" i="32"/>
  <c r="AB28" i="32"/>
  <c r="C29" i="32"/>
  <c r="AB29" i="32"/>
  <c r="AB30" i="32"/>
  <c r="Z23" i="32"/>
  <c r="AA28" i="32"/>
  <c r="AA29" i="32"/>
  <c r="AA30" i="32"/>
  <c r="Y23" i="32"/>
  <c r="Z28" i="32"/>
  <c r="Z29" i="32"/>
  <c r="Z30" i="32"/>
  <c r="X23" i="32"/>
  <c r="Y26" i="32"/>
  <c r="Y28" i="32"/>
  <c r="Y29" i="32"/>
  <c r="Y30" i="32"/>
  <c r="W23" i="32"/>
  <c r="X26" i="32"/>
  <c r="X28" i="32"/>
  <c r="X29" i="32"/>
  <c r="X30" i="32"/>
  <c r="V23" i="32"/>
  <c r="W26" i="32"/>
  <c r="W28" i="32"/>
  <c r="W29" i="32"/>
  <c r="W30" i="32"/>
  <c r="U23" i="32"/>
  <c r="V26" i="32"/>
  <c r="V28" i="32"/>
  <c r="V29" i="32"/>
  <c r="V30" i="32"/>
  <c r="T23" i="32"/>
  <c r="U26" i="32"/>
  <c r="U28" i="32"/>
  <c r="U29" i="32"/>
  <c r="U30" i="32"/>
  <c r="S23" i="32"/>
  <c r="T26" i="32"/>
  <c r="T28" i="32"/>
  <c r="T29" i="32"/>
  <c r="T30" i="32"/>
  <c r="R23" i="32"/>
  <c r="S26" i="32"/>
  <c r="S28" i="32"/>
  <c r="S29" i="32"/>
  <c r="S30" i="32"/>
  <c r="Q23" i="32"/>
  <c r="R26" i="32"/>
  <c r="R28" i="32"/>
  <c r="R29" i="32"/>
  <c r="R30" i="32"/>
  <c r="P23" i="32"/>
  <c r="Q26" i="32"/>
  <c r="Q28" i="32"/>
  <c r="Q29" i="32"/>
  <c r="Q30" i="32"/>
  <c r="P26" i="32"/>
  <c r="P28" i="32"/>
  <c r="P29" i="32"/>
  <c r="P30" i="32"/>
  <c r="P22" i="32"/>
  <c r="P27" i="32"/>
  <c r="Q27" i="32"/>
  <c r="R27" i="32"/>
  <c r="S27" i="32"/>
  <c r="T27" i="32"/>
  <c r="U27" i="32"/>
  <c r="V27" i="32"/>
  <c r="W27" i="32"/>
  <c r="X27" i="32"/>
  <c r="Y27" i="32"/>
  <c r="Z27" i="32"/>
  <c r="AA27" i="32"/>
  <c r="AB27" i="32"/>
  <c r="Q11" i="58"/>
  <c r="P11" i="58"/>
  <c r="O11" i="58"/>
  <c r="N11" i="58"/>
  <c r="M11" i="58"/>
  <c r="L11" i="58"/>
  <c r="K11" i="58"/>
  <c r="J11" i="58"/>
  <c r="I11" i="58"/>
  <c r="H11" i="58"/>
  <c r="Y20" i="32"/>
  <c r="Q8" i="58"/>
  <c r="X20" i="32"/>
  <c r="P8" i="58"/>
  <c r="W20" i="32"/>
  <c r="O8" i="58"/>
  <c r="V20" i="32"/>
  <c r="N8" i="58"/>
  <c r="U20" i="32"/>
  <c r="M8" i="58"/>
  <c r="T20" i="32"/>
  <c r="L8" i="58"/>
  <c r="S20" i="32"/>
  <c r="K8" i="58"/>
  <c r="R20" i="32"/>
  <c r="J8" i="58"/>
  <c r="Q20" i="32"/>
  <c r="I8" i="58"/>
  <c r="P20" i="32"/>
  <c r="H8" i="58"/>
  <c r="AA23" i="57"/>
  <c r="AB26" i="57"/>
  <c r="AB23" i="57"/>
  <c r="AB28" i="57"/>
  <c r="C29" i="57"/>
  <c r="AB29" i="57"/>
  <c r="AB30" i="57"/>
  <c r="Z23" i="57"/>
  <c r="AA26" i="57"/>
  <c r="AA28" i="57"/>
  <c r="AA29" i="57"/>
  <c r="AA30" i="57"/>
  <c r="Y23" i="57"/>
  <c r="Z26" i="57"/>
  <c r="Z28" i="57"/>
  <c r="Z29" i="57"/>
  <c r="Z30" i="57"/>
  <c r="X23" i="57"/>
  <c r="Y26" i="57"/>
  <c r="Y28" i="57"/>
  <c r="Y29" i="57"/>
  <c r="Y30" i="57"/>
  <c r="W23" i="57"/>
  <c r="X26" i="57"/>
  <c r="X28" i="57"/>
  <c r="X29" i="57"/>
  <c r="X30" i="57"/>
  <c r="V23" i="57"/>
  <c r="W26" i="57"/>
  <c r="W28" i="57"/>
  <c r="W29" i="57"/>
  <c r="W30" i="57"/>
  <c r="U23" i="57"/>
  <c r="V26" i="57"/>
  <c r="V28" i="57"/>
  <c r="V29" i="57"/>
  <c r="V30" i="57"/>
  <c r="T23" i="57"/>
  <c r="U26" i="57"/>
  <c r="U28" i="57"/>
  <c r="U29" i="57"/>
  <c r="U30" i="57"/>
  <c r="S23" i="57"/>
  <c r="T26" i="57"/>
  <c r="T28" i="57"/>
  <c r="T29" i="57"/>
  <c r="T30" i="57"/>
  <c r="R23" i="57"/>
  <c r="S26" i="57"/>
  <c r="S28" i="57"/>
  <c r="S29" i="57"/>
  <c r="S30" i="57"/>
  <c r="Q23" i="57"/>
  <c r="R26" i="57"/>
  <c r="R28" i="57"/>
  <c r="R29" i="57"/>
  <c r="R30" i="57"/>
  <c r="P23" i="57"/>
  <c r="Q26" i="57"/>
  <c r="Q28" i="57"/>
  <c r="Q29" i="57"/>
  <c r="Q30" i="57"/>
  <c r="P26" i="57"/>
  <c r="P28" i="57"/>
  <c r="P29" i="57"/>
  <c r="P30" i="57"/>
  <c r="P22" i="57"/>
  <c r="P27" i="57"/>
  <c r="Q27" i="57"/>
  <c r="R27" i="57"/>
  <c r="S27" i="57"/>
  <c r="T27" i="57"/>
  <c r="U27" i="57"/>
  <c r="V27" i="57"/>
  <c r="W27" i="57"/>
  <c r="X27" i="57"/>
  <c r="Y27" i="57"/>
  <c r="Z27" i="57"/>
  <c r="AA27" i="57"/>
  <c r="AB27" i="57"/>
  <c r="P9" i="32"/>
  <c r="Q9" i="32"/>
  <c r="D32" i="36"/>
  <c r="D33" i="36"/>
  <c r="Q24" i="57"/>
  <c r="Q25" i="57"/>
  <c r="C32" i="36"/>
  <c r="C33" i="36"/>
  <c r="P24" i="57"/>
  <c r="P25" i="57"/>
  <c r="Q22" i="57"/>
  <c r="R22" i="57"/>
  <c r="S22" i="57"/>
  <c r="T22" i="57"/>
  <c r="U22" i="57"/>
  <c r="V22" i="57"/>
  <c r="W22" i="57"/>
  <c r="X22" i="57"/>
  <c r="Y22" i="57"/>
  <c r="Z22" i="57"/>
  <c r="AA22" i="57"/>
  <c r="AB22" i="57"/>
  <c r="G17" i="57"/>
  <c r="P21" i="57"/>
  <c r="Q21" i="57"/>
  <c r="R21" i="57"/>
  <c r="S21" i="57"/>
  <c r="T21" i="57"/>
  <c r="U21" i="57"/>
  <c r="V21" i="57"/>
  <c r="W21" i="57"/>
  <c r="X21" i="57"/>
  <c r="Y21" i="57"/>
  <c r="Z21" i="57"/>
  <c r="AA21" i="57"/>
  <c r="AB21" i="57"/>
  <c r="P100" i="57"/>
  <c r="P101" i="57"/>
  <c r="O100" i="57"/>
  <c r="O101" i="57"/>
  <c r="P98" i="57"/>
  <c r="K97" i="57"/>
  <c r="J97" i="57"/>
  <c r="K96" i="57"/>
  <c r="P86" i="57"/>
  <c r="N80" i="57"/>
  <c r="N79" i="57"/>
  <c r="N77" i="57"/>
  <c r="N71" i="57"/>
  <c r="N70" i="57"/>
  <c r="N69" i="57"/>
  <c r="N68" i="57"/>
  <c r="N67" i="57"/>
  <c r="N65" i="57"/>
  <c r="N64" i="57"/>
  <c r="N63" i="57"/>
  <c r="N62" i="57"/>
  <c r="N61" i="57"/>
  <c r="N60" i="57"/>
  <c r="N58" i="57"/>
  <c r="N54" i="57"/>
  <c r="N53" i="57"/>
  <c r="N48" i="57"/>
  <c r="N47" i="57"/>
  <c r="N46" i="57"/>
  <c r="N42" i="57"/>
  <c r="N41" i="57"/>
  <c r="P41" i="57"/>
  <c r="N40" i="57"/>
  <c r="P40" i="57"/>
  <c r="N38" i="57"/>
  <c r="N39" i="57"/>
  <c r="N37" i="57"/>
  <c r="I36" i="57"/>
  <c r="EQ24" i="57"/>
  <c r="EQ23" i="57"/>
  <c r="EQ25" i="57"/>
  <c r="EP24" i="57"/>
  <c r="EP23" i="57"/>
  <c r="EP25" i="57"/>
  <c r="EO24" i="57"/>
  <c r="EO23" i="57"/>
  <c r="EO25" i="57"/>
  <c r="EN24" i="57"/>
  <c r="EN23" i="57"/>
  <c r="EN25" i="57"/>
  <c r="EM24" i="57"/>
  <c r="EM23" i="57"/>
  <c r="EM25" i="57"/>
  <c r="EL24" i="57"/>
  <c r="EL23" i="57"/>
  <c r="EL25" i="57"/>
  <c r="EK24" i="57"/>
  <c r="EK23" i="57"/>
  <c r="EK25" i="57"/>
  <c r="EJ24" i="57"/>
  <c r="EJ23" i="57"/>
  <c r="EJ25" i="57"/>
  <c r="EI24" i="57"/>
  <c r="EI23" i="57"/>
  <c r="EI25" i="57"/>
  <c r="EH24" i="57"/>
  <c r="EH23" i="57"/>
  <c r="EH25" i="57"/>
  <c r="EG24" i="57"/>
  <c r="EG23" i="57"/>
  <c r="EG25" i="57"/>
  <c r="EF24" i="57"/>
  <c r="EF23" i="57"/>
  <c r="EF25" i="57"/>
  <c r="EE24" i="57"/>
  <c r="EE23" i="57"/>
  <c r="EE25" i="57"/>
  <c r="ED24" i="57"/>
  <c r="ED23" i="57"/>
  <c r="ED25" i="57"/>
  <c r="EC24" i="57"/>
  <c r="EC23" i="57"/>
  <c r="EC25" i="57"/>
  <c r="EB24" i="57"/>
  <c r="EB23" i="57"/>
  <c r="EB25" i="57"/>
  <c r="EA24" i="57"/>
  <c r="EA23" i="57"/>
  <c r="EA25" i="57"/>
  <c r="DZ24" i="57"/>
  <c r="DZ23" i="57"/>
  <c r="DZ25" i="57"/>
  <c r="DY24" i="57"/>
  <c r="DY23" i="57"/>
  <c r="DY25" i="57"/>
  <c r="DX24" i="57"/>
  <c r="DX23" i="57"/>
  <c r="DX25" i="57"/>
  <c r="DW24" i="57"/>
  <c r="DW23" i="57"/>
  <c r="DW25" i="57"/>
  <c r="DV24" i="57"/>
  <c r="DV23" i="57"/>
  <c r="DV25" i="57"/>
  <c r="DU24" i="57"/>
  <c r="DU23" i="57"/>
  <c r="DU25" i="57"/>
  <c r="DT24" i="57"/>
  <c r="DT23" i="57"/>
  <c r="DT25" i="57"/>
  <c r="DS24" i="57"/>
  <c r="DS23" i="57"/>
  <c r="DS25" i="57"/>
  <c r="DR24" i="57"/>
  <c r="DR23" i="57"/>
  <c r="DR25" i="57"/>
  <c r="DQ24" i="57"/>
  <c r="DQ23" i="57"/>
  <c r="DQ25" i="57"/>
  <c r="DP24" i="57"/>
  <c r="DP23" i="57"/>
  <c r="DP25" i="57"/>
  <c r="DO24" i="57"/>
  <c r="DO23" i="57"/>
  <c r="DO25" i="57"/>
  <c r="DN24" i="57"/>
  <c r="DN23" i="57"/>
  <c r="DN25" i="57"/>
  <c r="DM24" i="57"/>
  <c r="DM23" i="57"/>
  <c r="DM25" i="57"/>
  <c r="DL24" i="57"/>
  <c r="DL23" i="57"/>
  <c r="DL25" i="57"/>
  <c r="DK24" i="57"/>
  <c r="DK23" i="57"/>
  <c r="DK25" i="57"/>
  <c r="DJ24" i="57"/>
  <c r="DJ23" i="57"/>
  <c r="DJ25" i="57"/>
  <c r="DI24" i="57"/>
  <c r="DI23" i="57"/>
  <c r="DI25" i="57"/>
  <c r="DH24" i="57"/>
  <c r="DH23" i="57"/>
  <c r="DH25" i="57"/>
  <c r="DG24" i="57"/>
  <c r="DG23" i="57"/>
  <c r="DG25" i="57"/>
  <c r="DF24" i="57"/>
  <c r="DF23" i="57"/>
  <c r="DF25" i="57"/>
  <c r="DE24" i="57"/>
  <c r="DE23" i="57"/>
  <c r="DE25" i="57"/>
  <c r="DD24" i="57"/>
  <c r="DD23" i="57"/>
  <c r="DD25" i="57"/>
  <c r="DC24" i="57"/>
  <c r="DC23" i="57"/>
  <c r="DC25" i="57"/>
  <c r="DB24" i="57"/>
  <c r="DB23" i="57"/>
  <c r="DB25" i="57"/>
  <c r="DA24" i="57"/>
  <c r="DA23" i="57"/>
  <c r="DA25" i="57"/>
  <c r="CZ24" i="57"/>
  <c r="CZ23" i="57"/>
  <c r="CZ25" i="57"/>
  <c r="CY24" i="57"/>
  <c r="CY23" i="57"/>
  <c r="CY25" i="57"/>
  <c r="CX24" i="57"/>
  <c r="CX23" i="57"/>
  <c r="CX25" i="57"/>
  <c r="CW24" i="57"/>
  <c r="CW23" i="57"/>
  <c r="CW25" i="57"/>
  <c r="CV24" i="57"/>
  <c r="CV23" i="57"/>
  <c r="CV25" i="57"/>
  <c r="CU24" i="57"/>
  <c r="CU23" i="57"/>
  <c r="CU25" i="57"/>
  <c r="CT24" i="57"/>
  <c r="CT23" i="57"/>
  <c r="CT25" i="57"/>
  <c r="CS24" i="57"/>
  <c r="CS23" i="57"/>
  <c r="CS25" i="57"/>
  <c r="CR24" i="57"/>
  <c r="CR23" i="57"/>
  <c r="CR25" i="57"/>
  <c r="CQ24" i="57"/>
  <c r="CQ23" i="57"/>
  <c r="CQ25" i="57"/>
  <c r="CP24" i="57"/>
  <c r="CP23" i="57"/>
  <c r="CP25" i="57"/>
  <c r="CO24" i="57"/>
  <c r="CO23" i="57"/>
  <c r="CO25" i="57"/>
  <c r="CN24" i="57"/>
  <c r="CN23" i="57"/>
  <c r="CN25" i="57"/>
  <c r="CM24" i="57"/>
  <c r="CM23" i="57"/>
  <c r="CM25" i="57"/>
  <c r="CL24" i="57"/>
  <c r="CL23" i="57"/>
  <c r="CL25" i="57"/>
  <c r="CK24" i="57"/>
  <c r="CK23" i="57"/>
  <c r="CK25" i="57"/>
  <c r="CJ24" i="57"/>
  <c r="CJ23" i="57"/>
  <c r="CJ25" i="57"/>
  <c r="CI24" i="57"/>
  <c r="CI23" i="57"/>
  <c r="CI25" i="57"/>
  <c r="CH24" i="57"/>
  <c r="CH23" i="57"/>
  <c r="CH25" i="57"/>
  <c r="CG24" i="57"/>
  <c r="CG23" i="57"/>
  <c r="CG25" i="57"/>
  <c r="CF24" i="57"/>
  <c r="CF23" i="57"/>
  <c r="CF25" i="57"/>
  <c r="CE24" i="57"/>
  <c r="CE23" i="57"/>
  <c r="CE25" i="57"/>
  <c r="CD24" i="57"/>
  <c r="CD23" i="57"/>
  <c r="CD25" i="57"/>
  <c r="CC24" i="57"/>
  <c r="CC23" i="57"/>
  <c r="CC25" i="57"/>
  <c r="CB24" i="57"/>
  <c r="CB23" i="57"/>
  <c r="CB25" i="57"/>
  <c r="CA24" i="57"/>
  <c r="CA23" i="57"/>
  <c r="CA25" i="57"/>
  <c r="BZ24" i="57"/>
  <c r="BZ23" i="57"/>
  <c r="BZ25" i="57"/>
  <c r="BY24" i="57"/>
  <c r="BY23" i="57"/>
  <c r="BY25" i="57"/>
  <c r="BX24" i="57"/>
  <c r="BX23" i="57"/>
  <c r="BX25" i="57"/>
  <c r="BW24" i="57"/>
  <c r="BW23" i="57"/>
  <c r="BW25" i="57"/>
  <c r="BV24" i="57"/>
  <c r="BV23" i="57"/>
  <c r="BV25" i="57"/>
  <c r="BU24" i="57"/>
  <c r="BU23" i="57"/>
  <c r="BU25" i="57"/>
  <c r="BT24" i="57"/>
  <c r="BT23" i="57"/>
  <c r="BT25" i="57"/>
  <c r="BS24" i="57"/>
  <c r="BS23" i="57"/>
  <c r="BS25" i="57"/>
  <c r="BR24" i="57"/>
  <c r="BR23" i="57"/>
  <c r="BR25" i="57"/>
  <c r="BQ24" i="57"/>
  <c r="BQ23" i="57"/>
  <c r="BQ25" i="57"/>
  <c r="BP24" i="57"/>
  <c r="BP23" i="57"/>
  <c r="BP25" i="57"/>
  <c r="BO24" i="57"/>
  <c r="BO23" i="57"/>
  <c r="BO25" i="57"/>
  <c r="BN24" i="57"/>
  <c r="BN23" i="57"/>
  <c r="BN25" i="57"/>
  <c r="BM24" i="57"/>
  <c r="BM23" i="57"/>
  <c r="BM25" i="57"/>
  <c r="BL24" i="57"/>
  <c r="BL23" i="57"/>
  <c r="BL25" i="57"/>
  <c r="BK24" i="57"/>
  <c r="BK23" i="57"/>
  <c r="BK25" i="57"/>
  <c r="BJ24" i="57"/>
  <c r="BJ23" i="57"/>
  <c r="BJ25" i="57"/>
  <c r="BI24" i="57"/>
  <c r="BI23" i="57"/>
  <c r="BI25" i="57"/>
  <c r="BH24" i="57"/>
  <c r="BH23" i="57"/>
  <c r="BH25" i="57"/>
  <c r="BG24" i="57"/>
  <c r="BG23" i="57"/>
  <c r="BG25" i="57"/>
  <c r="BF24" i="57"/>
  <c r="BF23" i="57"/>
  <c r="BF25" i="57"/>
  <c r="BE24" i="57"/>
  <c r="BE23" i="57"/>
  <c r="BE25" i="57"/>
  <c r="BD24" i="57"/>
  <c r="BD23" i="57"/>
  <c r="BD25" i="57"/>
  <c r="BC24" i="57"/>
  <c r="BC23" i="57"/>
  <c r="BC25" i="57"/>
  <c r="BB24" i="57"/>
  <c r="BB23" i="57"/>
  <c r="BB25" i="57"/>
  <c r="BA24" i="57"/>
  <c r="BA23" i="57"/>
  <c r="BA25" i="57"/>
  <c r="AZ24" i="57"/>
  <c r="AZ23" i="57"/>
  <c r="AZ25" i="57"/>
  <c r="AY24" i="57"/>
  <c r="AY23" i="57"/>
  <c r="AY25" i="57"/>
  <c r="AX24" i="57"/>
  <c r="AX23" i="57"/>
  <c r="AX25" i="57"/>
  <c r="AW24" i="57"/>
  <c r="AW23" i="57"/>
  <c r="AW25" i="57"/>
  <c r="AV24" i="57"/>
  <c r="AV23" i="57"/>
  <c r="AV25" i="57"/>
  <c r="AU24" i="57"/>
  <c r="AU23" i="57"/>
  <c r="AU25" i="57"/>
  <c r="AT24" i="57"/>
  <c r="AT23" i="57"/>
  <c r="AT25" i="57"/>
  <c r="AS24" i="57"/>
  <c r="AS23" i="57"/>
  <c r="AS25" i="57"/>
  <c r="AR24" i="57"/>
  <c r="AR23" i="57"/>
  <c r="AR25" i="57"/>
  <c r="AQ24" i="57"/>
  <c r="AQ23" i="57"/>
  <c r="AQ25" i="57"/>
  <c r="EP26" i="57"/>
  <c r="EN26" i="57"/>
  <c r="EL26" i="57"/>
  <c r="EJ26" i="57"/>
  <c r="EH26" i="57"/>
  <c r="EF26" i="57"/>
  <c r="ED26" i="57"/>
  <c r="EB26" i="57"/>
  <c r="DZ26" i="57"/>
  <c r="DX26" i="57"/>
  <c r="DV26" i="57"/>
  <c r="DT26" i="57"/>
  <c r="DR26" i="57"/>
  <c r="DP26" i="57"/>
  <c r="DN26" i="57"/>
  <c r="DL26" i="57"/>
  <c r="DJ26" i="57"/>
  <c r="DH26" i="57"/>
  <c r="DF26" i="57"/>
  <c r="DD26" i="57"/>
  <c r="DB26" i="57"/>
  <c r="CZ26" i="57"/>
  <c r="CX26" i="57"/>
  <c r="CV26" i="57"/>
  <c r="CT26" i="57"/>
  <c r="CR26" i="57"/>
  <c r="CP26" i="57"/>
  <c r="CN26" i="57"/>
  <c r="CL26" i="57"/>
  <c r="CJ26" i="57"/>
  <c r="CH26" i="57"/>
  <c r="CF26" i="57"/>
  <c r="CD26" i="57"/>
  <c r="CB26" i="57"/>
  <c r="BZ26" i="57"/>
  <c r="BX26" i="57"/>
  <c r="BV26" i="57"/>
  <c r="BT26" i="57"/>
  <c r="BR26" i="57"/>
  <c r="BP26" i="57"/>
  <c r="BN26" i="57"/>
  <c r="BL26" i="57"/>
  <c r="BJ26" i="57"/>
  <c r="BH26" i="57"/>
  <c r="BF26" i="57"/>
  <c r="BD26" i="57"/>
  <c r="BB26" i="57"/>
  <c r="AZ26" i="57"/>
  <c r="AX26" i="57"/>
  <c r="AV26" i="57"/>
  <c r="AT26" i="57"/>
  <c r="AR26" i="57"/>
  <c r="AP23" i="57"/>
  <c r="AO23" i="57"/>
  <c r="AP26" i="57"/>
  <c r="AN23" i="57"/>
  <c r="AM23" i="57"/>
  <c r="AN26" i="57"/>
  <c r="AL23" i="57"/>
  <c r="AK23" i="57"/>
  <c r="AL26" i="57"/>
  <c r="AJ23" i="57"/>
  <c r="AI23" i="57"/>
  <c r="AJ26" i="57"/>
  <c r="AH23" i="57"/>
  <c r="AG23" i="57"/>
  <c r="AH26" i="57"/>
  <c r="AF23" i="57"/>
  <c r="AE23" i="57"/>
  <c r="AF26" i="57"/>
  <c r="AD23" i="57"/>
  <c r="AC23" i="57"/>
  <c r="AD26" i="57"/>
  <c r="P20" i="57"/>
  <c r="D14" i="57"/>
  <c r="C14" i="57"/>
  <c r="E14" i="57"/>
  <c r="B14" i="57"/>
  <c r="D13" i="57"/>
  <c r="C13" i="57"/>
  <c r="E13" i="57"/>
  <c r="B13" i="57"/>
  <c r="D12" i="57"/>
  <c r="C12" i="57"/>
  <c r="E12" i="57"/>
  <c r="B12" i="57"/>
  <c r="P11" i="57"/>
  <c r="P79" i="57"/>
  <c r="D11" i="57"/>
  <c r="C11" i="57"/>
  <c r="E11" i="57"/>
  <c r="B11" i="57"/>
  <c r="Q10" i="57"/>
  <c r="R10" i="57"/>
  <c r="R20" i="57"/>
  <c r="D10" i="57"/>
  <c r="C10" i="57"/>
  <c r="E10" i="57"/>
  <c r="B10" i="57"/>
  <c r="D9" i="57"/>
  <c r="C9" i="57"/>
  <c r="E9" i="57"/>
  <c r="B9" i="57"/>
  <c r="D8" i="57"/>
  <c r="C8" i="57"/>
  <c r="E8" i="57"/>
  <c r="B8" i="57"/>
  <c r="D7" i="57"/>
  <c r="C7" i="57"/>
  <c r="E7" i="57"/>
  <c r="B7" i="57"/>
  <c r="P6" i="57"/>
  <c r="P9" i="57"/>
  <c r="Q9" i="57"/>
  <c r="R9" i="57"/>
  <c r="S9" i="57"/>
  <c r="T9" i="57"/>
  <c r="U9" i="57"/>
  <c r="V9" i="57"/>
  <c r="W9" i="57"/>
  <c r="X9" i="57"/>
  <c r="Y9" i="57"/>
  <c r="Z9" i="57"/>
  <c r="AA9" i="57"/>
  <c r="AB9" i="57"/>
  <c r="AC9" i="57"/>
  <c r="AD9" i="57"/>
  <c r="AE9" i="57"/>
  <c r="AF9" i="57"/>
  <c r="AG9" i="57"/>
  <c r="AH9" i="57"/>
  <c r="AI9" i="57"/>
  <c r="AJ9" i="57"/>
  <c r="AK9" i="57"/>
  <c r="AL9" i="57"/>
  <c r="AM9" i="57"/>
  <c r="AN9" i="57"/>
  <c r="AO9" i="57"/>
  <c r="AP9" i="57"/>
  <c r="AQ9" i="57"/>
  <c r="AR9" i="57"/>
  <c r="AS9" i="57"/>
  <c r="AT9" i="57"/>
  <c r="AU9" i="57"/>
  <c r="AV9" i="57"/>
  <c r="AW9" i="57"/>
  <c r="AX9" i="57"/>
  <c r="AY9" i="57"/>
  <c r="AZ9" i="57"/>
  <c r="BA9" i="57"/>
  <c r="BB9" i="57"/>
  <c r="BC9" i="57"/>
  <c r="BD9" i="57"/>
  <c r="BE9" i="57"/>
  <c r="BF9" i="57"/>
  <c r="BG9" i="57"/>
  <c r="BH9" i="57"/>
  <c r="BI9" i="57"/>
  <c r="BJ9" i="57"/>
  <c r="BK9" i="57"/>
  <c r="BL9" i="57"/>
  <c r="BM9" i="57"/>
  <c r="BN9" i="57"/>
  <c r="BO9" i="57"/>
  <c r="BP9" i="57"/>
  <c r="BQ9" i="57"/>
  <c r="BR9" i="57"/>
  <c r="BS9" i="57"/>
  <c r="BT9" i="57"/>
  <c r="BU9" i="57"/>
  <c r="BV9" i="57"/>
  <c r="BW9" i="57"/>
  <c r="BX9" i="57"/>
  <c r="BY9" i="57"/>
  <c r="BZ9" i="57"/>
  <c r="CA9" i="57"/>
  <c r="CB9" i="57"/>
  <c r="CC9" i="57"/>
  <c r="CD9" i="57"/>
  <c r="CE9" i="57"/>
  <c r="CF9" i="57"/>
  <c r="CG9" i="57"/>
  <c r="CH9" i="57"/>
  <c r="CI9" i="57"/>
  <c r="CJ9" i="57"/>
  <c r="CK9" i="57"/>
  <c r="CL9" i="57"/>
  <c r="CM9" i="57"/>
  <c r="CN9" i="57"/>
  <c r="CO9" i="57"/>
  <c r="CP9" i="57"/>
  <c r="CQ9" i="57"/>
  <c r="CR9" i="57"/>
  <c r="CS9" i="57"/>
  <c r="CT9" i="57"/>
  <c r="CU9" i="57"/>
  <c r="CV9" i="57"/>
  <c r="CW9" i="57"/>
  <c r="CX9" i="57"/>
  <c r="CY9" i="57"/>
  <c r="CZ9" i="57"/>
  <c r="DA9" i="57"/>
  <c r="DB9" i="57"/>
  <c r="DC9" i="57"/>
  <c r="DD9" i="57"/>
  <c r="DE9" i="57"/>
  <c r="DF9" i="57"/>
  <c r="DG9" i="57"/>
  <c r="DH9" i="57"/>
  <c r="DI9" i="57"/>
  <c r="DJ9" i="57"/>
  <c r="DK9" i="57"/>
  <c r="DL9" i="57"/>
  <c r="DM9" i="57"/>
  <c r="DN9" i="57"/>
  <c r="DO9" i="57"/>
  <c r="DP9" i="57"/>
  <c r="DQ9" i="57"/>
  <c r="DR9" i="57"/>
  <c r="DS9" i="57"/>
  <c r="DT9" i="57"/>
  <c r="DU9" i="57"/>
  <c r="DV9" i="57"/>
  <c r="DW9" i="57"/>
  <c r="DX9" i="57"/>
  <c r="DY9" i="57"/>
  <c r="DZ9" i="57"/>
  <c r="EA9" i="57"/>
  <c r="EB9" i="57"/>
  <c r="EC9" i="57"/>
  <c r="ED9" i="57"/>
  <c r="EE9" i="57"/>
  <c r="EF9" i="57"/>
  <c r="EG9" i="57"/>
  <c r="EH9" i="57"/>
  <c r="EI9" i="57"/>
  <c r="EJ9" i="57"/>
  <c r="EK9" i="57"/>
  <c r="EL9" i="57"/>
  <c r="EM9" i="57"/>
  <c r="EN9" i="57"/>
  <c r="EO9" i="57"/>
  <c r="EP9" i="57"/>
  <c r="EQ9" i="57"/>
  <c r="O6" i="57"/>
  <c r="O9" i="57"/>
  <c r="D6" i="57"/>
  <c r="C6" i="57"/>
  <c r="E6" i="57"/>
  <c r="B6" i="57"/>
  <c r="D5" i="57"/>
  <c r="C5" i="57"/>
  <c r="E5" i="57"/>
  <c r="B5" i="57"/>
  <c r="D4" i="57"/>
  <c r="C4" i="57"/>
  <c r="E4" i="57"/>
  <c r="B4" i="57"/>
  <c r="H2" i="57"/>
  <c r="N73" i="57"/>
  <c r="Q6" i="57"/>
  <c r="P7" i="57"/>
  <c r="AD28" i="57"/>
  <c r="AF28" i="57"/>
  <c r="AH28" i="57"/>
  <c r="AJ28" i="57"/>
  <c r="AL28" i="57"/>
  <c r="AN28" i="57"/>
  <c r="AP28" i="57"/>
  <c r="AR28" i="57"/>
  <c r="AT28" i="57"/>
  <c r="AV28" i="57"/>
  <c r="AX28" i="57"/>
  <c r="AZ28" i="57"/>
  <c r="BB28" i="57"/>
  <c r="BD28" i="57"/>
  <c r="BF28" i="57"/>
  <c r="BH28" i="57"/>
  <c r="BJ28" i="57"/>
  <c r="BL28" i="57"/>
  <c r="BN28" i="57"/>
  <c r="BP28" i="57"/>
  <c r="BR28" i="57"/>
  <c r="BT28" i="57"/>
  <c r="BV28" i="57"/>
  <c r="BX28" i="57"/>
  <c r="BZ28" i="57"/>
  <c r="CB28" i="57"/>
  <c r="CD28" i="57"/>
  <c r="CF28" i="57"/>
  <c r="CH28" i="57"/>
  <c r="CJ28" i="57"/>
  <c r="CL28" i="57"/>
  <c r="CN28" i="57"/>
  <c r="CP28" i="57"/>
  <c r="CR28" i="57"/>
  <c r="CT28" i="57"/>
  <c r="CV28" i="57"/>
  <c r="CX28" i="57"/>
  <c r="CZ28" i="57"/>
  <c r="DB28" i="57"/>
  <c r="DD28" i="57"/>
  <c r="DF28" i="57"/>
  <c r="DH28" i="57"/>
  <c r="DJ28" i="57"/>
  <c r="DL28" i="57"/>
  <c r="DN28" i="57"/>
  <c r="DP28" i="57"/>
  <c r="DR28" i="57"/>
  <c r="DT28" i="57"/>
  <c r="DV28" i="57"/>
  <c r="DX28" i="57"/>
  <c r="DZ28" i="57"/>
  <c r="EB28" i="57"/>
  <c r="ED28" i="57"/>
  <c r="EF28" i="57"/>
  <c r="EH28" i="57"/>
  <c r="EJ28" i="57"/>
  <c r="EL28" i="57"/>
  <c r="EN28" i="57"/>
  <c r="EP28" i="57"/>
  <c r="Q100" i="57"/>
  <c r="Q98" i="57"/>
  <c r="Q86" i="57"/>
  <c r="S10" i="57"/>
  <c r="Q11" i="57"/>
  <c r="C23" i="57"/>
  <c r="AC26" i="57"/>
  <c r="AE26" i="57"/>
  <c r="AG26" i="57"/>
  <c r="AI26" i="57"/>
  <c r="AK26" i="57"/>
  <c r="AM26" i="57"/>
  <c r="AO26" i="57"/>
  <c r="AQ26" i="57"/>
  <c r="AS26" i="57"/>
  <c r="AU26" i="57"/>
  <c r="AW26" i="57"/>
  <c r="AY26" i="57"/>
  <c r="BA26" i="57"/>
  <c r="BC26" i="57"/>
  <c r="BE26" i="57"/>
  <c r="BG26" i="57"/>
  <c r="BI26" i="57"/>
  <c r="BI28" i="57"/>
  <c r="BK26" i="57"/>
  <c r="BK28" i="57"/>
  <c r="BM26" i="57"/>
  <c r="BM28" i="57"/>
  <c r="BO26" i="57"/>
  <c r="BO28" i="57"/>
  <c r="BQ26" i="57"/>
  <c r="BQ28" i="57"/>
  <c r="BS26" i="57"/>
  <c r="BS28" i="57"/>
  <c r="BU26" i="57"/>
  <c r="BU28" i="57"/>
  <c r="BW26" i="57"/>
  <c r="BW28" i="57"/>
  <c r="BY26" i="57"/>
  <c r="BY28" i="57"/>
  <c r="CA26" i="57"/>
  <c r="CA28" i="57"/>
  <c r="CC26" i="57"/>
  <c r="CC28" i="57"/>
  <c r="CE26" i="57"/>
  <c r="CE28" i="57"/>
  <c r="CG26" i="57"/>
  <c r="CG28" i="57"/>
  <c r="CI26" i="57"/>
  <c r="CI28" i="57"/>
  <c r="CK26" i="57"/>
  <c r="CK28" i="57"/>
  <c r="CM26" i="57"/>
  <c r="CM28" i="57"/>
  <c r="CO26" i="57"/>
  <c r="CO28" i="57"/>
  <c r="CQ26" i="57"/>
  <c r="CQ28" i="57"/>
  <c r="CS26" i="57"/>
  <c r="CS28" i="57"/>
  <c r="CU26" i="57"/>
  <c r="CU28" i="57"/>
  <c r="CW26" i="57"/>
  <c r="CW28" i="57"/>
  <c r="CY26" i="57"/>
  <c r="CY28" i="57"/>
  <c r="DA26" i="57"/>
  <c r="DA28" i="57"/>
  <c r="DC26" i="57"/>
  <c r="DC28" i="57"/>
  <c r="DE26" i="57"/>
  <c r="DE28" i="57"/>
  <c r="DG26" i="57"/>
  <c r="DG28" i="57"/>
  <c r="DI26" i="57"/>
  <c r="DI28" i="57"/>
  <c r="DK26" i="57"/>
  <c r="DK28" i="57"/>
  <c r="DM26" i="57"/>
  <c r="DM28" i="57"/>
  <c r="DO26" i="57"/>
  <c r="DO28" i="57"/>
  <c r="DQ26" i="57"/>
  <c r="DQ28" i="57"/>
  <c r="DS26" i="57"/>
  <c r="DS28" i="57"/>
  <c r="DU26" i="57"/>
  <c r="DU28" i="57"/>
  <c r="DW26" i="57"/>
  <c r="DW28" i="57"/>
  <c r="DY26" i="57"/>
  <c r="DY28" i="57"/>
  <c r="EA26" i="57"/>
  <c r="EA28" i="57"/>
  <c r="EC26" i="57"/>
  <c r="EC28" i="57"/>
  <c r="EE26" i="57"/>
  <c r="EE28" i="57"/>
  <c r="EG26" i="57"/>
  <c r="EG28" i="57"/>
  <c r="EI26" i="57"/>
  <c r="EI28" i="57"/>
  <c r="EK26" i="57"/>
  <c r="EK28" i="57"/>
  <c r="EM26" i="57"/>
  <c r="EM28" i="57"/>
  <c r="EO26" i="57"/>
  <c r="EO28" i="57"/>
  <c r="EQ26" i="57"/>
  <c r="EQ28" i="57"/>
  <c r="AC28" i="57"/>
  <c r="AE28" i="57"/>
  <c r="AG28" i="57"/>
  <c r="AI28" i="57"/>
  <c r="AK28" i="57"/>
  <c r="AM28" i="57"/>
  <c r="AO28" i="57"/>
  <c r="AQ28" i="57"/>
  <c r="AS28" i="57"/>
  <c r="AU28" i="57"/>
  <c r="AW28" i="57"/>
  <c r="AY28" i="57"/>
  <c r="BA28" i="57"/>
  <c r="BC28" i="57"/>
  <c r="BE28" i="57"/>
  <c r="BG28" i="57"/>
  <c r="R100" i="57"/>
  <c r="R101" i="57"/>
  <c r="R98" i="57"/>
  <c r="R86" i="57"/>
  <c r="R11" i="57"/>
  <c r="P14" i="57"/>
  <c r="Q20" i="57"/>
  <c r="P34" i="57"/>
  <c r="B29" i="53"/>
  <c r="J4" i="53"/>
  <c r="J6" i="55"/>
  <c r="K6" i="55"/>
  <c r="L6" i="55"/>
  <c r="M6" i="55"/>
  <c r="N6" i="55"/>
  <c r="O6" i="55"/>
  <c r="B65" i="53"/>
  <c r="J24" i="53"/>
  <c r="B17" i="53"/>
  <c r="B48" i="2"/>
  <c r="B3" i="40"/>
  <c r="J102" i="32"/>
  <c r="B71" i="2"/>
  <c r="R37" i="2"/>
  <c r="R26" i="2"/>
  <c r="J26" i="2"/>
  <c r="J5" i="2"/>
  <c r="B19" i="2"/>
  <c r="P103" i="32"/>
  <c r="D66" i="40"/>
  <c r="E65" i="40"/>
  <c r="D7" i="40"/>
  <c r="D6" i="40"/>
  <c r="O105" i="32"/>
  <c r="O106" i="32"/>
  <c r="O6" i="32"/>
  <c r="O9" i="32"/>
  <c r="P91" i="32"/>
  <c r="R6" i="2"/>
  <c r="O48" i="2"/>
  <c r="D14" i="32"/>
  <c r="D13" i="32"/>
  <c r="D12" i="32"/>
  <c r="D11" i="32"/>
  <c r="D10" i="32"/>
  <c r="D9" i="32"/>
  <c r="D8" i="32"/>
  <c r="D7" i="32"/>
  <c r="D6" i="32"/>
  <c r="D5" i="32"/>
  <c r="D4" i="32"/>
  <c r="C4" i="32"/>
  <c r="E4" i="32"/>
  <c r="C14" i="32"/>
  <c r="E14" i="32"/>
  <c r="C13" i="32"/>
  <c r="E13" i="32"/>
  <c r="C12" i="32"/>
  <c r="E12" i="32"/>
  <c r="C11" i="32"/>
  <c r="E11" i="32"/>
  <c r="C10" i="32"/>
  <c r="E10" i="32"/>
  <c r="C9" i="32"/>
  <c r="E9" i="32"/>
  <c r="C8" i="32"/>
  <c r="E8" i="32"/>
  <c r="C7" i="32"/>
  <c r="E7" i="32"/>
  <c r="C6" i="32"/>
  <c r="E6" i="32"/>
  <c r="C5" i="32"/>
  <c r="E5" i="32"/>
  <c r="B4" i="32"/>
  <c r="G35" i="2"/>
  <c r="C8" i="49"/>
  <c r="C6" i="49"/>
  <c r="C10" i="51"/>
  <c r="C8" i="51"/>
  <c r="C10" i="49"/>
  <c r="C6" i="51"/>
  <c r="C388" i="51"/>
  <c r="C387" i="51"/>
  <c r="C386" i="51"/>
  <c r="C385" i="51"/>
  <c r="C384" i="51"/>
  <c r="C383" i="51"/>
  <c r="C382" i="51"/>
  <c r="C381" i="51"/>
  <c r="C380" i="51"/>
  <c r="C379" i="51"/>
  <c r="C378" i="51"/>
  <c r="C377" i="51"/>
  <c r="C376" i="51"/>
  <c r="C375" i="51"/>
  <c r="C374" i="51"/>
  <c r="C373" i="51"/>
  <c r="C372" i="51"/>
  <c r="C371" i="51"/>
  <c r="C370" i="51"/>
  <c r="C369" i="51"/>
  <c r="C368" i="51"/>
  <c r="C367" i="51"/>
  <c r="C366" i="51"/>
  <c r="C365" i="51"/>
  <c r="C364" i="51"/>
  <c r="C363" i="51"/>
  <c r="C362" i="51"/>
  <c r="C361" i="51"/>
  <c r="C360" i="51"/>
  <c r="C359" i="51"/>
  <c r="C358" i="51"/>
  <c r="C357" i="51"/>
  <c r="C356" i="51"/>
  <c r="C355" i="51"/>
  <c r="C354" i="51"/>
  <c r="C353" i="51"/>
  <c r="C352" i="51"/>
  <c r="C351" i="51"/>
  <c r="C350" i="51"/>
  <c r="C349" i="51"/>
  <c r="C348" i="51"/>
  <c r="C347" i="51"/>
  <c r="C346" i="51"/>
  <c r="C345" i="51"/>
  <c r="C344" i="51"/>
  <c r="C343" i="51"/>
  <c r="C342" i="51"/>
  <c r="C341" i="51"/>
  <c r="C340" i="51"/>
  <c r="C339" i="51"/>
  <c r="C338" i="51"/>
  <c r="C337" i="51"/>
  <c r="C336" i="51"/>
  <c r="C335" i="51"/>
  <c r="C334" i="51"/>
  <c r="C333" i="51"/>
  <c r="C332" i="51"/>
  <c r="C331" i="51"/>
  <c r="C330" i="51"/>
  <c r="C329" i="51"/>
  <c r="C328" i="51"/>
  <c r="C327" i="51"/>
  <c r="C326" i="51"/>
  <c r="C325" i="51"/>
  <c r="C324" i="51"/>
  <c r="C323" i="51"/>
  <c r="C322" i="51"/>
  <c r="C321" i="51"/>
  <c r="C320" i="51"/>
  <c r="C319" i="51"/>
  <c r="C318" i="51"/>
  <c r="C317" i="51"/>
  <c r="C316" i="51"/>
  <c r="C315" i="51"/>
  <c r="C314" i="51"/>
  <c r="C313" i="51"/>
  <c r="C312" i="51"/>
  <c r="C311" i="51"/>
  <c r="C310" i="51"/>
  <c r="C309" i="51"/>
  <c r="C308" i="51"/>
  <c r="C307" i="51"/>
  <c r="C306" i="51"/>
  <c r="C305" i="51"/>
  <c r="C304" i="51"/>
  <c r="C303" i="51"/>
  <c r="C302" i="51"/>
  <c r="C301" i="51"/>
  <c r="C300" i="51"/>
  <c r="C299" i="51"/>
  <c r="C298" i="51"/>
  <c r="C297" i="51"/>
  <c r="C296" i="51"/>
  <c r="C295" i="51"/>
  <c r="C294" i="51"/>
  <c r="C293" i="51"/>
  <c r="C292" i="51"/>
  <c r="C291" i="51"/>
  <c r="C290" i="51"/>
  <c r="C289" i="51"/>
  <c r="C288" i="51"/>
  <c r="C287" i="51"/>
  <c r="C286" i="51"/>
  <c r="C285" i="51"/>
  <c r="C284" i="51"/>
  <c r="C283" i="51"/>
  <c r="C282" i="51"/>
  <c r="C281" i="51"/>
  <c r="C280" i="51"/>
  <c r="C279" i="51"/>
  <c r="C278" i="51"/>
  <c r="C277" i="51"/>
  <c r="C276" i="51"/>
  <c r="C275" i="51"/>
  <c r="C274" i="51"/>
  <c r="C273" i="51"/>
  <c r="C272" i="51"/>
  <c r="C271" i="51"/>
  <c r="C270" i="51"/>
  <c r="C269" i="51"/>
  <c r="C268" i="51"/>
  <c r="C267" i="51"/>
  <c r="C266" i="51"/>
  <c r="C265" i="51"/>
  <c r="C264" i="51"/>
  <c r="C263" i="51"/>
  <c r="C262" i="51"/>
  <c r="C261" i="51"/>
  <c r="C260" i="51"/>
  <c r="C259" i="51"/>
  <c r="C258" i="51"/>
  <c r="C257" i="51"/>
  <c r="C256" i="51"/>
  <c r="C255" i="51"/>
  <c r="C254" i="51"/>
  <c r="C253" i="51"/>
  <c r="C252" i="51"/>
  <c r="C251" i="51"/>
  <c r="C250" i="51"/>
  <c r="C249" i="51"/>
  <c r="C248" i="51"/>
  <c r="C247" i="51"/>
  <c r="C246" i="51"/>
  <c r="C245" i="51"/>
  <c r="C244" i="51"/>
  <c r="C243" i="51"/>
  <c r="C242" i="51"/>
  <c r="C241" i="51"/>
  <c r="C240" i="51"/>
  <c r="C239" i="51"/>
  <c r="C238" i="51"/>
  <c r="C237" i="51"/>
  <c r="C236" i="51"/>
  <c r="C235" i="51"/>
  <c r="C234" i="51"/>
  <c r="C233" i="51"/>
  <c r="C232" i="51"/>
  <c r="C231" i="51"/>
  <c r="C230" i="51"/>
  <c r="C229" i="51"/>
  <c r="C228" i="51"/>
  <c r="C227" i="51"/>
  <c r="C226" i="51"/>
  <c r="C225" i="51"/>
  <c r="C224" i="51"/>
  <c r="C223" i="51"/>
  <c r="C222" i="51"/>
  <c r="C221" i="51"/>
  <c r="C220" i="51"/>
  <c r="C219" i="51"/>
  <c r="C218" i="51"/>
  <c r="C217" i="51"/>
  <c r="C216" i="51"/>
  <c r="C215" i="51"/>
  <c r="C214" i="51"/>
  <c r="C213" i="51"/>
  <c r="C212" i="51"/>
  <c r="C211" i="51"/>
  <c r="C210" i="51"/>
  <c r="C209" i="51"/>
  <c r="C208" i="51"/>
  <c r="C207" i="51"/>
  <c r="C206" i="51"/>
  <c r="C205" i="51"/>
  <c r="C204" i="51"/>
  <c r="C203" i="51"/>
  <c r="C202" i="51"/>
  <c r="C201" i="51"/>
  <c r="C200" i="51"/>
  <c r="C199" i="51"/>
  <c r="C198" i="51"/>
  <c r="C197" i="51"/>
  <c r="C196" i="51"/>
  <c r="C195" i="51"/>
  <c r="C194" i="51"/>
  <c r="C193" i="51"/>
  <c r="C192" i="51"/>
  <c r="C191" i="51"/>
  <c r="C190" i="51"/>
  <c r="C189" i="51"/>
  <c r="C188" i="51"/>
  <c r="C187" i="51"/>
  <c r="C186" i="51"/>
  <c r="C185" i="51"/>
  <c r="C184" i="51"/>
  <c r="C183" i="51"/>
  <c r="C182" i="51"/>
  <c r="C181" i="51"/>
  <c r="C180" i="51"/>
  <c r="C179" i="51"/>
  <c r="C178" i="51"/>
  <c r="C177" i="51"/>
  <c r="C176" i="51"/>
  <c r="C175" i="51"/>
  <c r="C174" i="51"/>
  <c r="C173" i="51"/>
  <c r="C172" i="51"/>
  <c r="C171" i="51"/>
  <c r="C170" i="51"/>
  <c r="C169" i="51"/>
  <c r="C168" i="51"/>
  <c r="C167" i="51"/>
  <c r="C166" i="51"/>
  <c r="C165" i="51"/>
  <c r="C164" i="51"/>
  <c r="C163" i="51"/>
  <c r="C162" i="51"/>
  <c r="C161" i="51"/>
  <c r="C160" i="51"/>
  <c r="C159" i="51"/>
  <c r="C158" i="51"/>
  <c r="C157" i="51"/>
  <c r="C156" i="51"/>
  <c r="C155" i="51"/>
  <c r="C154" i="51"/>
  <c r="C153" i="51"/>
  <c r="C152" i="51"/>
  <c r="C151" i="51"/>
  <c r="C150" i="51"/>
  <c r="C149" i="51"/>
  <c r="C148" i="51"/>
  <c r="C147" i="51"/>
  <c r="C146" i="51"/>
  <c r="C145" i="51"/>
  <c r="C144" i="51"/>
  <c r="C143" i="51"/>
  <c r="C142" i="51"/>
  <c r="C141" i="51"/>
  <c r="C140" i="51"/>
  <c r="C139" i="51"/>
  <c r="C138" i="51"/>
  <c r="C137" i="51"/>
  <c r="C136" i="51"/>
  <c r="C135" i="51"/>
  <c r="C134" i="51"/>
  <c r="C133" i="51"/>
  <c r="C132" i="51"/>
  <c r="C131" i="51"/>
  <c r="C130" i="51"/>
  <c r="C129" i="51"/>
  <c r="C128" i="51"/>
  <c r="C127" i="51"/>
  <c r="C126" i="51"/>
  <c r="C125" i="51"/>
  <c r="C124" i="51"/>
  <c r="C123" i="51"/>
  <c r="C122" i="51"/>
  <c r="C121" i="51"/>
  <c r="C120" i="51"/>
  <c r="C119" i="51"/>
  <c r="C118" i="51"/>
  <c r="C117" i="51"/>
  <c r="C116" i="51"/>
  <c r="C115" i="51"/>
  <c r="C114" i="51"/>
  <c r="C113" i="51"/>
  <c r="C112" i="51"/>
  <c r="C111" i="51"/>
  <c r="C110" i="51"/>
  <c r="C109" i="51"/>
  <c r="C108" i="51"/>
  <c r="C107" i="51"/>
  <c r="C106" i="51"/>
  <c r="C105" i="51"/>
  <c r="C104" i="51"/>
  <c r="C103" i="51"/>
  <c r="C102" i="51"/>
  <c r="C101" i="51"/>
  <c r="C100" i="51"/>
  <c r="C99" i="51"/>
  <c r="C98" i="51"/>
  <c r="C97" i="51"/>
  <c r="C96" i="51"/>
  <c r="C95" i="51"/>
  <c r="C94" i="51"/>
  <c r="C93" i="51"/>
  <c r="C92" i="51"/>
  <c r="C91" i="51"/>
  <c r="C90" i="51"/>
  <c r="C89" i="51"/>
  <c r="C88" i="51"/>
  <c r="C87" i="51"/>
  <c r="C86" i="51"/>
  <c r="C85" i="51"/>
  <c r="C84" i="51"/>
  <c r="C83" i="51"/>
  <c r="C82" i="51"/>
  <c r="C81" i="51"/>
  <c r="C80" i="51"/>
  <c r="C79" i="51"/>
  <c r="C78" i="51"/>
  <c r="C77" i="51"/>
  <c r="C76" i="51"/>
  <c r="C75" i="51"/>
  <c r="C74" i="51"/>
  <c r="C73" i="51"/>
  <c r="C72" i="51"/>
  <c r="C71" i="51"/>
  <c r="C70" i="51"/>
  <c r="C69" i="51"/>
  <c r="C68" i="51"/>
  <c r="C67" i="51"/>
  <c r="C66" i="51"/>
  <c r="C65" i="51"/>
  <c r="C64" i="51"/>
  <c r="C63" i="51"/>
  <c r="C62" i="51"/>
  <c r="C61" i="51"/>
  <c r="C60" i="51"/>
  <c r="C59" i="51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388" i="49"/>
  <c r="C387" i="49"/>
  <c r="C386" i="49"/>
  <c r="C385" i="49"/>
  <c r="C384" i="49"/>
  <c r="C383" i="49"/>
  <c r="C382" i="49"/>
  <c r="C381" i="49"/>
  <c r="C380" i="49"/>
  <c r="C379" i="49"/>
  <c r="C378" i="49"/>
  <c r="C377" i="49"/>
  <c r="C376" i="49"/>
  <c r="C375" i="49"/>
  <c r="C374" i="49"/>
  <c r="C373" i="49"/>
  <c r="C372" i="49"/>
  <c r="C371" i="49"/>
  <c r="C370" i="49"/>
  <c r="C369" i="49"/>
  <c r="C368" i="49"/>
  <c r="C367" i="49"/>
  <c r="C366" i="49"/>
  <c r="C365" i="49"/>
  <c r="C364" i="49"/>
  <c r="C363" i="49"/>
  <c r="C362" i="49"/>
  <c r="C361" i="49"/>
  <c r="C360" i="49"/>
  <c r="C359" i="49"/>
  <c r="C358" i="49"/>
  <c r="C357" i="49"/>
  <c r="C356" i="49"/>
  <c r="C355" i="49"/>
  <c r="C354" i="49"/>
  <c r="C353" i="49"/>
  <c r="C352" i="49"/>
  <c r="C351" i="49"/>
  <c r="C350" i="49"/>
  <c r="C349" i="49"/>
  <c r="C348" i="49"/>
  <c r="C347" i="49"/>
  <c r="C346" i="49"/>
  <c r="C345" i="49"/>
  <c r="C344" i="49"/>
  <c r="C343" i="49"/>
  <c r="C342" i="49"/>
  <c r="C341" i="49"/>
  <c r="C340" i="49"/>
  <c r="C339" i="49"/>
  <c r="C338" i="49"/>
  <c r="C337" i="49"/>
  <c r="C336" i="49"/>
  <c r="C335" i="49"/>
  <c r="C334" i="49"/>
  <c r="C333" i="49"/>
  <c r="C332" i="49"/>
  <c r="C331" i="49"/>
  <c r="C330" i="49"/>
  <c r="C329" i="49"/>
  <c r="C328" i="49"/>
  <c r="C327" i="49"/>
  <c r="C326" i="49"/>
  <c r="C325" i="49"/>
  <c r="C324" i="49"/>
  <c r="C323" i="49"/>
  <c r="C322" i="49"/>
  <c r="C321" i="49"/>
  <c r="C320" i="49"/>
  <c r="C319" i="49"/>
  <c r="C318" i="49"/>
  <c r="C317" i="49"/>
  <c r="C316" i="49"/>
  <c r="C315" i="49"/>
  <c r="C314" i="49"/>
  <c r="C313" i="49"/>
  <c r="C312" i="49"/>
  <c r="C311" i="49"/>
  <c r="C310" i="49"/>
  <c r="C309" i="49"/>
  <c r="C308" i="49"/>
  <c r="C307" i="49"/>
  <c r="C306" i="49"/>
  <c r="C305" i="49"/>
  <c r="C304" i="49"/>
  <c r="C303" i="49"/>
  <c r="C302" i="49"/>
  <c r="C301" i="49"/>
  <c r="C300" i="49"/>
  <c r="C299" i="49"/>
  <c r="C298" i="49"/>
  <c r="C297" i="49"/>
  <c r="C296" i="49"/>
  <c r="C295" i="49"/>
  <c r="C294" i="49"/>
  <c r="C293" i="49"/>
  <c r="C292" i="49"/>
  <c r="C291" i="49"/>
  <c r="C290" i="49"/>
  <c r="C289" i="49"/>
  <c r="C288" i="49"/>
  <c r="C287" i="49"/>
  <c r="C286" i="49"/>
  <c r="C285" i="49"/>
  <c r="C284" i="49"/>
  <c r="C283" i="49"/>
  <c r="C282" i="49"/>
  <c r="C281" i="49"/>
  <c r="C280" i="49"/>
  <c r="C279" i="49"/>
  <c r="C278" i="49"/>
  <c r="C277" i="49"/>
  <c r="C276" i="49"/>
  <c r="C275" i="49"/>
  <c r="C274" i="49"/>
  <c r="C273" i="49"/>
  <c r="C272" i="49"/>
  <c r="C271" i="49"/>
  <c r="C270" i="49"/>
  <c r="C269" i="49"/>
  <c r="C268" i="49"/>
  <c r="C267" i="49"/>
  <c r="C266" i="49"/>
  <c r="C265" i="49"/>
  <c r="C264" i="49"/>
  <c r="C263" i="49"/>
  <c r="C262" i="49"/>
  <c r="C261" i="49"/>
  <c r="C260" i="49"/>
  <c r="C259" i="49"/>
  <c r="C258" i="49"/>
  <c r="C257" i="49"/>
  <c r="C256" i="49"/>
  <c r="C255" i="49"/>
  <c r="C254" i="49"/>
  <c r="C253" i="49"/>
  <c r="C252" i="49"/>
  <c r="C251" i="49"/>
  <c r="C250" i="49"/>
  <c r="C249" i="49"/>
  <c r="C248" i="49"/>
  <c r="C247" i="49"/>
  <c r="C246" i="49"/>
  <c r="C245" i="49"/>
  <c r="C244" i="49"/>
  <c r="C243" i="49"/>
  <c r="C242" i="49"/>
  <c r="C241" i="49"/>
  <c r="C240" i="49"/>
  <c r="C239" i="49"/>
  <c r="C238" i="49"/>
  <c r="C237" i="49"/>
  <c r="C236" i="49"/>
  <c r="C235" i="49"/>
  <c r="C234" i="49"/>
  <c r="C233" i="49"/>
  <c r="C232" i="49"/>
  <c r="C231" i="49"/>
  <c r="C230" i="49"/>
  <c r="C229" i="49"/>
  <c r="C228" i="49"/>
  <c r="C227" i="49"/>
  <c r="C226" i="49"/>
  <c r="C225" i="49"/>
  <c r="C224" i="49"/>
  <c r="C223" i="49"/>
  <c r="C222" i="49"/>
  <c r="C221" i="49"/>
  <c r="C220" i="49"/>
  <c r="C219" i="49"/>
  <c r="C218" i="49"/>
  <c r="C217" i="49"/>
  <c r="C216" i="49"/>
  <c r="C215" i="49"/>
  <c r="C214" i="49"/>
  <c r="C213" i="49"/>
  <c r="C212" i="49"/>
  <c r="C211" i="49"/>
  <c r="C210" i="49"/>
  <c r="C209" i="49"/>
  <c r="C208" i="49"/>
  <c r="C207" i="49"/>
  <c r="C206" i="49"/>
  <c r="C205" i="49"/>
  <c r="C204" i="49"/>
  <c r="C203" i="49"/>
  <c r="C202" i="49"/>
  <c r="C201" i="49"/>
  <c r="C200" i="49"/>
  <c r="C199" i="49"/>
  <c r="C198" i="49"/>
  <c r="C197" i="49"/>
  <c r="C196" i="49"/>
  <c r="C195" i="49"/>
  <c r="C194" i="49"/>
  <c r="C193" i="49"/>
  <c r="C192" i="49"/>
  <c r="C191" i="49"/>
  <c r="C190" i="49"/>
  <c r="C189" i="49"/>
  <c r="C188" i="49"/>
  <c r="C187" i="49"/>
  <c r="C186" i="49"/>
  <c r="C185" i="49"/>
  <c r="C184" i="49"/>
  <c r="C183" i="49"/>
  <c r="C182" i="49"/>
  <c r="C181" i="49"/>
  <c r="C180" i="49"/>
  <c r="C179" i="49"/>
  <c r="C178" i="49"/>
  <c r="C177" i="49"/>
  <c r="C176" i="49"/>
  <c r="C175" i="49"/>
  <c r="C174" i="49"/>
  <c r="C173" i="49"/>
  <c r="C172" i="49"/>
  <c r="C171" i="49"/>
  <c r="C170" i="49"/>
  <c r="C169" i="49"/>
  <c r="C168" i="49"/>
  <c r="C167" i="49"/>
  <c r="C166" i="49"/>
  <c r="C165" i="49"/>
  <c r="C164" i="49"/>
  <c r="C163" i="49"/>
  <c r="C162" i="49"/>
  <c r="C161" i="49"/>
  <c r="C160" i="49"/>
  <c r="C159" i="49"/>
  <c r="C158" i="49"/>
  <c r="C157" i="49"/>
  <c r="C156" i="49"/>
  <c r="C155" i="49"/>
  <c r="C154" i="49"/>
  <c r="C153" i="49"/>
  <c r="C152" i="49"/>
  <c r="C151" i="49"/>
  <c r="C150" i="49"/>
  <c r="C149" i="49"/>
  <c r="C148" i="49"/>
  <c r="C147" i="49"/>
  <c r="C146" i="49"/>
  <c r="C145" i="49"/>
  <c r="C144" i="49"/>
  <c r="C143" i="49"/>
  <c r="C142" i="49"/>
  <c r="C141" i="49"/>
  <c r="C140" i="49"/>
  <c r="C139" i="49"/>
  <c r="C138" i="49"/>
  <c r="C137" i="49"/>
  <c r="C136" i="49"/>
  <c r="C135" i="49"/>
  <c r="C134" i="49"/>
  <c r="C133" i="49"/>
  <c r="C132" i="49"/>
  <c r="C131" i="49"/>
  <c r="C130" i="49"/>
  <c r="C129" i="49"/>
  <c r="C128" i="49"/>
  <c r="C127" i="49"/>
  <c r="C126" i="49"/>
  <c r="C125" i="49"/>
  <c r="C124" i="49"/>
  <c r="C123" i="49"/>
  <c r="C122" i="49"/>
  <c r="C121" i="49"/>
  <c r="C120" i="49"/>
  <c r="C119" i="49"/>
  <c r="C118" i="49"/>
  <c r="C117" i="49"/>
  <c r="C116" i="49"/>
  <c r="C115" i="49"/>
  <c r="C114" i="49"/>
  <c r="C113" i="49"/>
  <c r="C112" i="49"/>
  <c r="C111" i="49"/>
  <c r="C110" i="49"/>
  <c r="C109" i="49"/>
  <c r="C108" i="49"/>
  <c r="C107" i="49"/>
  <c r="C106" i="49"/>
  <c r="C105" i="49"/>
  <c r="C104" i="49"/>
  <c r="C103" i="49"/>
  <c r="C102" i="49"/>
  <c r="C101" i="49"/>
  <c r="C100" i="49"/>
  <c r="C99" i="49"/>
  <c r="C98" i="49"/>
  <c r="C97" i="49"/>
  <c r="C96" i="49"/>
  <c r="C95" i="49"/>
  <c r="C94" i="49"/>
  <c r="C93" i="49"/>
  <c r="C92" i="49"/>
  <c r="C91" i="49"/>
  <c r="C90" i="49"/>
  <c r="C89" i="49"/>
  <c r="C88" i="49"/>
  <c r="C87" i="49"/>
  <c r="C86" i="49"/>
  <c r="C85" i="49"/>
  <c r="C84" i="49"/>
  <c r="C83" i="49"/>
  <c r="C82" i="49"/>
  <c r="C81" i="49"/>
  <c r="C80" i="49"/>
  <c r="C79" i="49"/>
  <c r="C78" i="49"/>
  <c r="C77" i="49"/>
  <c r="C76" i="49"/>
  <c r="C75" i="49"/>
  <c r="C74" i="49"/>
  <c r="C73" i="49"/>
  <c r="C72" i="49"/>
  <c r="C71" i="49"/>
  <c r="C70" i="49"/>
  <c r="C69" i="49"/>
  <c r="C68" i="49"/>
  <c r="C67" i="49"/>
  <c r="C66" i="49"/>
  <c r="C65" i="49"/>
  <c r="C64" i="49"/>
  <c r="C63" i="49"/>
  <c r="C62" i="49"/>
  <c r="C61" i="49"/>
  <c r="C60" i="49"/>
  <c r="C59" i="49"/>
  <c r="C58" i="49"/>
  <c r="C57" i="49"/>
  <c r="C56" i="49"/>
  <c r="C55" i="49"/>
  <c r="C54" i="49"/>
  <c r="C53" i="49"/>
  <c r="C52" i="49"/>
  <c r="C51" i="49"/>
  <c r="C50" i="49"/>
  <c r="C49" i="49"/>
  <c r="C48" i="49"/>
  <c r="C47" i="49"/>
  <c r="C46" i="49"/>
  <c r="C45" i="49"/>
  <c r="C44" i="49"/>
  <c r="C43" i="49"/>
  <c r="C42" i="49"/>
  <c r="C41" i="49"/>
  <c r="C40" i="49"/>
  <c r="C39" i="49"/>
  <c r="C38" i="49"/>
  <c r="C37" i="49"/>
  <c r="C36" i="49"/>
  <c r="C35" i="49"/>
  <c r="C34" i="49"/>
  <c r="C33" i="49"/>
  <c r="C32" i="49"/>
  <c r="C31" i="49"/>
  <c r="C30" i="49"/>
  <c r="C29" i="49"/>
  <c r="K39" i="38"/>
  <c r="N38" i="38"/>
  <c r="N39" i="38"/>
  <c r="G12" i="2"/>
  <c r="P67" i="57"/>
  <c r="P65" i="57"/>
  <c r="P64" i="57"/>
  <c r="P63" i="57"/>
  <c r="P62" i="57"/>
  <c r="P61" i="57"/>
  <c r="P60" i="57"/>
  <c r="P58" i="57"/>
  <c r="P33" i="2"/>
  <c r="P34" i="2"/>
  <c r="C53" i="40"/>
  <c r="C32" i="40"/>
  <c r="U3" i="38"/>
  <c r="EQ24" i="32"/>
  <c r="EP24" i="32"/>
  <c r="EO24" i="32"/>
  <c r="EN24" i="32"/>
  <c r="EM24" i="32"/>
  <c r="EL24" i="32"/>
  <c r="EK24" i="32"/>
  <c r="EJ24" i="32"/>
  <c r="EI24" i="32"/>
  <c r="EH24" i="32"/>
  <c r="EG24" i="32"/>
  <c r="EF24" i="32"/>
  <c r="EE24" i="32"/>
  <c r="ED24" i="32"/>
  <c r="EC24" i="32"/>
  <c r="EB24" i="32"/>
  <c r="EA24" i="32"/>
  <c r="DZ24" i="32"/>
  <c r="DY24" i="32"/>
  <c r="DX24" i="32"/>
  <c r="DW24" i="32"/>
  <c r="DV24" i="32"/>
  <c r="DU24" i="32"/>
  <c r="DT24" i="32"/>
  <c r="DS24" i="32"/>
  <c r="DR24" i="32"/>
  <c r="DQ24" i="32"/>
  <c r="DP24" i="32"/>
  <c r="DO24" i="32"/>
  <c r="DN24" i="32"/>
  <c r="DM24" i="32"/>
  <c r="DL24" i="32"/>
  <c r="DK24" i="32"/>
  <c r="DJ24" i="32"/>
  <c r="DI24" i="32"/>
  <c r="DH24" i="32"/>
  <c r="DG24" i="32"/>
  <c r="DF24" i="32"/>
  <c r="DE24" i="32"/>
  <c r="DD24" i="32"/>
  <c r="DC24" i="32"/>
  <c r="DB24" i="32"/>
  <c r="DA24" i="32"/>
  <c r="CZ24" i="32"/>
  <c r="CY24" i="32"/>
  <c r="CX24" i="32"/>
  <c r="CW24" i="32"/>
  <c r="CV24" i="32"/>
  <c r="CU24" i="32"/>
  <c r="CT24" i="32"/>
  <c r="CS24" i="32"/>
  <c r="CR24" i="32"/>
  <c r="CQ24" i="32"/>
  <c r="CP24" i="32"/>
  <c r="CO24" i="32"/>
  <c r="CN24" i="32"/>
  <c r="CM24" i="32"/>
  <c r="CL24" i="32"/>
  <c r="CK24" i="32"/>
  <c r="CJ24" i="32"/>
  <c r="CI24" i="32"/>
  <c r="CH24" i="32"/>
  <c r="CG24" i="32"/>
  <c r="CF24" i="32"/>
  <c r="CE24" i="32"/>
  <c r="CD24" i="32"/>
  <c r="CC24" i="32"/>
  <c r="CB24" i="32"/>
  <c r="CA24" i="32"/>
  <c r="BZ24" i="32"/>
  <c r="BY24" i="32"/>
  <c r="BX24" i="32"/>
  <c r="BW24" i="32"/>
  <c r="BV24" i="32"/>
  <c r="BU24" i="32"/>
  <c r="BT24" i="32"/>
  <c r="BS24" i="32"/>
  <c r="BR24" i="32"/>
  <c r="BQ24" i="32"/>
  <c r="BP24" i="32"/>
  <c r="BO24" i="32"/>
  <c r="BN24" i="32"/>
  <c r="BM24" i="32"/>
  <c r="BL24" i="32"/>
  <c r="BK24" i="32"/>
  <c r="BJ24" i="32"/>
  <c r="BI24" i="32"/>
  <c r="BH24" i="32"/>
  <c r="BG24" i="32"/>
  <c r="BF24" i="32"/>
  <c r="BE24" i="32"/>
  <c r="BD24" i="32"/>
  <c r="BC24" i="32"/>
  <c r="BB24" i="32"/>
  <c r="BA24" i="32"/>
  <c r="AZ24" i="32"/>
  <c r="AY24" i="32"/>
  <c r="AX24" i="32"/>
  <c r="AW24" i="32"/>
  <c r="AV24" i="32"/>
  <c r="AU24" i="32"/>
  <c r="AT24" i="32"/>
  <c r="AS24" i="32"/>
  <c r="AR24" i="32"/>
  <c r="AQ24" i="32"/>
  <c r="P32" i="2"/>
  <c r="P31" i="2"/>
  <c r="H15" i="2"/>
  <c r="O7" i="40"/>
  <c r="N7" i="40"/>
  <c r="M7" i="40"/>
  <c r="L7" i="40"/>
  <c r="K7" i="40"/>
  <c r="J7" i="40"/>
  <c r="I7" i="40"/>
  <c r="H7" i="40"/>
  <c r="G7" i="40"/>
  <c r="F7" i="40"/>
  <c r="E7" i="40"/>
  <c r="O6" i="40"/>
  <c r="N6" i="40"/>
  <c r="M6" i="40"/>
  <c r="L6" i="40"/>
  <c r="K6" i="40"/>
  <c r="J6" i="40"/>
  <c r="I6" i="40"/>
  <c r="H6" i="40"/>
  <c r="G6" i="40"/>
  <c r="F6" i="40"/>
  <c r="E6" i="40"/>
  <c r="E9" i="40"/>
  <c r="E10" i="40"/>
  <c r="F9" i="40"/>
  <c r="F10" i="40"/>
  <c r="P33" i="57"/>
  <c r="O79" i="2"/>
  <c r="N79" i="2"/>
  <c r="P79" i="2"/>
  <c r="E36" i="38"/>
  <c r="K40" i="38"/>
  <c r="P105" i="32"/>
  <c r="P106" i="32"/>
  <c r="H2" i="32"/>
  <c r="P18" i="2"/>
  <c r="P19" i="2"/>
  <c r="P20" i="2"/>
  <c r="P21" i="2"/>
  <c r="P22" i="2"/>
  <c r="P23" i="2"/>
  <c r="P48" i="2"/>
  <c r="P16" i="2"/>
  <c r="P15" i="2"/>
  <c r="P17" i="2"/>
  <c r="C27" i="40"/>
  <c r="P13" i="2"/>
  <c r="CP23" i="32"/>
  <c r="CQ26" i="32"/>
  <c r="EO23" i="32"/>
  <c r="DS23" i="32"/>
  <c r="DT26" i="32"/>
  <c r="DB23" i="32"/>
  <c r="DC26" i="32"/>
  <c r="EL23" i="32"/>
  <c r="EM26" i="32"/>
  <c r="CW23" i="32"/>
  <c r="CX26" i="32"/>
  <c r="DN23" i="32"/>
  <c r="DO26" i="32"/>
  <c r="CU23" i="32"/>
  <c r="DH23" i="32"/>
  <c r="EE23" i="32"/>
  <c r="EF26" i="32"/>
  <c r="EF23" i="32"/>
  <c r="EG26" i="32"/>
  <c r="CV23" i="32"/>
  <c r="CW26" i="32"/>
  <c r="CW28" i="32"/>
  <c r="DI23" i="32"/>
  <c r="DJ26" i="32"/>
  <c r="DZ23" i="32"/>
  <c r="EA26" i="32"/>
  <c r="CT23" i="32"/>
  <c r="CU26" i="32"/>
  <c r="CU28" i="32"/>
  <c r="ED23" i="32"/>
  <c r="EE26" i="32"/>
  <c r="EE28" i="32"/>
  <c r="EI23" i="32"/>
  <c r="EJ26" i="32"/>
  <c r="CS23" i="32"/>
  <c r="CT26" i="32"/>
  <c r="DG23" i="32"/>
  <c r="DH26" i="32"/>
  <c r="DH28" i="32"/>
  <c r="EA23" i="32"/>
  <c r="EB26" i="32"/>
  <c r="CQ23" i="32"/>
  <c r="CR26" i="32"/>
  <c r="CR23" i="32"/>
  <c r="CR28" i="32"/>
  <c r="DR23" i="32"/>
  <c r="DS26" i="32"/>
  <c r="EH23" i="32"/>
  <c r="DY23" i="32"/>
  <c r="CM23" i="32"/>
  <c r="CN26" i="32"/>
  <c r="CS26" i="32"/>
  <c r="CS28" i="32"/>
  <c r="DU23" i="32"/>
  <c r="DV26" i="32"/>
  <c r="DQ23" i="32"/>
  <c r="DR26" i="32"/>
  <c r="DR28" i="32"/>
  <c r="DO23" i="32"/>
  <c r="DP26" i="32"/>
  <c r="CY23" i="32"/>
  <c r="CZ26" i="32"/>
  <c r="CN23" i="32"/>
  <c r="CO26" i="32"/>
  <c r="DF23" i="32"/>
  <c r="DG26" i="32"/>
  <c r="EQ23" i="32"/>
  <c r="EQ25" i="32"/>
  <c r="DT23" i="32"/>
  <c r="DU26" i="32"/>
  <c r="DU28" i="32"/>
  <c r="EK23" i="32"/>
  <c r="EL26" i="32"/>
  <c r="EL28" i="32"/>
  <c r="EN23" i="32"/>
  <c r="EJ23" i="32"/>
  <c r="EK26" i="32"/>
  <c r="EK28" i="32"/>
  <c r="DM23" i="32"/>
  <c r="DN26" i="32"/>
  <c r="CL23" i="32"/>
  <c r="CM26" i="32"/>
  <c r="CM28" i="32"/>
  <c r="DC23" i="32"/>
  <c r="DD26" i="32"/>
  <c r="DE23" i="32"/>
  <c r="DF26" i="32"/>
  <c r="DF28" i="32"/>
  <c r="DJ23" i="32"/>
  <c r="DK26" i="32"/>
  <c r="DL23" i="32"/>
  <c r="DM26" i="32"/>
  <c r="DM28" i="32"/>
  <c r="DX23" i="32"/>
  <c r="DY26" i="32"/>
  <c r="DY28" i="32"/>
  <c r="DV23" i="32"/>
  <c r="DW26" i="32"/>
  <c r="CX23" i="32"/>
  <c r="CY26" i="32"/>
  <c r="CY28" i="32"/>
  <c r="DD23" i="32"/>
  <c r="DE26" i="32"/>
  <c r="DE28" i="32"/>
  <c r="EG23" i="32"/>
  <c r="DK23" i="32"/>
  <c r="DL26" i="32"/>
  <c r="DL28" i="32"/>
  <c r="EB23" i="32"/>
  <c r="EB25" i="32"/>
  <c r="EM23" i="32"/>
  <c r="EN26" i="32"/>
  <c r="EN28" i="32"/>
  <c r="DW23" i="32"/>
  <c r="DX26" i="32"/>
  <c r="DA23" i="32"/>
  <c r="EP23" i="32"/>
  <c r="EQ26" i="32"/>
  <c r="DP23" i="32"/>
  <c r="DQ26" i="32"/>
  <c r="DQ28" i="32"/>
  <c r="EC23" i="32"/>
  <c r="ED26" i="32"/>
  <c r="ED28" i="32"/>
  <c r="CO23" i="32"/>
  <c r="CP26" i="32"/>
  <c r="CZ23" i="32"/>
  <c r="DA26" i="32"/>
  <c r="AC23" i="32"/>
  <c r="AD23" i="32"/>
  <c r="AD28" i="32"/>
  <c r="AE23" i="32"/>
  <c r="AF23" i="32"/>
  <c r="AF28" i="32"/>
  <c r="AG23" i="32"/>
  <c r="AH23" i="32"/>
  <c r="AH28" i="32"/>
  <c r="AI23" i="32"/>
  <c r="AJ23" i="32"/>
  <c r="AJ28" i="32"/>
  <c r="AK23" i="32"/>
  <c r="AL23" i="32"/>
  <c r="AL28" i="32"/>
  <c r="AM23" i="32"/>
  <c r="AN23" i="32"/>
  <c r="AO23" i="32"/>
  <c r="AP23" i="32"/>
  <c r="AP28" i="32"/>
  <c r="AQ23" i="32"/>
  <c r="AR23" i="32"/>
  <c r="AR28" i="32"/>
  <c r="AS23" i="32"/>
  <c r="AT23" i="32"/>
  <c r="AU23" i="32"/>
  <c r="AV23" i="32"/>
  <c r="AW23" i="32"/>
  <c r="AX23" i="32"/>
  <c r="AY23" i="32"/>
  <c r="AZ23" i="32"/>
  <c r="BA23" i="32"/>
  <c r="BB26" i="32"/>
  <c r="BB23" i="32"/>
  <c r="BC26" i="32"/>
  <c r="BC23" i="32"/>
  <c r="BD26" i="32"/>
  <c r="BD23" i="32"/>
  <c r="BE23" i="32"/>
  <c r="BF26" i="32"/>
  <c r="BF23" i="32"/>
  <c r="BG26" i="32"/>
  <c r="BG23" i="32"/>
  <c r="BG28" i="32"/>
  <c r="BH23" i="32"/>
  <c r="BI23" i="32"/>
  <c r="BJ26" i="32"/>
  <c r="BJ23" i="32"/>
  <c r="BJ28" i="32"/>
  <c r="BK23" i="32"/>
  <c r="BL26" i="32"/>
  <c r="BL23" i="32"/>
  <c r="BL28" i="32"/>
  <c r="BM26" i="32"/>
  <c r="BM23" i="32"/>
  <c r="BN26" i="32"/>
  <c r="BN23" i="32"/>
  <c r="BN28" i="32"/>
  <c r="BO26" i="32"/>
  <c r="BO23" i="32"/>
  <c r="BP23" i="32"/>
  <c r="BQ26" i="32"/>
  <c r="BQ23" i="32"/>
  <c r="BR26" i="32"/>
  <c r="BR23" i="32"/>
  <c r="BR28" i="32"/>
  <c r="BS26" i="32"/>
  <c r="BS23" i="32"/>
  <c r="BT26" i="32"/>
  <c r="BT23" i="32"/>
  <c r="BT28" i="32"/>
  <c r="BU26" i="32"/>
  <c r="BU23" i="32"/>
  <c r="BV26" i="32"/>
  <c r="BV23" i="32"/>
  <c r="BV28" i="32"/>
  <c r="BW23" i="32"/>
  <c r="BX26" i="32"/>
  <c r="BX23" i="32"/>
  <c r="BY26" i="32"/>
  <c r="BY23" i="32"/>
  <c r="BZ26" i="32"/>
  <c r="BZ23" i="32"/>
  <c r="CA26" i="32"/>
  <c r="CA23" i="32"/>
  <c r="CB26" i="32"/>
  <c r="CB23" i="32"/>
  <c r="CC26" i="32"/>
  <c r="CC23" i="32"/>
  <c r="CD26" i="32"/>
  <c r="CD23" i="32"/>
  <c r="CE26" i="32"/>
  <c r="CE23" i="32"/>
  <c r="CF26" i="32"/>
  <c r="CF23" i="32"/>
  <c r="CG23" i="32"/>
  <c r="CH26" i="32"/>
  <c r="CH23" i="32"/>
  <c r="CH28" i="32"/>
  <c r="CI26" i="32"/>
  <c r="CI23" i="32"/>
  <c r="CJ26" i="32"/>
  <c r="CJ23" i="32"/>
  <c r="CJ28" i="32"/>
  <c r="CK26" i="32"/>
  <c r="CK23" i="32"/>
  <c r="I36" i="32"/>
  <c r="P14" i="2"/>
  <c r="V3" i="38"/>
  <c r="D13" i="40"/>
  <c r="D85" i="40"/>
  <c r="DB26" i="32"/>
  <c r="DB28" i="32"/>
  <c r="K102" i="32"/>
  <c r="K101" i="32"/>
  <c r="CV25" i="32"/>
  <c r="DD25" i="32"/>
  <c r="DN25" i="32"/>
  <c r="EO26" i="32"/>
  <c r="EO28" i="32"/>
  <c r="CA25" i="32"/>
  <c r="BW26" i="32"/>
  <c r="BK26" i="32"/>
  <c r="BW25" i="32"/>
  <c r="CY25" i="32"/>
  <c r="EC26" i="32"/>
  <c r="EH26" i="32"/>
  <c r="EG25" i="32"/>
  <c r="DT25" i="32"/>
  <c r="R91" i="32"/>
  <c r="AS25" i="32"/>
  <c r="BE26" i="32"/>
  <c r="BE28" i="32"/>
  <c r="R105" i="32"/>
  <c r="R106" i="32"/>
  <c r="R14" i="32"/>
  <c r="P52" i="57"/>
  <c r="B31" i="2"/>
  <c r="C1" i="40"/>
  <c r="F14" i="40"/>
  <c r="F66" i="40"/>
  <c r="B46" i="2"/>
  <c r="E73" i="2"/>
  <c r="F73" i="2"/>
  <c r="G73" i="2"/>
  <c r="H73" i="2"/>
  <c r="I73" i="2"/>
  <c r="J73" i="2"/>
  <c r="K73" i="2"/>
  <c r="L73" i="2"/>
  <c r="M73" i="2"/>
  <c r="N73" i="2"/>
  <c r="O73" i="2"/>
  <c r="B34" i="2"/>
  <c r="D10" i="40"/>
  <c r="D9" i="40"/>
  <c r="F61" i="2"/>
  <c r="F66" i="2"/>
  <c r="G9" i="40"/>
  <c r="G10" i="40"/>
  <c r="H9" i="40"/>
  <c r="H10" i="40"/>
  <c r="I9" i="40"/>
  <c r="I10" i="40"/>
  <c r="J9" i="40"/>
  <c r="I12" i="53"/>
  <c r="A26" i="2"/>
  <c r="A22" i="2"/>
  <c r="CE28" i="32"/>
  <c r="CC28" i="32"/>
  <c r="CA28" i="32"/>
  <c r="BY28" i="32"/>
  <c r="BD28" i="32"/>
  <c r="BB28" i="32"/>
  <c r="AZ28" i="32"/>
  <c r="AX28" i="32"/>
  <c r="AV28" i="32"/>
  <c r="AT28" i="32"/>
  <c r="CC25" i="32"/>
  <c r="CE25" i="32"/>
  <c r="CG25" i="32"/>
  <c r="DC25" i="32"/>
  <c r="DE25" i="32"/>
  <c r="DQ25" i="32"/>
  <c r="DS25" i="32"/>
  <c r="EC25" i="32"/>
  <c r="DV28" i="32"/>
  <c r="EG28" i="32"/>
  <c r="DT28" i="32"/>
  <c r="AT25" i="32"/>
  <c r="AV25" i="32"/>
  <c r="AZ25" i="32"/>
  <c r="BB25" i="32"/>
  <c r="BD25" i="32"/>
  <c r="BJ25" i="32"/>
  <c r="CH25" i="32"/>
  <c r="CZ25" i="32"/>
  <c r="EN25" i="32"/>
  <c r="AN28" i="32"/>
  <c r="G14" i="40"/>
  <c r="G66" i="40"/>
  <c r="R6" i="57"/>
  <c r="N52" i="57"/>
  <c r="P68" i="57"/>
  <c r="P70" i="57"/>
  <c r="P54" i="57"/>
  <c r="P69" i="57"/>
  <c r="P71" i="57"/>
  <c r="C26" i="57"/>
  <c r="C28" i="57"/>
  <c r="R79" i="57"/>
  <c r="R14" i="57"/>
  <c r="R34" i="57"/>
  <c r="R33" i="57"/>
  <c r="S100" i="57"/>
  <c r="S101" i="57"/>
  <c r="S98" i="57"/>
  <c r="S86" i="57"/>
  <c r="S20" i="57"/>
  <c r="S11" i="57"/>
  <c r="T10" i="57"/>
  <c r="Q79" i="57"/>
  <c r="Q34" i="57"/>
  <c r="Q33" i="57"/>
  <c r="Q14" i="57"/>
  <c r="Q101" i="57"/>
  <c r="Q7" i="57"/>
  <c r="S6" i="57"/>
  <c r="CG26" i="32"/>
  <c r="CG28" i="32"/>
  <c r="CF25" i="32"/>
  <c r="N35" i="57"/>
  <c r="S29" i="2"/>
  <c r="Q103" i="32"/>
  <c r="Q91" i="32"/>
  <c r="BX25" i="32"/>
  <c r="BZ25" i="32"/>
  <c r="CB25" i="32"/>
  <c r="DA25" i="32"/>
  <c r="C23" i="32"/>
  <c r="BA25" i="32"/>
  <c r="Q105" i="32"/>
  <c r="Q106" i="32"/>
  <c r="CF28" i="32"/>
  <c r="CD28" i="32"/>
  <c r="CB28" i="32"/>
  <c r="BZ28" i="32"/>
  <c r="BX28" i="32"/>
  <c r="BH25" i="32"/>
  <c r="BC28" i="32"/>
  <c r="BA28" i="32"/>
  <c r="AY28" i="32"/>
  <c r="AW28" i="32"/>
  <c r="AU28" i="32"/>
  <c r="AS28" i="32"/>
  <c r="AQ28" i="32"/>
  <c r="AO28" i="32"/>
  <c r="AM28" i="32"/>
  <c r="AK28" i="32"/>
  <c r="AI28" i="32"/>
  <c r="AG28" i="32"/>
  <c r="AE28" i="32"/>
  <c r="AC28" i="32"/>
  <c r="DA28" i="32"/>
  <c r="CO28" i="32"/>
  <c r="DP28" i="32"/>
  <c r="DJ28" i="32"/>
  <c r="EM28" i="32"/>
  <c r="EC28" i="32"/>
  <c r="BW28" i="32"/>
  <c r="DW28" i="32"/>
  <c r="DD28" i="32"/>
  <c r="CZ28" i="32"/>
  <c r="AQ25" i="32"/>
  <c r="AU25" i="32"/>
  <c r="AW25" i="32"/>
  <c r="AY25" i="32"/>
  <c r="BI25" i="32"/>
  <c r="DJ25" i="32"/>
  <c r="DP25" i="32"/>
  <c r="EK25" i="32"/>
  <c r="EM25" i="32"/>
  <c r="A25" i="2"/>
  <c r="H22" i="2"/>
  <c r="P35" i="2"/>
  <c r="I14" i="40"/>
  <c r="I66" i="40"/>
  <c r="C14" i="40"/>
  <c r="A27" i="2"/>
  <c r="CL26" i="32"/>
  <c r="CL28" i="32"/>
  <c r="CK25" i="32"/>
  <c r="BP26" i="32"/>
  <c r="BP28" i="32"/>
  <c r="BO25" i="32"/>
  <c r="EI26" i="32"/>
  <c r="EI28" i="32"/>
  <c r="EH25" i="32"/>
  <c r="DI26" i="32"/>
  <c r="DI28" i="32"/>
  <c r="DH25" i="32"/>
  <c r="B5" i="32"/>
  <c r="P33" i="32"/>
  <c r="P14" i="32"/>
  <c r="F65" i="40"/>
  <c r="E12" i="2"/>
  <c r="N40" i="38"/>
  <c r="CN28" i="32"/>
  <c r="EJ28" i="32"/>
  <c r="DO28" i="32"/>
  <c r="CQ28" i="32"/>
  <c r="BP25" i="32"/>
  <c r="BT25" i="32"/>
  <c r="BV25" i="32"/>
  <c r="CJ25" i="32"/>
  <c r="CL25" i="32"/>
  <c r="CM25" i="32"/>
  <c r="CN25" i="32"/>
  <c r="CP25" i="32"/>
  <c r="CR25" i="32"/>
  <c r="CT25" i="32"/>
  <c r="CX25" i="32"/>
  <c r="DB25" i="32"/>
  <c r="DG25" i="32"/>
  <c r="DI25" i="32"/>
  <c r="DK25" i="32"/>
  <c r="DL25" i="32"/>
  <c r="DM25" i="32"/>
  <c r="DR25" i="32"/>
  <c r="DV25" i="32"/>
  <c r="DX25" i="32"/>
  <c r="DZ25" i="32"/>
  <c r="EA25" i="32"/>
  <c r="ED25" i="32"/>
  <c r="EE25" i="32"/>
  <c r="EI25" i="32"/>
  <c r="R33" i="32"/>
  <c r="R34" i="32"/>
  <c r="R103" i="32"/>
  <c r="BH26" i="32"/>
  <c r="BH28" i="32"/>
  <c r="BG25" i="32"/>
  <c r="DZ26" i="32"/>
  <c r="DZ28" i="32"/>
  <c r="DY25" i="32"/>
  <c r="CV26" i="32"/>
  <c r="CV28" i="32"/>
  <c r="CU25" i="32"/>
  <c r="EP26" i="32"/>
  <c r="EP28" i="32"/>
  <c r="EO25" i="32"/>
  <c r="Q33" i="32"/>
  <c r="DK28" i="32"/>
  <c r="BI26" i="32"/>
  <c r="BI28" i="32"/>
  <c r="CQ25" i="32"/>
  <c r="CK28" i="32"/>
  <c r="CI28" i="32"/>
  <c r="BU28" i="32"/>
  <c r="BS28" i="32"/>
  <c r="BQ28" i="32"/>
  <c r="BO28" i="32"/>
  <c r="BM28" i="32"/>
  <c r="BF28" i="32"/>
  <c r="CP28" i="32"/>
  <c r="EQ28" i="32"/>
  <c r="DX28" i="32"/>
  <c r="DN28" i="32"/>
  <c r="DG28" i="32"/>
  <c r="DS28" i="32"/>
  <c r="EB28" i="32"/>
  <c r="CT28" i="32"/>
  <c r="EA28" i="32"/>
  <c r="EF28" i="32"/>
  <c r="CX28" i="32"/>
  <c r="DC28" i="32"/>
  <c r="P34" i="32"/>
  <c r="BF25" i="32"/>
  <c r="BK25" i="32"/>
  <c r="BM25" i="32"/>
  <c r="BQ25" i="32"/>
  <c r="BS25" i="32"/>
  <c r="EP25" i="32"/>
  <c r="EH28" i="32"/>
  <c r="BK28" i="32"/>
  <c r="AR25" i="32"/>
  <c r="AX25" i="32"/>
  <c r="BC25" i="32"/>
  <c r="BE25" i="32"/>
  <c r="BL25" i="32"/>
  <c r="BN25" i="32"/>
  <c r="BR25" i="32"/>
  <c r="BU25" i="32"/>
  <c r="BY25" i="32"/>
  <c r="CD25" i="32"/>
  <c r="CI25" i="32"/>
  <c r="CO25" i="32"/>
  <c r="CS25" i="32"/>
  <c r="CW25" i="32"/>
  <c r="DF25" i="32"/>
  <c r="DO25" i="32"/>
  <c r="DU25" i="32"/>
  <c r="DW25" i="32"/>
  <c r="EF25" i="32"/>
  <c r="EJ25" i="32"/>
  <c r="EL25" i="32"/>
  <c r="J10" i="40"/>
  <c r="K9" i="40"/>
  <c r="A23" i="2"/>
  <c r="A24" i="2"/>
  <c r="H14" i="40"/>
  <c r="E14" i="40"/>
  <c r="P59" i="57"/>
  <c r="G44" i="2"/>
  <c r="P73" i="57"/>
  <c r="N44" i="57"/>
  <c r="N50" i="57"/>
  <c r="N55" i="57"/>
  <c r="N75" i="57"/>
  <c r="N82" i="57"/>
  <c r="P38" i="57"/>
  <c r="P39" i="57"/>
  <c r="P13" i="57"/>
  <c r="N12" i="57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2" i="32"/>
  <c r="AH22" i="32"/>
  <c r="AI22" i="32"/>
  <c r="AJ22" i="32"/>
  <c r="AK22" i="32"/>
  <c r="AL22" i="32"/>
  <c r="AM22" i="32"/>
  <c r="AN22" i="32"/>
  <c r="AO22" i="32"/>
  <c r="AP22" i="32"/>
  <c r="AQ22" i="32"/>
  <c r="AR22" i="32"/>
  <c r="AS22" i="32"/>
  <c r="AT22" i="32"/>
  <c r="AU22" i="32"/>
  <c r="AV22" i="32"/>
  <c r="AW22" i="32"/>
  <c r="AX22" i="32"/>
  <c r="AY22" i="32"/>
  <c r="AZ22" i="32"/>
  <c r="BA22" i="32"/>
  <c r="BB22" i="32"/>
  <c r="BC22" i="32"/>
  <c r="BD22" i="32"/>
  <c r="BE22" i="32"/>
  <c r="BF22" i="32"/>
  <c r="BG22" i="32"/>
  <c r="BH22" i="32"/>
  <c r="BI22" i="32"/>
  <c r="BJ22" i="32"/>
  <c r="BK22" i="32"/>
  <c r="BL22" i="32"/>
  <c r="BM22" i="32"/>
  <c r="BN22" i="32"/>
  <c r="BO22" i="32"/>
  <c r="BP22" i="32"/>
  <c r="BQ22" i="32"/>
  <c r="BR22" i="32"/>
  <c r="BS22" i="32"/>
  <c r="BT22" i="32"/>
  <c r="BU22" i="32"/>
  <c r="BV22" i="32"/>
  <c r="BW22" i="32"/>
  <c r="BX22" i="32"/>
  <c r="BY22" i="32"/>
  <c r="BZ22" i="32"/>
  <c r="CA22" i="32"/>
  <c r="CB22" i="32"/>
  <c r="CC22" i="32"/>
  <c r="CD22" i="32"/>
  <c r="CE22" i="32"/>
  <c r="CF22" i="32"/>
  <c r="CG22" i="32"/>
  <c r="CH22" i="32"/>
  <c r="CI22" i="32"/>
  <c r="CJ22" i="32"/>
  <c r="CK22" i="32"/>
  <c r="CL22" i="32"/>
  <c r="CM22" i="32"/>
  <c r="CN22" i="32"/>
  <c r="CO22" i="32"/>
  <c r="CP22" i="32"/>
  <c r="CQ22" i="32"/>
  <c r="CR22" i="32"/>
  <c r="CS22" i="32"/>
  <c r="CT22" i="32"/>
  <c r="CU22" i="32"/>
  <c r="CV22" i="32"/>
  <c r="CW22" i="32"/>
  <c r="CX22" i="32"/>
  <c r="CY22" i="32"/>
  <c r="CZ22" i="32"/>
  <c r="DA22" i="32"/>
  <c r="DB22" i="32"/>
  <c r="DC22" i="32"/>
  <c r="DD22" i="32"/>
  <c r="DE22" i="32"/>
  <c r="DF22" i="32"/>
  <c r="DG22" i="32"/>
  <c r="DH22" i="32"/>
  <c r="DI22" i="32"/>
  <c r="DJ22" i="32"/>
  <c r="DK22" i="32"/>
  <c r="DL22" i="32"/>
  <c r="DM22" i="32"/>
  <c r="DN22" i="32"/>
  <c r="DO22" i="32"/>
  <c r="DP22" i="32"/>
  <c r="DQ22" i="32"/>
  <c r="DR22" i="32"/>
  <c r="DS22" i="32"/>
  <c r="DT22" i="32"/>
  <c r="DU22" i="32"/>
  <c r="DV22" i="32"/>
  <c r="DW22" i="32"/>
  <c r="DX22" i="32"/>
  <c r="DY22" i="32"/>
  <c r="DZ22" i="32"/>
  <c r="EA22" i="32"/>
  <c r="EB22" i="32"/>
  <c r="EC22" i="32"/>
  <c r="ED22" i="32"/>
  <c r="EE22" i="32"/>
  <c r="EF22" i="32"/>
  <c r="EG22" i="32"/>
  <c r="EH22" i="32"/>
  <c r="EI22" i="32"/>
  <c r="EJ22" i="32"/>
  <c r="EK22" i="32"/>
  <c r="EL22" i="32"/>
  <c r="EM22" i="32"/>
  <c r="EN22" i="32"/>
  <c r="EO22" i="32"/>
  <c r="EP22" i="32"/>
  <c r="EQ22" i="32"/>
  <c r="AC27" i="32"/>
  <c r="AD27" i="32"/>
  <c r="AE27" i="32"/>
  <c r="AF27" i="32"/>
  <c r="AG27" i="32"/>
  <c r="AH27" i="32"/>
  <c r="AI27" i="32"/>
  <c r="AJ27" i="32"/>
  <c r="AK27" i="32"/>
  <c r="AL27" i="32"/>
  <c r="AM27" i="32"/>
  <c r="AN27" i="32"/>
  <c r="AO27" i="32"/>
  <c r="AP27" i="32"/>
  <c r="AQ27" i="32"/>
  <c r="AR27" i="32"/>
  <c r="AS27" i="32"/>
  <c r="AT27" i="32"/>
  <c r="AU27" i="32"/>
  <c r="AV27" i="32"/>
  <c r="AW27" i="32"/>
  <c r="AX27" i="32"/>
  <c r="AY27" i="32"/>
  <c r="AZ27" i="32"/>
  <c r="BA27" i="32"/>
  <c r="BB27" i="32"/>
  <c r="BC27" i="32"/>
  <c r="BD27" i="32"/>
  <c r="BE27" i="32"/>
  <c r="BF27" i="32"/>
  <c r="BG27" i="32"/>
  <c r="BH27" i="32"/>
  <c r="BI27" i="32"/>
  <c r="BJ27" i="32"/>
  <c r="BK27" i="32"/>
  <c r="BL27" i="32"/>
  <c r="BM27" i="32"/>
  <c r="BN27" i="32"/>
  <c r="BO27" i="32"/>
  <c r="BP27" i="32"/>
  <c r="BQ27" i="32"/>
  <c r="BR27" i="32"/>
  <c r="BS27" i="32"/>
  <c r="BT27" i="32"/>
  <c r="BU27" i="32"/>
  <c r="BV27" i="32"/>
  <c r="BW27" i="32"/>
  <c r="BX27" i="32"/>
  <c r="BY27" i="32"/>
  <c r="BZ27" i="32"/>
  <c r="CA27" i="32"/>
  <c r="CB27" i="32"/>
  <c r="CC27" i="32"/>
  <c r="CD27" i="32"/>
  <c r="CE27" i="32"/>
  <c r="CF27" i="32"/>
  <c r="CG27" i="32"/>
  <c r="CH27" i="32"/>
  <c r="CI27" i="32"/>
  <c r="CJ27" i="32"/>
  <c r="CK27" i="32"/>
  <c r="CL27" i="32"/>
  <c r="CM27" i="32"/>
  <c r="CN27" i="32"/>
  <c r="CO27" i="32"/>
  <c r="CP27" i="32"/>
  <c r="CQ27" i="32"/>
  <c r="CR27" i="32"/>
  <c r="CS27" i="32"/>
  <c r="CT27" i="32"/>
  <c r="CU27" i="32"/>
  <c r="CV27" i="32"/>
  <c r="CW27" i="32"/>
  <c r="CX27" i="32"/>
  <c r="CY27" i="32"/>
  <c r="CZ27" i="32"/>
  <c r="DA27" i="32"/>
  <c r="DB27" i="32"/>
  <c r="DC27" i="32"/>
  <c r="DD27" i="32"/>
  <c r="DE27" i="32"/>
  <c r="DF27" i="32"/>
  <c r="DG27" i="32"/>
  <c r="DH27" i="32"/>
  <c r="DI27" i="32"/>
  <c r="DJ27" i="32"/>
  <c r="DK27" i="32"/>
  <c r="DL27" i="32"/>
  <c r="DM27" i="32"/>
  <c r="DN27" i="32"/>
  <c r="DO27" i="32"/>
  <c r="DP27" i="32"/>
  <c r="DQ27" i="32"/>
  <c r="DR27" i="32"/>
  <c r="DS27" i="32"/>
  <c r="DT27" i="32"/>
  <c r="DU27" i="32"/>
  <c r="DV27" i="32"/>
  <c r="DW27" i="32"/>
  <c r="DX27" i="32"/>
  <c r="DY27" i="32"/>
  <c r="DZ27" i="32"/>
  <c r="EA27" i="32"/>
  <c r="EB27" i="32"/>
  <c r="EC27" i="32"/>
  <c r="ED27" i="32"/>
  <c r="EE27" i="32"/>
  <c r="EF27" i="32"/>
  <c r="EG27" i="32"/>
  <c r="EH27" i="32"/>
  <c r="EI27" i="32"/>
  <c r="EJ27" i="32"/>
  <c r="EK27" i="32"/>
  <c r="EL27" i="32"/>
  <c r="EM27" i="32"/>
  <c r="EN27" i="32"/>
  <c r="EO27" i="32"/>
  <c r="EP27" i="32"/>
  <c r="EQ27" i="32"/>
  <c r="T6" i="57"/>
  <c r="R7" i="57"/>
  <c r="S79" i="57"/>
  <c r="S34" i="57"/>
  <c r="S33" i="57"/>
  <c r="S14" i="57"/>
  <c r="T100" i="57"/>
  <c r="T98" i="57"/>
  <c r="T86" i="57"/>
  <c r="T11" i="57"/>
  <c r="T20" i="57"/>
  <c r="U10" i="57"/>
  <c r="V36" i="38"/>
  <c r="R14" i="2"/>
  <c r="Q14" i="32"/>
  <c r="Q34" i="32"/>
  <c r="C22" i="40"/>
  <c r="M40" i="2"/>
  <c r="O98" i="57"/>
  <c r="C28" i="32"/>
  <c r="C26" i="32"/>
  <c r="P7" i="32"/>
  <c r="S105" i="32"/>
  <c r="S91" i="32"/>
  <c r="S103" i="32"/>
  <c r="W3" i="38"/>
  <c r="B6" i="32"/>
  <c r="R9" i="32"/>
  <c r="W36" i="38"/>
  <c r="R15" i="2"/>
  <c r="A28" i="2"/>
  <c r="G65" i="40"/>
  <c r="C34" i="36"/>
  <c r="P35" i="57"/>
  <c r="H23" i="2"/>
  <c r="E66" i="40"/>
  <c r="K10" i="40"/>
  <c r="L9" i="40"/>
  <c r="U36" i="38"/>
  <c r="H66" i="40"/>
  <c r="I13" i="2"/>
  <c r="S31" i="2"/>
  <c r="G52" i="2"/>
  <c r="G57" i="2"/>
  <c r="G53" i="2"/>
  <c r="G55" i="2"/>
  <c r="G59" i="2"/>
  <c r="G56" i="2"/>
  <c r="H13" i="2"/>
  <c r="G54" i="2"/>
  <c r="G64" i="2"/>
  <c r="G58" i="2"/>
  <c r="G39" i="2"/>
  <c r="G60" i="2"/>
  <c r="N7" i="2"/>
  <c r="S30" i="2"/>
  <c r="G63" i="2"/>
  <c r="G17" i="32"/>
  <c r="P21" i="32"/>
  <c r="G65" i="2"/>
  <c r="J14" i="40"/>
  <c r="C22" i="32"/>
  <c r="X36" i="38"/>
  <c r="R16" i="2"/>
  <c r="P12" i="57"/>
  <c r="P24" i="32"/>
  <c r="P25" i="32"/>
  <c r="AC27" i="57"/>
  <c r="AD27" i="57"/>
  <c r="AE27" i="57"/>
  <c r="AF27" i="57"/>
  <c r="AG27" i="57"/>
  <c r="AH27" i="57"/>
  <c r="AI27" i="57"/>
  <c r="AJ27" i="57"/>
  <c r="AK27" i="57"/>
  <c r="AL27" i="57"/>
  <c r="AM27" i="57"/>
  <c r="AN27" i="57"/>
  <c r="AO27" i="57"/>
  <c r="AP27" i="57"/>
  <c r="AQ27" i="57"/>
  <c r="AR27" i="57"/>
  <c r="AS27" i="57"/>
  <c r="AT27" i="57"/>
  <c r="AU27" i="57"/>
  <c r="AV27" i="57"/>
  <c r="AW27" i="57"/>
  <c r="AX27" i="57"/>
  <c r="AY27" i="57"/>
  <c r="AZ27" i="57"/>
  <c r="BA27" i="57"/>
  <c r="BB27" i="57"/>
  <c r="BC27" i="57"/>
  <c r="BD27" i="57"/>
  <c r="BE27" i="57"/>
  <c r="BF27" i="57"/>
  <c r="BG27" i="57"/>
  <c r="BH27" i="57"/>
  <c r="BI27" i="57"/>
  <c r="BJ27" i="57"/>
  <c r="BK27" i="57"/>
  <c r="BL27" i="57"/>
  <c r="BM27" i="57"/>
  <c r="BN27" i="57"/>
  <c r="BO27" i="57"/>
  <c r="BP27" i="57"/>
  <c r="BQ27" i="57"/>
  <c r="BR27" i="57"/>
  <c r="BS27" i="57"/>
  <c r="BT27" i="57"/>
  <c r="BU27" i="57"/>
  <c r="BV27" i="57"/>
  <c r="BW27" i="57"/>
  <c r="BX27" i="57"/>
  <c r="BY27" i="57"/>
  <c r="BZ27" i="57"/>
  <c r="CA27" i="57"/>
  <c r="CB27" i="57"/>
  <c r="CC27" i="57"/>
  <c r="CD27" i="57"/>
  <c r="CE27" i="57"/>
  <c r="CF27" i="57"/>
  <c r="CG27" i="57"/>
  <c r="CH27" i="57"/>
  <c r="CI27" i="57"/>
  <c r="CJ27" i="57"/>
  <c r="CK27" i="57"/>
  <c r="CL27" i="57"/>
  <c r="CM27" i="57"/>
  <c r="CN27" i="57"/>
  <c r="CO27" i="57"/>
  <c r="CP27" i="57"/>
  <c r="CQ27" i="57"/>
  <c r="CR27" i="57"/>
  <c r="CS27" i="57"/>
  <c r="CT27" i="57"/>
  <c r="CU27" i="57"/>
  <c r="CV27" i="57"/>
  <c r="CW27" i="57"/>
  <c r="CX27" i="57"/>
  <c r="CY27" i="57"/>
  <c r="CZ27" i="57"/>
  <c r="DA27" i="57"/>
  <c r="DB27" i="57"/>
  <c r="DC27" i="57"/>
  <c r="DD27" i="57"/>
  <c r="DE27" i="57"/>
  <c r="DF27" i="57"/>
  <c r="DG27" i="57"/>
  <c r="DH27" i="57"/>
  <c r="DI27" i="57"/>
  <c r="DJ27" i="57"/>
  <c r="DK27" i="57"/>
  <c r="DL27" i="57"/>
  <c r="DM27" i="57"/>
  <c r="DN27" i="57"/>
  <c r="DO27" i="57"/>
  <c r="DP27" i="57"/>
  <c r="DQ27" i="57"/>
  <c r="DR27" i="57"/>
  <c r="DS27" i="57"/>
  <c r="DT27" i="57"/>
  <c r="DU27" i="57"/>
  <c r="DV27" i="57"/>
  <c r="DW27" i="57"/>
  <c r="DX27" i="57"/>
  <c r="DY27" i="57"/>
  <c r="DZ27" i="57"/>
  <c r="EA27" i="57"/>
  <c r="EB27" i="57"/>
  <c r="EC27" i="57"/>
  <c r="ED27" i="57"/>
  <c r="EE27" i="57"/>
  <c r="EF27" i="57"/>
  <c r="EG27" i="57"/>
  <c r="EH27" i="57"/>
  <c r="EI27" i="57"/>
  <c r="EJ27" i="57"/>
  <c r="EK27" i="57"/>
  <c r="EL27" i="57"/>
  <c r="EM27" i="57"/>
  <c r="EN27" i="57"/>
  <c r="EO27" i="57"/>
  <c r="EP27" i="57"/>
  <c r="EQ27" i="57"/>
  <c r="C27" i="32"/>
  <c r="AC22" i="57"/>
  <c r="AD22" i="57"/>
  <c r="AE22" i="57"/>
  <c r="AF22" i="57"/>
  <c r="AG22" i="57"/>
  <c r="AH22" i="57"/>
  <c r="AI22" i="57"/>
  <c r="AJ22" i="57"/>
  <c r="AK22" i="57"/>
  <c r="AL22" i="57"/>
  <c r="AM22" i="57"/>
  <c r="AN22" i="57"/>
  <c r="AO22" i="57"/>
  <c r="AP22" i="57"/>
  <c r="AQ22" i="57"/>
  <c r="AR22" i="57"/>
  <c r="AS22" i="57"/>
  <c r="AT22" i="57"/>
  <c r="AU22" i="57"/>
  <c r="AV22" i="57"/>
  <c r="AW22" i="57"/>
  <c r="AX22" i="57"/>
  <c r="AY22" i="57"/>
  <c r="AZ22" i="57"/>
  <c r="BA22" i="57"/>
  <c r="BB22" i="57"/>
  <c r="BC22" i="57"/>
  <c r="BD22" i="57"/>
  <c r="BE22" i="57"/>
  <c r="BF22" i="57"/>
  <c r="BG22" i="57"/>
  <c r="BH22" i="57"/>
  <c r="BI22" i="57"/>
  <c r="BJ22" i="57"/>
  <c r="BK22" i="57"/>
  <c r="BL22" i="57"/>
  <c r="BM22" i="57"/>
  <c r="BN22" i="57"/>
  <c r="BO22" i="57"/>
  <c r="BP22" i="57"/>
  <c r="BQ22" i="57"/>
  <c r="BR22" i="57"/>
  <c r="BS22" i="57"/>
  <c r="BT22" i="57"/>
  <c r="BU22" i="57"/>
  <c r="BV22" i="57"/>
  <c r="BW22" i="57"/>
  <c r="BX22" i="57"/>
  <c r="BY22" i="57"/>
  <c r="BZ22" i="57"/>
  <c r="CA22" i="57"/>
  <c r="CB22" i="57"/>
  <c r="CC22" i="57"/>
  <c r="CD22" i="57"/>
  <c r="CE22" i="57"/>
  <c r="CF22" i="57"/>
  <c r="CG22" i="57"/>
  <c r="CH22" i="57"/>
  <c r="CI22" i="57"/>
  <c r="CJ22" i="57"/>
  <c r="CK22" i="57"/>
  <c r="CL22" i="57"/>
  <c r="CM22" i="57"/>
  <c r="CN22" i="57"/>
  <c r="CO22" i="57"/>
  <c r="CP22" i="57"/>
  <c r="CQ22" i="57"/>
  <c r="CR22" i="57"/>
  <c r="CS22" i="57"/>
  <c r="CT22" i="57"/>
  <c r="CU22" i="57"/>
  <c r="CV22" i="57"/>
  <c r="CW22" i="57"/>
  <c r="CX22" i="57"/>
  <c r="CY22" i="57"/>
  <c r="CZ22" i="57"/>
  <c r="DA22" i="57"/>
  <c r="DB22" i="57"/>
  <c r="DC22" i="57"/>
  <c r="DD22" i="57"/>
  <c r="DE22" i="57"/>
  <c r="DF22" i="57"/>
  <c r="DG22" i="57"/>
  <c r="DH22" i="57"/>
  <c r="DI22" i="57"/>
  <c r="DJ22" i="57"/>
  <c r="DK22" i="57"/>
  <c r="DL22" i="57"/>
  <c r="DM22" i="57"/>
  <c r="DN22" i="57"/>
  <c r="DO22" i="57"/>
  <c r="DP22" i="57"/>
  <c r="DQ22" i="57"/>
  <c r="DR22" i="57"/>
  <c r="DS22" i="57"/>
  <c r="DT22" i="57"/>
  <c r="DU22" i="57"/>
  <c r="DV22" i="57"/>
  <c r="DW22" i="57"/>
  <c r="DX22" i="57"/>
  <c r="DY22" i="57"/>
  <c r="DZ22" i="57"/>
  <c r="EA22" i="57"/>
  <c r="EB22" i="57"/>
  <c r="EC22" i="57"/>
  <c r="ED22" i="57"/>
  <c r="EE22" i="57"/>
  <c r="EF22" i="57"/>
  <c r="EG22" i="57"/>
  <c r="EH22" i="57"/>
  <c r="EI22" i="57"/>
  <c r="EJ22" i="57"/>
  <c r="EK22" i="57"/>
  <c r="EL22" i="57"/>
  <c r="EM22" i="57"/>
  <c r="EN22" i="57"/>
  <c r="EO22" i="57"/>
  <c r="EP22" i="57"/>
  <c r="EQ22" i="57"/>
  <c r="AC21" i="57"/>
  <c r="AD21" i="57"/>
  <c r="AE21" i="57"/>
  <c r="AF21" i="57"/>
  <c r="AG21" i="57"/>
  <c r="AH21" i="57"/>
  <c r="AI21" i="57"/>
  <c r="AJ21" i="57"/>
  <c r="AK21" i="57"/>
  <c r="AL21" i="57"/>
  <c r="AM21" i="57"/>
  <c r="AN21" i="57"/>
  <c r="AO21" i="57"/>
  <c r="AP21" i="57"/>
  <c r="AQ21" i="57"/>
  <c r="AR21" i="57"/>
  <c r="AS21" i="57"/>
  <c r="AT21" i="57"/>
  <c r="AU21" i="57"/>
  <c r="AV21" i="57"/>
  <c r="AW21" i="57"/>
  <c r="AX21" i="57"/>
  <c r="AY21" i="57"/>
  <c r="AZ21" i="57"/>
  <c r="BA21" i="57"/>
  <c r="BB21" i="57"/>
  <c r="BC21" i="57"/>
  <c r="BD21" i="57"/>
  <c r="BE21" i="57"/>
  <c r="BF21" i="57"/>
  <c r="BG21" i="57"/>
  <c r="BH21" i="57"/>
  <c r="BI21" i="57"/>
  <c r="BJ21" i="57"/>
  <c r="BK21" i="57"/>
  <c r="BL21" i="57"/>
  <c r="BM21" i="57"/>
  <c r="BN21" i="57"/>
  <c r="BO21" i="57"/>
  <c r="BP21" i="57"/>
  <c r="BQ21" i="57"/>
  <c r="BR21" i="57"/>
  <c r="BS21" i="57"/>
  <c r="BT21" i="57"/>
  <c r="BU21" i="57"/>
  <c r="BV21" i="57"/>
  <c r="BW21" i="57"/>
  <c r="BX21" i="57"/>
  <c r="BY21" i="57"/>
  <c r="BZ21" i="57"/>
  <c r="CA21" i="57"/>
  <c r="CB21" i="57"/>
  <c r="CC21" i="57"/>
  <c r="CD21" i="57"/>
  <c r="CE21" i="57"/>
  <c r="CF21" i="57"/>
  <c r="CG21" i="57"/>
  <c r="CH21" i="57"/>
  <c r="CI21" i="57"/>
  <c r="CJ21" i="57"/>
  <c r="CK21" i="57"/>
  <c r="CL21" i="57"/>
  <c r="CM21" i="57"/>
  <c r="CN21" i="57"/>
  <c r="CO21" i="57"/>
  <c r="CP21" i="57"/>
  <c r="CQ21" i="57"/>
  <c r="CR21" i="57"/>
  <c r="CS21" i="57"/>
  <c r="CT21" i="57"/>
  <c r="CU21" i="57"/>
  <c r="CV21" i="57"/>
  <c r="CW21" i="57"/>
  <c r="CX21" i="57"/>
  <c r="CY21" i="57"/>
  <c r="CZ21" i="57"/>
  <c r="DA21" i="57"/>
  <c r="DB21" i="57"/>
  <c r="DC21" i="57"/>
  <c r="DD21" i="57"/>
  <c r="DE21" i="57"/>
  <c r="DF21" i="57"/>
  <c r="DG21" i="57"/>
  <c r="DH21" i="57"/>
  <c r="DI21" i="57"/>
  <c r="DJ21" i="57"/>
  <c r="DK21" i="57"/>
  <c r="DL21" i="57"/>
  <c r="DM21" i="57"/>
  <c r="DN21" i="57"/>
  <c r="DO21" i="57"/>
  <c r="DP21" i="57"/>
  <c r="DQ21" i="57"/>
  <c r="DR21" i="57"/>
  <c r="DS21" i="57"/>
  <c r="DT21" i="57"/>
  <c r="DU21" i="57"/>
  <c r="DV21" i="57"/>
  <c r="DW21" i="57"/>
  <c r="DX21" i="57"/>
  <c r="DY21" i="57"/>
  <c r="DZ21" i="57"/>
  <c r="EA21" i="57"/>
  <c r="EB21" i="57"/>
  <c r="EC21" i="57"/>
  <c r="ED21" i="57"/>
  <c r="EE21" i="57"/>
  <c r="EF21" i="57"/>
  <c r="EG21" i="57"/>
  <c r="EH21" i="57"/>
  <c r="EI21" i="57"/>
  <c r="EJ21" i="57"/>
  <c r="EK21" i="57"/>
  <c r="EL21" i="57"/>
  <c r="EM21" i="57"/>
  <c r="EN21" i="57"/>
  <c r="EO21" i="57"/>
  <c r="EP21" i="57"/>
  <c r="EQ21" i="57"/>
  <c r="U100" i="57"/>
  <c r="U101" i="57"/>
  <c r="U98" i="57"/>
  <c r="U86" i="57"/>
  <c r="U20" i="57"/>
  <c r="V10" i="57"/>
  <c r="U11" i="57"/>
  <c r="T79" i="57"/>
  <c r="T34" i="57"/>
  <c r="T33" i="57"/>
  <c r="T14" i="57"/>
  <c r="T101" i="57"/>
  <c r="U6" i="57"/>
  <c r="S7" i="57"/>
  <c r="P76" i="2"/>
  <c r="P74" i="2"/>
  <c r="N12" i="32"/>
  <c r="C13" i="40"/>
  <c r="C35" i="40"/>
  <c r="C55" i="40"/>
  <c r="L29" i="2"/>
  <c r="S28" i="2"/>
  <c r="M42" i="2"/>
  <c r="P42" i="2"/>
  <c r="P36" i="2"/>
  <c r="P37" i="2"/>
  <c r="O86" i="57"/>
  <c r="O96" i="57"/>
  <c r="O103" i="32"/>
  <c r="C5" i="51"/>
  <c r="Q7" i="32"/>
  <c r="H65" i="40"/>
  <c r="D34" i="36"/>
  <c r="S34" i="32"/>
  <c r="S33" i="32"/>
  <c r="S14" i="32"/>
  <c r="S106" i="32"/>
  <c r="S9" i="32"/>
  <c r="E32" i="36"/>
  <c r="B7" i="32"/>
  <c r="X3" i="38"/>
  <c r="T91" i="32"/>
  <c r="T105" i="32"/>
  <c r="T106" i="32"/>
  <c r="T103" i="32"/>
  <c r="K14" i="40"/>
  <c r="Q21" i="32"/>
  <c r="R21" i="32"/>
  <c r="S21" i="32"/>
  <c r="T21" i="32"/>
  <c r="U21" i="32"/>
  <c r="V21" i="32"/>
  <c r="W21" i="32"/>
  <c r="X21" i="32"/>
  <c r="Y21" i="32"/>
  <c r="Z21" i="32"/>
  <c r="AA21" i="32"/>
  <c r="AB21" i="32"/>
  <c r="AC21" i="32"/>
  <c r="AD21" i="32"/>
  <c r="AE21" i="32"/>
  <c r="AF21" i="32"/>
  <c r="AG21" i="32"/>
  <c r="AH21" i="32"/>
  <c r="AI21" i="32"/>
  <c r="AJ21" i="32"/>
  <c r="AK21" i="32"/>
  <c r="AL21" i="32"/>
  <c r="AM21" i="32"/>
  <c r="AN21" i="32"/>
  <c r="AO21" i="32"/>
  <c r="AP21" i="32"/>
  <c r="AQ21" i="32"/>
  <c r="AR21" i="32"/>
  <c r="AS21" i="32"/>
  <c r="AT21" i="32"/>
  <c r="AU21" i="32"/>
  <c r="AV21" i="32"/>
  <c r="AW21" i="32"/>
  <c r="AX21" i="32"/>
  <c r="AY21" i="32"/>
  <c r="AZ21" i="32"/>
  <c r="BA21" i="32"/>
  <c r="BB21" i="32"/>
  <c r="BC21" i="32"/>
  <c r="BD21" i="32"/>
  <c r="BE21" i="32"/>
  <c r="BF21" i="32"/>
  <c r="BG21" i="32"/>
  <c r="BH21" i="32"/>
  <c r="BI21" i="32"/>
  <c r="BJ21" i="32"/>
  <c r="BK21" i="32"/>
  <c r="BL21" i="32"/>
  <c r="BM21" i="32"/>
  <c r="BN21" i="32"/>
  <c r="BO21" i="32"/>
  <c r="BP21" i="32"/>
  <c r="BQ21" i="32"/>
  <c r="BR21" i="32"/>
  <c r="BS21" i="32"/>
  <c r="BT21" i="32"/>
  <c r="BU21" i="32"/>
  <c r="BV21" i="32"/>
  <c r="BW21" i="32"/>
  <c r="BX21" i="32"/>
  <c r="BY21" i="32"/>
  <c r="BZ21" i="32"/>
  <c r="CA21" i="32"/>
  <c r="CB21" i="32"/>
  <c r="CC21" i="32"/>
  <c r="CD21" i="32"/>
  <c r="CE21" i="32"/>
  <c r="CF21" i="32"/>
  <c r="CG21" i="32"/>
  <c r="CH21" i="32"/>
  <c r="CI21" i="32"/>
  <c r="CJ21" i="32"/>
  <c r="CK21" i="32"/>
  <c r="CL21" i="32"/>
  <c r="CM21" i="32"/>
  <c r="CN21" i="32"/>
  <c r="CO21" i="32"/>
  <c r="CP21" i="32"/>
  <c r="CQ21" i="32"/>
  <c r="CR21" i="32"/>
  <c r="CS21" i="32"/>
  <c r="CT21" i="32"/>
  <c r="CU21" i="32"/>
  <c r="CV21" i="32"/>
  <c r="CW21" i="32"/>
  <c r="CX21" i="32"/>
  <c r="CY21" i="32"/>
  <c r="CZ21" i="32"/>
  <c r="DA21" i="32"/>
  <c r="DB21" i="32"/>
  <c r="DC21" i="32"/>
  <c r="DD21" i="32"/>
  <c r="DE21" i="32"/>
  <c r="DF21" i="32"/>
  <c r="DG21" i="32"/>
  <c r="DH21" i="32"/>
  <c r="DI21" i="32"/>
  <c r="DJ21" i="32"/>
  <c r="DK21" i="32"/>
  <c r="DL21" i="32"/>
  <c r="DM21" i="32"/>
  <c r="DN21" i="32"/>
  <c r="DO21" i="32"/>
  <c r="DP21" i="32"/>
  <c r="DQ21" i="32"/>
  <c r="DR21" i="32"/>
  <c r="DS21" i="32"/>
  <c r="DT21" i="32"/>
  <c r="DU21" i="32"/>
  <c r="DV21" i="32"/>
  <c r="DW21" i="32"/>
  <c r="DX21" i="32"/>
  <c r="DY21" i="32"/>
  <c r="DZ21" i="32"/>
  <c r="EA21" i="32"/>
  <c r="EB21" i="32"/>
  <c r="EC21" i="32"/>
  <c r="ED21" i="32"/>
  <c r="EE21" i="32"/>
  <c r="EF21" i="32"/>
  <c r="EG21" i="32"/>
  <c r="EH21" i="32"/>
  <c r="EI21" i="32"/>
  <c r="EJ21" i="32"/>
  <c r="EK21" i="32"/>
  <c r="EL21" i="32"/>
  <c r="EM21" i="32"/>
  <c r="EN21" i="32"/>
  <c r="EO21" i="32"/>
  <c r="EP21" i="32"/>
  <c r="EQ21" i="32"/>
  <c r="L10" i="40"/>
  <c r="M9" i="40"/>
  <c r="H28" i="2"/>
  <c r="F28" i="2"/>
  <c r="G61" i="2"/>
  <c r="G66" i="2"/>
  <c r="J66" i="40"/>
  <c r="R13" i="2"/>
  <c r="K66" i="40"/>
  <c r="C21" i="57"/>
  <c r="C22" i="57"/>
  <c r="N14" i="57"/>
  <c r="Q12" i="57"/>
  <c r="R12" i="57"/>
  <c r="S12" i="57"/>
  <c r="Q24" i="32"/>
  <c r="Q25" i="32"/>
  <c r="C27" i="57"/>
  <c r="P48" i="57"/>
  <c r="V6" i="57"/>
  <c r="T7" i="57"/>
  <c r="U79" i="57"/>
  <c r="U34" i="57"/>
  <c r="U33" i="57"/>
  <c r="U14" i="57"/>
  <c r="T12" i="57"/>
  <c r="V100" i="57"/>
  <c r="V98" i="57"/>
  <c r="V86" i="57"/>
  <c r="V11" i="57"/>
  <c r="V20" i="57"/>
  <c r="W10" i="57"/>
  <c r="Y36" i="38"/>
  <c r="R17" i="2"/>
  <c r="F348" i="51"/>
  <c r="F374" i="51"/>
  <c r="F235" i="51"/>
  <c r="F142" i="51"/>
  <c r="E229" i="51"/>
  <c r="E334" i="51"/>
  <c r="E179" i="51"/>
  <c r="E153" i="51"/>
  <c r="E118" i="51"/>
  <c r="F341" i="51"/>
  <c r="E248" i="51"/>
  <c r="F331" i="51"/>
  <c r="F155" i="51"/>
  <c r="E52" i="51"/>
  <c r="F332" i="51"/>
  <c r="E331" i="51"/>
  <c r="F33" i="51"/>
  <c r="E360" i="51"/>
  <c r="E384" i="51"/>
  <c r="E259" i="51"/>
  <c r="E65" i="51"/>
  <c r="E347" i="51"/>
  <c r="F183" i="51"/>
  <c r="E109" i="51"/>
  <c r="E92" i="51"/>
  <c r="E198" i="51"/>
  <c r="E270" i="51"/>
  <c r="F145" i="51"/>
  <c r="F314" i="51"/>
  <c r="F67" i="51"/>
  <c r="F102" i="51"/>
  <c r="F143" i="51"/>
  <c r="E60" i="51"/>
  <c r="E187" i="51"/>
  <c r="E66" i="51"/>
  <c r="F255" i="51"/>
  <c r="F309" i="51"/>
  <c r="E310" i="51"/>
  <c r="F292" i="51"/>
  <c r="F161" i="51"/>
  <c r="F308" i="51"/>
  <c r="E74" i="51"/>
  <c r="E85" i="51"/>
  <c r="E254" i="51"/>
  <c r="E261" i="51"/>
  <c r="E72" i="51"/>
  <c r="E30" i="51"/>
  <c r="F83" i="51"/>
  <c r="E121" i="51"/>
  <c r="E351" i="51"/>
  <c r="E324" i="51"/>
  <c r="E180" i="51"/>
  <c r="F271" i="51"/>
  <c r="E62" i="51"/>
  <c r="F178" i="51"/>
  <c r="F130" i="51"/>
  <c r="F349" i="51"/>
  <c r="F285" i="51"/>
  <c r="E314" i="51"/>
  <c r="F168" i="51"/>
  <c r="E126" i="51"/>
  <c r="E94" i="51"/>
  <c r="E45" i="51"/>
  <c r="E127" i="51"/>
  <c r="E273" i="51"/>
  <c r="F144" i="51"/>
  <c r="E135" i="51"/>
  <c r="E342" i="51"/>
  <c r="F185" i="51"/>
  <c r="F36" i="51"/>
  <c r="F106" i="51"/>
  <c r="F338" i="51"/>
  <c r="E226" i="51"/>
  <c r="E341" i="51"/>
  <c r="F366" i="51"/>
  <c r="E329" i="51"/>
  <c r="F225" i="51"/>
  <c r="F194" i="51"/>
  <c r="E252" i="51"/>
  <c r="F31" i="51"/>
  <c r="F165" i="51"/>
  <c r="F159" i="51"/>
  <c r="F50" i="51"/>
  <c r="F297" i="51"/>
  <c r="E44" i="51"/>
  <c r="E137" i="51"/>
  <c r="F154" i="51"/>
  <c r="E83" i="51"/>
  <c r="F267" i="51"/>
  <c r="F362" i="51"/>
  <c r="E365" i="51"/>
  <c r="E262" i="51"/>
  <c r="E323" i="51"/>
  <c r="F219" i="51"/>
  <c r="F248" i="51"/>
  <c r="E231" i="51"/>
  <c r="E381" i="51"/>
  <c r="F99" i="51"/>
  <c r="F303" i="51"/>
  <c r="F339" i="51"/>
  <c r="F352" i="51"/>
  <c r="F381" i="51"/>
  <c r="E374" i="51"/>
  <c r="F330" i="51"/>
  <c r="E148" i="51"/>
  <c r="E117" i="51"/>
  <c r="F173" i="51"/>
  <c r="E123" i="51"/>
  <c r="F246" i="51"/>
  <c r="E183" i="51"/>
  <c r="E287" i="51"/>
  <c r="F226" i="51"/>
  <c r="F312" i="51"/>
  <c r="E48" i="51"/>
  <c r="F113" i="51"/>
  <c r="E75" i="51"/>
  <c r="F272" i="51"/>
  <c r="E177" i="51"/>
  <c r="E263" i="51"/>
  <c r="F223" i="51"/>
  <c r="F123" i="51"/>
  <c r="F32" i="51"/>
  <c r="F208" i="51"/>
  <c r="F249" i="51"/>
  <c r="E249" i="51"/>
  <c r="F147" i="51"/>
  <c r="E32" i="51"/>
  <c r="F41" i="51"/>
  <c r="E97" i="51"/>
  <c r="E133" i="51"/>
  <c r="E190" i="51"/>
  <c r="F125" i="51"/>
  <c r="F347" i="51"/>
  <c r="F262" i="51"/>
  <c r="E136" i="51"/>
  <c r="F137" i="51"/>
  <c r="F373" i="51"/>
  <c r="F94" i="51"/>
  <c r="E272" i="51"/>
  <c r="F109" i="51"/>
  <c r="E319" i="51"/>
  <c r="E281" i="51"/>
  <c r="F52" i="51"/>
  <c r="E186" i="51"/>
  <c r="F100" i="51"/>
  <c r="F177" i="51"/>
  <c r="F65" i="51"/>
  <c r="F252" i="51"/>
  <c r="E380" i="51"/>
  <c r="F115" i="51"/>
  <c r="E371" i="51"/>
  <c r="F266" i="51"/>
  <c r="E84" i="51"/>
  <c r="F37" i="51"/>
  <c r="E352" i="51"/>
  <c r="E34" i="51"/>
  <c r="F132" i="51"/>
  <c r="F151" i="51"/>
  <c r="F346" i="51"/>
  <c r="F85" i="51"/>
  <c r="F121" i="51"/>
  <c r="E113" i="51"/>
  <c r="F280" i="51"/>
  <c r="E317" i="51"/>
  <c r="F98" i="51"/>
  <c r="F119" i="51"/>
  <c r="E152" i="51"/>
  <c r="E271" i="51"/>
  <c r="F108" i="51"/>
  <c r="F328" i="51"/>
  <c r="F97" i="51"/>
  <c r="F43" i="51"/>
  <c r="E102" i="51"/>
  <c r="F68" i="51"/>
  <c r="E245" i="51"/>
  <c r="E166" i="51"/>
  <c r="F222" i="51"/>
  <c r="E38" i="51"/>
  <c r="E201" i="51"/>
  <c r="E278" i="51"/>
  <c r="F228" i="51"/>
  <c r="F80" i="51"/>
  <c r="F304" i="51"/>
  <c r="F378" i="51"/>
  <c r="E98" i="51"/>
  <c r="E132" i="51"/>
  <c r="F358" i="51"/>
  <c r="E37" i="51"/>
  <c r="F241" i="51"/>
  <c r="E163" i="51"/>
  <c r="E178" i="51"/>
  <c r="F124" i="51"/>
  <c r="E93" i="51"/>
  <c r="F310" i="51"/>
  <c r="E277" i="51"/>
  <c r="E145" i="51"/>
  <c r="E141" i="51"/>
  <c r="F288" i="51"/>
  <c r="F35" i="51"/>
  <c r="F277" i="51"/>
  <c r="E221" i="51"/>
  <c r="F72" i="51"/>
  <c r="E222" i="51"/>
  <c r="E385" i="51"/>
  <c r="F340" i="51"/>
  <c r="E146" i="51"/>
  <c r="E139" i="51"/>
  <c r="F190" i="51"/>
  <c r="F127" i="51"/>
  <c r="E373" i="51"/>
  <c r="E49" i="51"/>
  <c r="F307" i="51"/>
  <c r="F264" i="51"/>
  <c r="F101" i="51"/>
  <c r="F42" i="51"/>
  <c r="E82" i="51"/>
  <c r="F240" i="51"/>
  <c r="F131" i="51"/>
  <c r="F283" i="51"/>
  <c r="F318" i="51"/>
  <c r="E343" i="51"/>
  <c r="F342" i="51"/>
  <c r="F78" i="51"/>
  <c r="E47" i="51"/>
  <c r="E89" i="51"/>
  <c r="F268" i="51"/>
  <c r="F79" i="51"/>
  <c r="E142" i="51"/>
  <c r="F369" i="51"/>
  <c r="F164" i="51"/>
  <c r="E197" i="51"/>
  <c r="F293" i="51"/>
  <c r="F107" i="51"/>
  <c r="F118" i="51"/>
  <c r="E315" i="51"/>
  <c r="E165" i="51"/>
  <c r="E325" i="51"/>
  <c r="E99" i="51"/>
  <c r="E110" i="51"/>
  <c r="E309" i="51"/>
  <c r="E189" i="51"/>
  <c r="E124" i="51"/>
  <c r="E366" i="51"/>
  <c r="F54" i="51"/>
  <c r="F311" i="51"/>
  <c r="E208" i="51"/>
  <c r="E283" i="51"/>
  <c r="F92" i="51"/>
  <c r="F276" i="51"/>
  <c r="F322" i="51"/>
  <c r="E185" i="51"/>
  <c r="E120" i="51"/>
  <c r="E268" i="51"/>
  <c r="E344" i="51"/>
  <c r="F157" i="51"/>
  <c r="F112" i="51"/>
  <c r="F298" i="51"/>
  <c r="F343" i="51"/>
  <c r="F63" i="51"/>
  <c r="F55" i="51"/>
  <c r="E300" i="51"/>
  <c r="E54" i="51"/>
  <c r="E86" i="51"/>
  <c r="E377" i="51"/>
  <c r="E240" i="51"/>
  <c r="F385" i="51"/>
  <c r="E306" i="51"/>
  <c r="E275" i="51"/>
  <c r="E330" i="51"/>
  <c r="F175" i="51"/>
  <c r="E304" i="51"/>
  <c r="E219" i="51"/>
  <c r="F207" i="51"/>
  <c r="E182" i="51"/>
  <c r="E200" i="51"/>
  <c r="F294" i="51"/>
  <c r="E194" i="51"/>
  <c r="E308" i="51"/>
  <c r="F361" i="51"/>
  <c r="F204" i="51"/>
  <c r="F87" i="51"/>
  <c r="E77" i="51"/>
  <c r="F89" i="51"/>
  <c r="F163" i="51"/>
  <c r="F120" i="51"/>
  <c r="E199" i="51"/>
  <c r="E209" i="51"/>
  <c r="F337" i="51"/>
  <c r="F104" i="51"/>
  <c r="F59" i="51"/>
  <c r="F363" i="51"/>
  <c r="E256" i="51"/>
  <c r="F325" i="51"/>
  <c r="F53" i="51"/>
  <c r="F234" i="51"/>
  <c r="E172" i="51"/>
  <c r="F197" i="51"/>
  <c r="F74" i="51"/>
  <c r="E346" i="51"/>
  <c r="F38" i="51"/>
  <c r="F95" i="51"/>
  <c r="E388" i="51"/>
  <c r="F278" i="51"/>
  <c r="E227" i="51"/>
  <c r="E51" i="51"/>
  <c r="F202" i="51"/>
  <c r="F217" i="51"/>
  <c r="E79" i="51"/>
  <c r="E119" i="51"/>
  <c r="E108" i="51"/>
  <c r="E228" i="51"/>
  <c r="E111" i="51"/>
  <c r="E328" i="51"/>
  <c r="E349" i="51"/>
  <c r="E303" i="51"/>
  <c r="F61" i="51"/>
  <c r="E294" i="51"/>
  <c r="E203" i="51"/>
  <c r="F260" i="51"/>
  <c r="F333" i="51"/>
  <c r="E305" i="51"/>
  <c r="F245" i="51"/>
  <c r="F71" i="51"/>
  <c r="F167" i="51"/>
  <c r="F247" i="51"/>
  <c r="E316" i="51"/>
  <c r="F146" i="51"/>
  <c r="F169" i="51"/>
  <c r="E355" i="51"/>
  <c r="E224" i="51"/>
  <c r="E298" i="51"/>
  <c r="E46" i="51"/>
  <c r="F215" i="51"/>
  <c r="F261" i="51"/>
  <c r="F58" i="51"/>
  <c r="F375" i="51"/>
  <c r="F216" i="51"/>
  <c r="E80" i="51"/>
  <c r="F302" i="51"/>
  <c r="E326" i="51"/>
  <c r="F172" i="51"/>
  <c r="E291" i="51"/>
  <c r="F211" i="51"/>
  <c r="E383" i="51"/>
  <c r="F46" i="51"/>
  <c r="E211" i="51"/>
  <c r="F274" i="51"/>
  <c r="F133" i="51"/>
  <c r="F34" i="51"/>
  <c r="E43" i="51"/>
  <c r="F166" i="51"/>
  <c r="F141" i="51"/>
  <c r="E369" i="51"/>
  <c r="E29" i="51"/>
  <c r="F300" i="51"/>
  <c r="F237" i="51"/>
  <c r="F377" i="51"/>
  <c r="F243" i="51"/>
  <c r="E176" i="51"/>
  <c r="E242" i="51"/>
  <c r="E339" i="51"/>
  <c r="E107" i="51"/>
  <c r="E378" i="51"/>
  <c r="F319" i="51"/>
  <c r="E134" i="51"/>
  <c r="F282" i="51"/>
  <c r="F384" i="51"/>
  <c r="E64" i="51"/>
  <c r="F138" i="51"/>
  <c r="E130" i="51"/>
  <c r="F66" i="51"/>
  <c r="E370" i="51"/>
  <c r="E122" i="51"/>
  <c r="F187" i="51"/>
  <c r="F367" i="51"/>
  <c r="E257" i="51"/>
  <c r="F345" i="51"/>
  <c r="E260" i="51"/>
  <c r="E129" i="51"/>
  <c r="F295" i="51"/>
  <c r="E76" i="51"/>
  <c r="E295" i="51"/>
  <c r="E61" i="51"/>
  <c r="E386" i="51"/>
  <c r="E244" i="51"/>
  <c r="F139" i="51"/>
  <c r="F126" i="51"/>
  <c r="F380" i="51"/>
  <c r="F236" i="51"/>
  <c r="E379" i="51"/>
  <c r="E235" i="51"/>
  <c r="E42" i="51"/>
  <c r="F193" i="51"/>
  <c r="E67" i="51"/>
  <c r="F379" i="51"/>
  <c r="E364" i="51"/>
  <c r="F148" i="51"/>
  <c r="F30" i="51"/>
  <c r="F376" i="51"/>
  <c r="F324" i="51"/>
  <c r="F371" i="51"/>
  <c r="E372" i="51"/>
  <c r="F250" i="51"/>
  <c r="F153" i="51"/>
  <c r="F351" i="51"/>
  <c r="E332" i="51"/>
  <c r="F189" i="51"/>
  <c r="E156" i="51"/>
  <c r="F56" i="51"/>
  <c r="F182" i="51"/>
  <c r="E169" i="51"/>
  <c r="E376" i="51"/>
  <c r="F40" i="51"/>
  <c r="E288" i="51"/>
  <c r="F231" i="51"/>
  <c r="F84" i="51"/>
  <c r="F76" i="51"/>
  <c r="F210" i="51"/>
  <c r="E255" i="51"/>
  <c r="E69" i="51"/>
  <c r="F91" i="51"/>
  <c r="E282" i="51"/>
  <c r="F290" i="51"/>
  <c r="F365" i="51"/>
  <c r="E297" i="51"/>
  <c r="F320" i="51"/>
  <c r="E168" i="51"/>
  <c r="E214" i="51"/>
  <c r="E246" i="51"/>
  <c r="E112" i="51"/>
  <c r="E35" i="51"/>
  <c r="F296" i="51"/>
  <c r="E363" i="51"/>
  <c r="E362" i="51"/>
  <c r="E162" i="51"/>
  <c r="F323" i="51"/>
  <c r="E87" i="51"/>
  <c r="F315" i="51"/>
  <c r="E192" i="51"/>
  <c r="E247" i="51"/>
  <c r="F200" i="51"/>
  <c r="E161" i="51"/>
  <c r="E236" i="51"/>
  <c r="E301" i="51"/>
  <c r="E149" i="51"/>
  <c r="F334" i="51"/>
  <c r="E157" i="51"/>
  <c r="E71" i="51"/>
  <c r="F220" i="51"/>
  <c r="F29" i="51"/>
  <c r="F279" i="51"/>
  <c r="F176" i="51"/>
  <c r="E358" i="51"/>
  <c r="F70" i="51"/>
  <c r="F387" i="51"/>
  <c r="E154" i="51"/>
  <c r="F359" i="51"/>
  <c r="F227" i="51"/>
  <c r="E188" i="51"/>
  <c r="E159" i="51"/>
  <c r="F90" i="51"/>
  <c r="F238" i="51"/>
  <c r="E147" i="51"/>
  <c r="F221" i="51"/>
  <c r="F136" i="51"/>
  <c r="E269" i="51"/>
  <c r="F254" i="51"/>
  <c r="E333" i="51"/>
  <c r="E354" i="51"/>
  <c r="E285" i="51"/>
  <c r="F201" i="51"/>
  <c r="F129" i="51"/>
  <c r="F111" i="51"/>
  <c r="F86" i="51"/>
  <c r="F116" i="51"/>
  <c r="F344" i="51"/>
  <c r="F160" i="51"/>
  <c r="F317" i="51"/>
  <c r="F321" i="51"/>
  <c r="E144" i="51"/>
  <c r="F184" i="51"/>
  <c r="E345" i="51"/>
  <c r="F45" i="51"/>
  <c r="E100" i="51"/>
  <c r="F305" i="51"/>
  <c r="F103" i="51"/>
  <c r="F299" i="51"/>
  <c r="F180" i="51"/>
  <c r="E155" i="51"/>
  <c r="F57" i="51"/>
  <c r="E131" i="51"/>
  <c r="F170" i="51"/>
  <c r="F174" i="51"/>
  <c r="E73" i="51"/>
  <c r="E150" i="51"/>
  <c r="E296" i="51"/>
  <c r="E138" i="51"/>
  <c r="F229" i="51"/>
  <c r="E40" i="51"/>
  <c r="E258" i="51"/>
  <c r="F364" i="51"/>
  <c r="F82" i="51"/>
  <c r="E114" i="51"/>
  <c r="E196" i="51"/>
  <c r="E340" i="51"/>
  <c r="F73" i="51"/>
  <c r="E167" i="51"/>
  <c r="E170" i="51"/>
  <c r="E348" i="51"/>
  <c r="F313" i="51"/>
  <c r="E206" i="51"/>
  <c r="E267" i="51"/>
  <c r="F205" i="51"/>
  <c r="E128" i="51"/>
  <c r="F156" i="51"/>
  <c r="E251" i="51"/>
  <c r="E88" i="51"/>
  <c r="F368" i="51"/>
  <c r="F244" i="51"/>
  <c r="F214" i="51"/>
  <c r="F232" i="51"/>
  <c r="E36" i="51"/>
  <c r="E33" i="51"/>
  <c r="F186" i="51"/>
  <c r="F93" i="51"/>
  <c r="F291" i="51"/>
  <c r="E265" i="51"/>
  <c r="E207" i="51"/>
  <c r="D29" i="51"/>
  <c r="E350" i="51"/>
  <c r="F273" i="51"/>
  <c r="F62" i="51"/>
  <c r="E160" i="51"/>
  <c r="F48" i="51"/>
  <c r="E55" i="51"/>
  <c r="E313" i="51"/>
  <c r="F382" i="51"/>
  <c r="E230" i="51"/>
  <c r="E312" i="51"/>
  <c r="F213" i="51"/>
  <c r="E140" i="51"/>
  <c r="F287" i="51"/>
  <c r="F257" i="51"/>
  <c r="F192" i="51"/>
  <c r="E253" i="51"/>
  <c r="F122" i="51"/>
  <c r="F49" i="51"/>
  <c r="F110" i="51"/>
  <c r="F306" i="51"/>
  <c r="F265" i="51"/>
  <c r="E322" i="51"/>
  <c r="F135" i="51"/>
  <c r="F171" i="51"/>
  <c r="E181" i="51"/>
  <c r="F239" i="51"/>
  <c r="E106" i="51"/>
  <c r="F206" i="51"/>
  <c r="E356" i="51"/>
  <c r="E215" i="51"/>
  <c r="E250" i="51"/>
  <c r="F64" i="51"/>
  <c r="E216" i="51"/>
  <c r="F96" i="51"/>
  <c r="F329" i="51"/>
  <c r="E213" i="51"/>
  <c r="E104" i="51"/>
  <c r="E204" i="51"/>
  <c r="F253" i="51"/>
  <c r="E81" i="51"/>
  <c r="E70" i="51"/>
  <c r="F353" i="51"/>
  <c r="E68" i="51"/>
  <c r="F179" i="51"/>
  <c r="F218" i="51"/>
  <c r="E237" i="51"/>
  <c r="E234" i="51"/>
  <c r="E361" i="51"/>
  <c r="E387" i="51"/>
  <c r="F233" i="51"/>
  <c r="E335" i="51"/>
  <c r="F354" i="51"/>
  <c r="F77" i="51"/>
  <c r="E158" i="51"/>
  <c r="E95" i="51"/>
  <c r="E279" i="51"/>
  <c r="E292" i="51"/>
  <c r="F128" i="51"/>
  <c r="F140" i="51"/>
  <c r="F198" i="51"/>
  <c r="E191" i="51"/>
  <c r="E41" i="51"/>
  <c r="E359" i="51"/>
  <c r="E367" i="51"/>
  <c r="F263" i="51"/>
  <c r="F195" i="51"/>
  <c r="F51" i="51"/>
  <c r="F105" i="51"/>
  <c r="E171" i="51"/>
  <c r="E375" i="51"/>
  <c r="E58" i="51"/>
  <c r="E195" i="51"/>
  <c r="F209" i="51"/>
  <c r="F150" i="51"/>
  <c r="F114" i="51"/>
  <c r="F152" i="51"/>
  <c r="F69" i="51"/>
  <c r="E91" i="51"/>
  <c r="E280" i="51"/>
  <c r="E103" i="51"/>
  <c r="E143" i="51"/>
  <c r="F203" i="51"/>
  <c r="E125" i="51"/>
  <c r="E338" i="51"/>
  <c r="E50" i="51"/>
  <c r="E274" i="51"/>
  <c r="F256" i="51"/>
  <c r="E382" i="51"/>
  <c r="F251" i="51"/>
  <c r="E31" i="51"/>
  <c r="E210" i="51"/>
  <c r="F47" i="51"/>
  <c r="F357" i="51"/>
  <c r="F326" i="51"/>
  <c r="E218" i="51"/>
  <c r="F117" i="51"/>
  <c r="F289" i="51"/>
  <c r="E336" i="51"/>
  <c r="E238" i="51"/>
  <c r="E220" i="51"/>
  <c r="E184" i="51"/>
  <c r="F75" i="51"/>
  <c r="F383" i="51"/>
  <c r="F39" i="51"/>
  <c r="E96" i="51"/>
  <c r="E212" i="51"/>
  <c r="E320" i="51"/>
  <c r="F196" i="51"/>
  <c r="E289" i="51"/>
  <c r="F270" i="51"/>
  <c r="E78" i="51"/>
  <c r="E63" i="51"/>
  <c r="E90" i="51"/>
  <c r="E105" i="51"/>
  <c r="E205" i="51"/>
  <c r="E101" i="51"/>
  <c r="F284" i="51"/>
  <c r="E357" i="51"/>
  <c r="F388" i="51"/>
  <c r="E266" i="51"/>
  <c r="F88" i="51"/>
  <c r="F360" i="51"/>
  <c r="E276" i="51"/>
  <c r="F335" i="51"/>
  <c r="E56" i="51"/>
  <c r="F149" i="51"/>
  <c r="F327" i="51"/>
  <c r="F199" i="51"/>
  <c r="E174" i="51"/>
  <c r="E321" i="51"/>
  <c r="E311" i="51"/>
  <c r="F386" i="51"/>
  <c r="F336" i="51"/>
  <c r="F162" i="51"/>
  <c r="E233" i="51"/>
  <c r="F275" i="51"/>
  <c r="F372" i="51"/>
  <c r="F286" i="51"/>
  <c r="F316" i="51"/>
  <c r="F158" i="51"/>
  <c r="E151" i="51"/>
  <c r="E290" i="51"/>
  <c r="E53" i="51"/>
  <c r="E59" i="51"/>
  <c r="F259" i="51"/>
  <c r="F355" i="51"/>
  <c r="E264" i="51"/>
  <c r="E116" i="51"/>
  <c r="E223" i="51"/>
  <c r="F191" i="51"/>
  <c r="E299" i="51"/>
  <c r="E243" i="51"/>
  <c r="E115" i="51"/>
  <c r="E225" i="51"/>
  <c r="F350" i="51"/>
  <c r="E286" i="51"/>
  <c r="E302" i="51"/>
  <c r="E307" i="51"/>
  <c r="E57" i="51"/>
  <c r="F281" i="51"/>
  <c r="F269" i="51"/>
  <c r="E284" i="51"/>
  <c r="F356" i="51"/>
  <c r="E217" i="51"/>
  <c r="E327" i="51"/>
  <c r="E293" i="51"/>
  <c r="F258" i="51"/>
  <c r="E232" i="51"/>
  <c r="F370" i="51"/>
  <c r="E337" i="51"/>
  <c r="E353" i="51"/>
  <c r="E164" i="51"/>
  <c r="E368" i="51"/>
  <c r="E239" i="51"/>
  <c r="E173" i="51"/>
  <c r="E175" i="51"/>
  <c r="E193" i="51"/>
  <c r="F224" i="51"/>
  <c r="F44" i="51"/>
  <c r="E39" i="51"/>
  <c r="E241" i="51"/>
  <c r="F301" i="51"/>
  <c r="F188" i="51"/>
  <c r="F134" i="51"/>
  <c r="E202" i="51"/>
  <c r="F242" i="51"/>
  <c r="F81" i="51"/>
  <c r="F60" i="51"/>
  <c r="E318" i="51"/>
  <c r="F212" i="51"/>
  <c r="F230" i="51"/>
  <c r="F181" i="51"/>
  <c r="D65" i="40"/>
  <c r="M44" i="2"/>
  <c r="N44" i="2"/>
  <c r="O91" i="32"/>
  <c r="O101" i="32"/>
  <c r="R7" i="32"/>
  <c r="U103" i="32"/>
  <c r="U91" i="32"/>
  <c r="U105" i="32"/>
  <c r="U106" i="32"/>
  <c r="B8" i="32"/>
  <c r="Y3" i="38"/>
  <c r="T9" i="32"/>
  <c r="F32" i="36"/>
  <c r="I65" i="40"/>
  <c r="T14" i="32"/>
  <c r="T33" i="32"/>
  <c r="T34" i="32"/>
  <c r="E33" i="36"/>
  <c r="E34" i="36"/>
  <c r="L14" i="40"/>
  <c r="O8" i="2"/>
  <c r="M10" i="40"/>
  <c r="N9" i="40"/>
  <c r="C21" i="32"/>
  <c r="G18" i="51"/>
  <c r="G10" i="51"/>
  <c r="R24" i="32"/>
  <c r="R25" i="32"/>
  <c r="R24" i="57"/>
  <c r="G15" i="51"/>
  <c r="W100" i="57"/>
  <c r="W101" i="57"/>
  <c r="W98" i="57"/>
  <c r="W86" i="57"/>
  <c r="W20" i="57"/>
  <c r="X10" i="57"/>
  <c r="W11" i="57"/>
  <c r="V79" i="57"/>
  <c r="V14" i="57"/>
  <c r="V34" i="57"/>
  <c r="V33" i="57"/>
  <c r="U12" i="57"/>
  <c r="V101" i="57"/>
  <c r="U7" i="57"/>
  <c r="W6" i="57"/>
  <c r="F20" i="51"/>
  <c r="F19" i="51"/>
  <c r="F18" i="51"/>
  <c r="F7" i="51"/>
  <c r="Z36" i="38"/>
  <c r="R18" i="2"/>
  <c r="P75" i="2"/>
  <c r="F17" i="51"/>
  <c r="G29" i="51"/>
  <c r="D30" i="51"/>
  <c r="G30" i="51"/>
  <c r="D31" i="51"/>
  <c r="G31" i="51"/>
  <c r="D32" i="51"/>
  <c r="G32" i="51"/>
  <c r="D33" i="51"/>
  <c r="G33" i="51"/>
  <c r="D34" i="51"/>
  <c r="G34" i="51"/>
  <c r="D35" i="51"/>
  <c r="G35" i="51"/>
  <c r="D36" i="51"/>
  <c r="G36" i="51"/>
  <c r="D37" i="51"/>
  <c r="G37" i="51"/>
  <c r="D38" i="51"/>
  <c r="G38" i="51"/>
  <c r="D39" i="51"/>
  <c r="G39" i="51"/>
  <c r="D40" i="51"/>
  <c r="G40" i="51"/>
  <c r="G16" i="51"/>
  <c r="G23" i="51"/>
  <c r="F21" i="51"/>
  <c r="G25" i="51"/>
  <c r="G11" i="51"/>
  <c r="F10" i="51"/>
  <c r="F16" i="51"/>
  <c r="G20" i="51"/>
  <c r="F11" i="51"/>
  <c r="F22" i="51"/>
  <c r="F24" i="51"/>
  <c r="G19" i="51"/>
  <c r="F9" i="51"/>
  <c r="F8" i="51"/>
  <c r="F23" i="51"/>
  <c r="G21" i="51"/>
  <c r="F12" i="51"/>
  <c r="G12" i="51"/>
  <c r="G13" i="51"/>
  <c r="F14" i="51"/>
  <c r="G9" i="51"/>
  <c r="G22" i="51"/>
  <c r="G6" i="51"/>
  <c r="F25" i="51"/>
  <c r="F6" i="51"/>
  <c r="G24" i="51"/>
  <c r="G8" i="51"/>
  <c r="F13" i="51"/>
  <c r="G14" i="51"/>
  <c r="G7" i="51"/>
  <c r="F15" i="51"/>
  <c r="G17" i="51"/>
  <c r="S7" i="32"/>
  <c r="F34" i="36"/>
  <c r="F33" i="36"/>
  <c r="B9" i="32"/>
  <c r="Z3" i="38"/>
  <c r="V91" i="32"/>
  <c r="V103" i="32"/>
  <c r="V105" i="32"/>
  <c r="J65" i="40"/>
  <c r="G32" i="36"/>
  <c r="U9" i="32"/>
  <c r="U33" i="32"/>
  <c r="U14" i="32"/>
  <c r="U34" i="32"/>
  <c r="N10" i="40"/>
  <c r="O9" i="40"/>
  <c r="N14" i="32"/>
  <c r="P9" i="2"/>
  <c r="P10" i="2"/>
  <c r="O10" i="2"/>
  <c r="M14" i="40"/>
  <c r="S24" i="32"/>
  <c r="S25" i="32"/>
  <c r="S24" i="57"/>
  <c r="S25" i="57"/>
  <c r="AA36" i="38"/>
  <c r="R19" i="2"/>
  <c r="R25" i="57"/>
  <c r="AH29" i="57"/>
  <c r="AH30" i="57"/>
  <c r="AP29" i="57"/>
  <c r="AP30" i="57"/>
  <c r="AX29" i="57"/>
  <c r="AX30" i="57"/>
  <c r="BF29" i="57"/>
  <c r="BF30" i="57"/>
  <c r="BN29" i="57"/>
  <c r="BN30" i="57"/>
  <c r="EP29" i="57"/>
  <c r="EP30" i="57"/>
  <c r="EH29" i="57"/>
  <c r="EH30" i="57"/>
  <c r="DZ29" i="57"/>
  <c r="DZ30" i="57"/>
  <c r="DR29" i="57"/>
  <c r="DR30" i="57"/>
  <c r="DJ29" i="57"/>
  <c r="DJ30" i="57"/>
  <c r="DB29" i="57"/>
  <c r="DB30" i="57"/>
  <c r="CT29" i="57"/>
  <c r="CT30" i="57"/>
  <c r="CL29" i="57"/>
  <c r="CL30" i="57"/>
  <c r="CD29" i="57"/>
  <c r="CD30" i="57"/>
  <c r="BV29" i="57"/>
  <c r="BV30" i="57"/>
  <c r="AK29" i="57"/>
  <c r="AK30" i="57"/>
  <c r="BA29" i="57"/>
  <c r="BA30" i="57"/>
  <c r="BQ29" i="57"/>
  <c r="BQ30" i="57"/>
  <c r="DM29" i="57"/>
  <c r="DM30" i="57"/>
  <c r="AD29" i="57"/>
  <c r="AD30" i="57"/>
  <c r="AL29" i="57"/>
  <c r="AL30" i="57"/>
  <c r="AT29" i="57"/>
  <c r="AT30" i="57"/>
  <c r="BB29" i="57"/>
  <c r="BB30" i="57"/>
  <c r="BJ29" i="57"/>
  <c r="BJ30" i="57"/>
  <c r="BS29" i="57"/>
  <c r="BS30" i="57"/>
  <c r="EL29" i="57"/>
  <c r="EL30" i="57"/>
  <c r="ED29" i="57"/>
  <c r="ED30" i="57"/>
  <c r="DV29" i="57"/>
  <c r="DV30" i="57"/>
  <c r="DN29" i="57"/>
  <c r="DN30" i="57"/>
  <c r="DF29" i="57"/>
  <c r="DF30" i="57"/>
  <c r="CX29" i="57"/>
  <c r="CX30" i="57"/>
  <c r="CP29" i="57"/>
  <c r="CP30" i="57"/>
  <c r="CH29" i="57"/>
  <c r="CH30" i="57"/>
  <c r="BZ29" i="57"/>
  <c r="BZ30" i="57"/>
  <c r="BR29" i="57"/>
  <c r="BR30" i="57"/>
  <c r="AC29" i="57"/>
  <c r="AC30" i="57"/>
  <c r="AS29" i="57"/>
  <c r="AS30" i="57"/>
  <c r="BI29" i="57"/>
  <c r="BI30" i="57"/>
  <c r="CG29" i="57"/>
  <c r="CG30" i="57"/>
  <c r="EI29" i="57"/>
  <c r="EI30" i="57"/>
  <c r="EA29" i="57"/>
  <c r="EA30" i="57"/>
  <c r="DS29" i="57"/>
  <c r="DS30" i="57"/>
  <c r="DK29" i="57"/>
  <c r="DK30" i="57"/>
  <c r="DC29" i="57"/>
  <c r="DC30" i="57"/>
  <c r="CU29" i="57"/>
  <c r="CU30" i="57"/>
  <c r="CM29" i="57"/>
  <c r="CM30" i="57"/>
  <c r="CE29" i="57"/>
  <c r="CE30" i="57"/>
  <c r="BW29" i="57"/>
  <c r="BW30" i="57"/>
  <c r="BK29" i="57"/>
  <c r="BK30" i="57"/>
  <c r="BC29" i="57"/>
  <c r="BC30" i="57"/>
  <c r="AU29" i="57"/>
  <c r="AU30" i="57"/>
  <c r="AM29" i="57"/>
  <c r="AM30" i="57"/>
  <c r="AE29" i="57"/>
  <c r="AE30" i="57"/>
  <c r="EQ29" i="57"/>
  <c r="EQ30" i="57"/>
  <c r="EJ29" i="57"/>
  <c r="EJ30" i="57"/>
  <c r="EB29" i="57"/>
  <c r="EB30" i="57"/>
  <c r="DT29" i="57"/>
  <c r="DT30" i="57"/>
  <c r="DL29" i="57"/>
  <c r="DL30" i="57"/>
  <c r="DD29" i="57"/>
  <c r="DD30" i="57"/>
  <c r="CV29" i="57"/>
  <c r="CV30" i="57"/>
  <c r="CN29" i="57"/>
  <c r="CN30" i="57"/>
  <c r="CF29" i="57"/>
  <c r="CF30" i="57"/>
  <c r="BX29" i="57"/>
  <c r="BX30" i="57"/>
  <c r="BP29" i="57"/>
  <c r="BP30" i="57"/>
  <c r="BH29" i="57"/>
  <c r="BH30" i="57"/>
  <c r="AZ29" i="57"/>
  <c r="AZ30" i="57"/>
  <c r="AR29" i="57"/>
  <c r="AR30" i="57"/>
  <c r="AJ29" i="57"/>
  <c r="AJ30" i="57"/>
  <c r="EK29" i="57"/>
  <c r="EK30" i="57"/>
  <c r="EC29" i="57"/>
  <c r="EC30" i="57"/>
  <c r="DU29" i="57"/>
  <c r="DU30" i="57"/>
  <c r="DI29" i="57"/>
  <c r="DI30" i="57"/>
  <c r="DA29" i="57"/>
  <c r="DA30" i="57"/>
  <c r="CS29" i="57"/>
  <c r="CS30" i="57"/>
  <c r="CK29" i="57"/>
  <c r="CK30" i="57"/>
  <c r="BY29" i="57"/>
  <c r="BY30" i="57"/>
  <c r="BM29" i="57"/>
  <c r="BM30" i="57"/>
  <c r="AW29" i="57"/>
  <c r="AW30" i="57"/>
  <c r="AG29" i="57"/>
  <c r="AG30" i="57"/>
  <c r="EM29" i="57"/>
  <c r="EM30" i="57"/>
  <c r="EE29" i="57"/>
  <c r="EE30" i="57"/>
  <c r="DW29" i="57"/>
  <c r="DW30" i="57"/>
  <c r="DO29" i="57"/>
  <c r="DO30" i="57"/>
  <c r="DG29" i="57"/>
  <c r="DG30" i="57"/>
  <c r="CY29" i="57"/>
  <c r="CY30" i="57"/>
  <c r="CQ29" i="57"/>
  <c r="CQ30" i="57"/>
  <c r="CI29" i="57"/>
  <c r="CI30" i="57"/>
  <c r="CA29" i="57"/>
  <c r="CA30" i="57"/>
  <c r="BO29" i="57"/>
  <c r="BO30" i="57"/>
  <c r="BG29" i="57"/>
  <c r="BG30" i="57"/>
  <c r="AY29" i="57"/>
  <c r="AY30" i="57"/>
  <c r="AQ29" i="57"/>
  <c r="AQ30" i="57"/>
  <c r="AI29" i="57"/>
  <c r="AI30" i="57"/>
  <c r="EN29" i="57"/>
  <c r="EN30" i="57"/>
  <c r="EF29" i="57"/>
  <c r="EF30" i="57"/>
  <c r="DX29" i="57"/>
  <c r="DX30" i="57"/>
  <c r="DP29" i="57"/>
  <c r="DP30" i="57"/>
  <c r="DH29" i="57"/>
  <c r="DH30" i="57"/>
  <c r="CZ29" i="57"/>
  <c r="CZ30" i="57"/>
  <c r="CR29" i="57"/>
  <c r="CR30" i="57"/>
  <c r="CJ29" i="57"/>
  <c r="CJ30" i="57"/>
  <c r="CB29" i="57"/>
  <c r="CB30" i="57"/>
  <c r="BT29" i="57"/>
  <c r="BT30" i="57"/>
  <c r="BL29" i="57"/>
  <c r="BL30" i="57"/>
  <c r="BD29" i="57"/>
  <c r="BD30" i="57"/>
  <c r="AV29" i="57"/>
  <c r="AV30" i="57"/>
  <c r="AN29" i="57"/>
  <c r="AN30" i="57"/>
  <c r="AF29" i="57"/>
  <c r="AF30" i="57"/>
  <c r="EO29" i="57"/>
  <c r="EO30" i="57"/>
  <c r="EG29" i="57"/>
  <c r="EG30" i="57"/>
  <c r="DY29" i="57"/>
  <c r="DY30" i="57"/>
  <c r="DQ29" i="57"/>
  <c r="DQ30" i="57"/>
  <c r="DE29" i="57"/>
  <c r="DE30" i="57"/>
  <c r="CW29" i="57"/>
  <c r="CW30" i="57"/>
  <c r="CO29" i="57"/>
  <c r="CO30" i="57"/>
  <c r="CC29" i="57"/>
  <c r="CC30" i="57"/>
  <c r="BU29" i="57"/>
  <c r="BU30" i="57"/>
  <c r="BE29" i="57"/>
  <c r="BE30" i="57"/>
  <c r="AO29" i="57"/>
  <c r="AO30" i="57"/>
  <c r="V7" i="57"/>
  <c r="X6" i="57"/>
  <c r="V12" i="57"/>
  <c r="X100" i="57"/>
  <c r="X98" i="57"/>
  <c r="X86" i="57"/>
  <c r="X11" i="57"/>
  <c r="X20" i="57"/>
  <c r="Y10" i="57"/>
  <c r="W79" i="57"/>
  <c r="W34" i="57"/>
  <c r="W33" i="57"/>
  <c r="W12" i="57"/>
  <c r="W14" i="57"/>
  <c r="CQ29" i="32"/>
  <c r="CQ30" i="32"/>
  <c r="DV29" i="32"/>
  <c r="DV30" i="32"/>
  <c r="BB29" i="32"/>
  <c r="BB30" i="32"/>
  <c r="CD29" i="32"/>
  <c r="CD30" i="32"/>
  <c r="DD29" i="32"/>
  <c r="DD30" i="32"/>
  <c r="DU29" i="32"/>
  <c r="DU30" i="32"/>
  <c r="CS29" i="32"/>
  <c r="CS30" i="32"/>
  <c r="EH29" i="32"/>
  <c r="EH30" i="32"/>
  <c r="AZ29" i="32"/>
  <c r="AZ30" i="32"/>
  <c r="BR29" i="32"/>
  <c r="BR30" i="32"/>
  <c r="CZ29" i="32"/>
  <c r="CZ30" i="32"/>
  <c r="EG29" i="32"/>
  <c r="EG30" i="32"/>
  <c r="BC29" i="32"/>
  <c r="BC30" i="32"/>
  <c r="CN29" i="32"/>
  <c r="CN30" i="32"/>
  <c r="CL29" i="32"/>
  <c r="CL30" i="32"/>
  <c r="DJ29" i="32"/>
  <c r="DJ30" i="32"/>
  <c r="BX29" i="32"/>
  <c r="BX30" i="32"/>
  <c r="AY29" i="32"/>
  <c r="AY30" i="32"/>
  <c r="CG29" i="32"/>
  <c r="CG30" i="32"/>
  <c r="BV29" i="32"/>
  <c r="BV30" i="32"/>
  <c r="BS29" i="32"/>
  <c r="BS30" i="32"/>
  <c r="CK29" i="32"/>
  <c r="CK30" i="32"/>
  <c r="DR29" i="32"/>
  <c r="DR30" i="32"/>
  <c r="DT29" i="32"/>
  <c r="DT30" i="32"/>
  <c r="DO29" i="32"/>
  <c r="DO30" i="32"/>
  <c r="CU29" i="32"/>
  <c r="CU30" i="32"/>
  <c r="DH29" i="32"/>
  <c r="DH30" i="32"/>
  <c r="EI29" i="32"/>
  <c r="EI30" i="32"/>
  <c r="CM29" i="32"/>
  <c r="CM30" i="32"/>
  <c r="DM29" i="32"/>
  <c r="DM30" i="32"/>
  <c r="AD29" i="32"/>
  <c r="AD30" i="32"/>
  <c r="AJ29" i="32"/>
  <c r="AJ30" i="32"/>
  <c r="AN29" i="32"/>
  <c r="AN30" i="32"/>
  <c r="AX29" i="32"/>
  <c r="AX30" i="32"/>
  <c r="BF29" i="32"/>
  <c r="BF30" i="32"/>
  <c r="BJ29" i="32"/>
  <c r="BJ30" i="32"/>
  <c r="BN29" i="32"/>
  <c r="BN30" i="32"/>
  <c r="BT29" i="32"/>
  <c r="BT30" i="32"/>
  <c r="CF29" i="32"/>
  <c r="CF30" i="32"/>
  <c r="BI29" i="32"/>
  <c r="BI30" i="32"/>
  <c r="DK29" i="32"/>
  <c r="DK30" i="32"/>
  <c r="BE29" i="32"/>
  <c r="BE30" i="32"/>
  <c r="EF29" i="32"/>
  <c r="EF30" i="32"/>
  <c r="AK29" i="32"/>
  <c r="AK30" i="32"/>
  <c r="DN29" i="32"/>
  <c r="DN30" i="32"/>
  <c r="EB29" i="32"/>
  <c r="EB30" i="32"/>
  <c r="EC29" i="32"/>
  <c r="EC30" i="32"/>
  <c r="BQ29" i="32"/>
  <c r="BQ30" i="32"/>
  <c r="DG29" i="32"/>
  <c r="DG30" i="32"/>
  <c r="DP29" i="32"/>
  <c r="DP30" i="32"/>
  <c r="CI29" i="32"/>
  <c r="CI30" i="32"/>
  <c r="BY29" i="32"/>
  <c r="BY30" i="32"/>
  <c r="CB29" i="32"/>
  <c r="CB30" i="32"/>
  <c r="AO29" i="32"/>
  <c r="AO30" i="32"/>
  <c r="AP29" i="32"/>
  <c r="AP30" i="32"/>
  <c r="AW29" i="32"/>
  <c r="AW30" i="32"/>
  <c r="CX29" i="32"/>
  <c r="CX30" i="32"/>
  <c r="AV29" i="32"/>
  <c r="AV30" i="32"/>
  <c r="EQ29" i="32"/>
  <c r="EQ30" i="32"/>
  <c r="BG29" i="32"/>
  <c r="BG30" i="32"/>
  <c r="CC29" i="32"/>
  <c r="CC30" i="32"/>
  <c r="AQ29" i="32"/>
  <c r="AQ30" i="32"/>
  <c r="BK29" i="32"/>
  <c r="BK30" i="32"/>
  <c r="BZ29" i="32"/>
  <c r="BZ30" i="32"/>
  <c r="DL29" i="32"/>
  <c r="DL30" i="32"/>
  <c r="DB29" i="32"/>
  <c r="DB30" i="32"/>
  <c r="AT29" i="32"/>
  <c r="AT30" i="32"/>
  <c r="AS29" i="32"/>
  <c r="AS30" i="32"/>
  <c r="BD29" i="32"/>
  <c r="BD30" i="32"/>
  <c r="DW29" i="32"/>
  <c r="DW30" i="32"/>
  <c r="CE29" i="32"/>
  <c r="CE30" i="32"/>
  <c r="CW29" i="32"/>
  <c r="CW30" i="32"/>
  <c r="DE29" i="32"/>
  <c r="DE30" i="32"/>
  <c r="CP29" i="32"/>
  <c r="CP30" i="32"/>
  <c r="DS29" i="32"/>
  <c r="DS30" i="32"/>
  <c r="CV29" i="32"/>
  <c r="CV30" i="32"/>
  <c r="AE29" i="32"/>
  <c r="AE30" i="32"/>
  <c r="AU29" i="32"/>
  <c r="AU30" i="32"/>
  <c r="AM29" i="32"/>
  <c r="AM30" i="32"/>
  <c r="EL29" i="32"/>
  <c r="EL30" i="32"/>
  <c r="ED29" i="32"/>
  <c r="ED30" i="32"/>
  <c r="DX29" i="32"/>
  <c r="DX30" i="32"/>
  <c r="EM29" i="32"/>
  <c r="EM30" i="32"/>
  <c r="DI29" i="32"/>
  <c r="DI30" i="32"/>
  <c r="EJ29" i="32"/>
  <c r="EJ30" i="32"/>
  <c r="CR29" i="32"/>
  <c r="CR30" i="32"/>
  <c r="DF29" i="32"/>
  <c r="DF30" i="32"/>
  <c r="DQ29" i="32"/>
  <c r="DQ30" i="32"/>
  <c r="AF29" i="32"/>
  <c r="AF30" i="32"/>
  <c r="AL29" i="32"/>
  <c r="AL30" i="32"/>
  <c r="AR29" i="32"/>
  <c r="AR30" i="32"/>
  <c r="BH29" i="32"/>
  <c r="BH30" i="32"/>
  <c r="BL29" i="32"/>
  <c r="BL30" i="32"/>
  <c r="BP29" i="32"/>
  <c r="BP30" i="32"/>
  <c r="BW29" i="32"/>
  <c r="BW30" i="32"/>
  <c r="CY29" i="32"/>
  <c r="CY30" i="32"/>
  <c r="BA29" i="32"/>
  <c r="BA30" i="32"/>
  <c r="EA29" i="32"/>
  <c r="EA30" i="32"/>
  <c r="CO29" i="32"/>
  <c r="CO30" i="32"/>
  <c r="DA29" i="32"/>
  <c r="DA30" i="32"/>
  <c r="DY29" i="32"/>
  <c r="DY30" i="32"/>
  <c r="CA29" i="32"/>
  <c r="CA30" i="32"/>
  <c r="DC29" i="32"/>
  <c r="DC30" i="32"/>
  <c r="EE29" i="32"/>
  <c r="EE30" i="32"/>
  <c r="CH29" i="32"/>
  <c r="CH30" i="32"/>
  <c r="AH29" i="32"/>
  <c r="AH30" i="32"/>
  <c r="CJ29" i="32"/>
  <c r="CJ30" i="32"/>
  <c r="EO29" i="32"/>
  <c r="EO30" i="32"/>
  <c r="AG29" i="32"/>
  <c r="AG30" i="32"/>
  <c r="DZ29" i="32"/>
  <c r="DZ30" i="32"/>
  <c r="BO29" i="32"/>
  <c r="BO30" i="32"/>
  <c r="EN29" i="32"/>
  <c r="EN30" i="32"/>
  <c r="BM29" i="32"/>
  <c r="BM30" i="32"/>
  <c r="BU29" i="32"/>
  <c r="BU30" i="32"/>
  <c r="AI29" i="32"/>
  <c r="AI30" i="32"/>
  <c r="AC29" i="32"/>
  <c r="AC30" i="32"/>
  <c r="CT29" i="32"/>
  <c r="CT30" i="32"/>
  <c r="EP29" i="32"/>
  <c r="EP30" i="32"/>
  <c r="EK29" i="32"/>
  <c r="EK30" i="32"/>
  <c r="G78" i="2"/>
  <c r="M78" i="2"/>
  <c r="L78" i="2"/>
  <c r="I78" i="2"/>
  <c r="K78" i="2"/>
  <c r="J78" i="2"/>
  <c r="H78" i="2"/>
  <c r="O77" i="2"/>
  <c r="O78" i="2"/>
  <c r="F78" i="2"/>
  <c r="N77" i="2"/>
  <c r="N78" i="2"/>
  <c r="D78" i="2"/>
  <c r="D41" i="51"/>
  <c r="G41" i="51"/>
  <c r="D42" i="51"/>
  <c r="G42" i="51"/>
  <c r="D43" i="51"/>
  <c r="G43" i="51"/>
  <c r="D44" i="51"/>
  <c r="G44" i="51"/>
  <c r="D45" i="51"/>
  <c r="G45" i="51"/>
  <c r="D46" i="51"/>
  <c r="G46" i="51"/>
  <c r="D47" i="51"/>
  <c r="G47" i="51"/>
  <c r="D48" i="51"/>
  <c r="G48" i="51"/>
  <c r="D49" i="51"/>
  <c r="G49" i="51"/>
  <c r="D50" i="51"/>
  <c r="G50" i="51"/>
  <c r="D51" i="51"/>
  <c r="G51" i="51"/>
  <c r="D52" i="51"/>
  <c r="G52" i="51"/>
  <c r="H6" i="51"/>
  <c r="T7" i="32"/>
  <c r="H32" i="36"/>
  <c r="V9" i="32"/>
  <c r="K65" i="40"/>
  <c r="V14" i="32"/>
  <c r="V34" i="32"/>
  <c r="V33" i="32"/>
  <c r="B10" i="32"/>
  <c r="AA3" i="38"/>
  <c r="G33" i="36"/>
  <c r="G34" i="36"/>
  <c r="V106" i="32"/>
  <c r="W103" i="32"/>
  <c r="W105" i="32"/>
  <c r="W106" i="32"/>
  <c r="W91" i="32"/>
  <c r="M66" i="40"/>
  <c r="O10" i="40"/>
  <c r="P9" i="40"/>
  <c r="N14" i="40"/>
  <c r="T24" i="32"/>
  <c r="T25" i="32"/>
  <c r="T24" i="57"/>
  <c r="O14" i="40"/>
  <c r="O66" i="40"/>
  <c r="C30" i="57"/>
  <c r="Y100" i="57"/>
  <c r="Y101" i="57"/>
  <c r="Y98" i="57"/>
  <c r="Y86" i="57"/>
  <c r="Y20" i="57"/>
  <c r="Z10" i="57"/>
  <c r="Y11" i="57"/>
  <c r="X79" i="57"/>
  <c r="X34" i="57"/>
  <c r="X33" i="57"/>
  <c r="X14" i="57"/>
  <c r="X12" i="57"/>
  <c r="Y6" i="57"/>
  <c r="W7" i="57"/>
  <c r="X101" i="57"/>
  <c r="AB36" i="38"/>
  <c r="R20" i="2"/>
  <c r="P77" i="2"/>
  <c r="E78" i="2"/>
  <c r="P78" i="2"/>
  <c r="C30" i="32"/>
  <c r="H7" i="51"/>
  <c r="D53" i="51"/>
  <c r="G53" i="51"/>
  <c r="D54" i="51"/>
  <c r="G54" i="51"/>
  <c r="D55" i="51"/>
  <c r="G55" i="51"/>
  <c r="D56" i="51"/>
  <c r="G56" i="51"/>
  <c r="D57" i="51"/>
  <c r="G57" i="51"/>
  <c r="D58" i="51"/>
  <c r="G58" i="51"/>
  <c r="D59" i="51"/>
  <c r="G59" i="51"/>
  <c r="D60" i="51"/>
  <c r="G60" i="51"/>
  <c r="D61" i="51"/>
  <c r="G61" i="51"/>
  <c r="D62" i="51"/>
  <c r="G62" i="51"/>
  <c r="D63" i="51"/>
  <c r="G63" i="51"/>
  <c r="D64" i="51"/>
  <c r="G64" i="51"/>
  <c r="U7" i="32"/>
  <c r="X103" i="32"/>
  <c r="X105" i="32"/>
  <c r="X106" i="32"/>
  <c r="X91" i="32"/>
  <c r="H34" i="36"/>
  <c r="H33" i="36"/>
  <c r="W33" i="32"/>
  <c r="W14" i="32"/>
  <c r="W34" i="32"/>
  <c r="B11" i="32"/>
  <c r="AB3" i="38"/>
  <c r="L65" i="40"/>
  <c r="W9" i="32"/>
  <c r="I32" i="36"/>
  <c r="N66" i="40"/>
  <c r="P10" i="40"/>
  <c r="P14" i="40"/>
  <c r="P66" i="40"/>
  <c r="U24" i="32"/>
  <c r="U25" i="32"/>
  <c r="U24" i="57"/>
  <c r="U25" i="57"/>
  <c r="T25" i="57"/>
  <c r="Z6" i="57"/>
  <c r="X7" i="57"/>
  <c r="Z100" i="57"/>
  <c r="Z98" i="57"/>
  <c r="Z86" i="57"/>
  <c r="Z11" i="57"/>
  <c r="Z20" i="57"/>
  <c r="AA10" i="57"/>
  <c r="Y79" i="57"/>
  <c r="Y34" i="57"/>
  <c r="Y33" i="57"/>
  <c r="Y12" i="57"/>
  <c r="Y14" i="57"/>
  <c r="AD36" i="38"/>
  <c r="R22" i="2"/>
  <c r="AC36" i="38"/>
  <c r="D65" i="51"/>
  <c r="G65" i="51"/>
  <c r="D66" i="51"/>
  <c r="G66" i="51"/>
  <c r="D67" i="51"/>
  <c r="G67" i="51"/>
  <c r="D68" i="51"/>
  <c r="G68" i="51"/>
  <c r="D69" i="51"/>
  <c r="G69" i="51"/>
  <c r="D70" i="51"/>
  <c r="G70" i="51"/>
  <c r="D71" i="51"/>
  <c r="G71" i="51"/>
  <c r="D72" i="51"/>
  <c r="G72" i="51"/>
  <c r="D73" i="51"/>
  <c r="G73" i="51"/>
  <c r="D74" i="51"/>
  <c r="G74" i="51"/>
  <c r="D75" i="51"/>
  <c r="G75" i="51"/>
  <c r="D76" i="51"/>
  <c r="G76" i="51"/>
  <c r="R51" i="2"/>
  <c r="H8" i="51"/>
  <c r="V7" i="32"/>
  <c r="I33" i="36"/>
  <c r="I34" i="36"/>
  <c r="X34" i="32"/>
  <c r="X33" i="32"/>
  <c r="X14" i="32"/>
  <c r="Y103" i="32"/>
  <c r="Y91" i="32"/>
  <c r="Y105" i="32"/>
  <c r="J32" i="36"/>
  <c r="X9" i="32"/>
  <c r="M65" i="40"/>
  <c r="M62" i="40"/>
  <c r="AC3" i="38"/>
  <c r="B12" i="32"/>
  <c r="V24" i="32"/>
  <c r="V25" i="32"/>
  <c r="V24" i="57"/>
  <c r="AA100" i="57"/>
  <c r="AA101" i="57"/>
  <c r="AA98" i="57"/>
  <c r="AA86" i="57"/>
  <c r="AA20" i="57"/>
  <c r="AB10" i="57"/>
  <c r="AA11" i="57"/>
  <c r="Z79" i="57"/>
  <c r="Z14" i="57"/>
  <c r="Z34" i="57"/>
  <c r="Z33" i="57"/>
  <c r="Z12" i="57"/>
  <c r="Y7" i="57"/>
  <c r="AA6" i="57"/>
  <c r="Z101" i="57"/>
  <c r="R21" i="2"/>
  <c r="R24" i="2"/>
  <c r="AE36" i="38"/>
  <c r="H9" i="51"/>
  <c r="D77" i="51"/>
  <c r="G77" i="51"/>
  <c r="D78" i="51"/>
  <c r="G78" i="51"/>
  <c r="D79" i="51"/>
  <c r="G79" i="51"/>
  <c r="D80" i="51"/>
  <c r="G80" i="51"/>
  <c r="D81" i="51"/>
  <c r="G81" i="51"/>
  <c r="D82" i="51"/>
  <c r="G82" i="51"/>
  <c r="D83" i="51"/>
  <c r="G83" i="51"/>
  <c r="D84" i="51"/>
  <c r="G84" i="51"/>
  <c r="D85" i="51"/>
  <c r="G85" i="51"/>
  <c r="D86" i="51"/>
  <c r="G86" i="51"/>
  <c r="D87" i="51"/>
  <c r="G87" i="51"/>
  <c r="D88" i="51"/>
  <c r="G88" i="51"/>
  <c r="W7" i="32"/>
  <c r="K32" i="36"/>
  <c r="Y9" i="32"/>
  <c r="Y34" i="32"/>
  <c r="Y14" i="32"/>
  <c r="Y33" i="32"/>
  <c r="O22" i="2"/>
  <c r="AD3" i="38"/>
  <c r="B13" i="32"/>
  <c r="N72" i="2"/>
  <c r="N62" i="40"/>
  <c r="N65" i="40"/>
  <c r="J34" i="36"/>
  <c r="J33" i="36"/>
  <c r="Y106" i="32"/>
  <c r="Z91" i="32"/>
  <c r="Z105" i="32"/>
  <c r="Z106" i="32"/>
  <c r="Z20" i="32"/>
  <c r="Z103" i="32"/>
  <c r="W24" i="32"/>
  <c r="W25" i="32"/>
  <c r="W24" i="57"/>
  <c r="W25" i="57"/>
  <c r="V25" i="57"/>
  <c r="Z7" i="57"/>
  <c r="AB6" i="57"/>
  <c r="AB100" i="57"/>
  <c r="AB101" i="57"/>
  <c r="AB98" i="57"/>
  <c r="AB86" i="57"/>
  <c r="AB11" i="57"/>
  <c r="AB20" i="57"/>
  <c r="AC10" i="57"/>
  <c r="AA79" i="57"/>
  <c r="AA34" i="57"/>
  <c r="AA33" i="57"/>
  <c r="AA12" i="57"/>
  <c r="AA14" i="57"/>
  <c r="H10" i="51"/>
  <c r="D89" i="51"/>
  <c r="G89" i="51"/>
  <c r="D90" i="51"/>
  <c r="G90" i="51"/>
  <c r="D91" i="51"/>
  <c r="G91" i="51"/>
  <c r="D92" i="51"/>
  <c r="G92" i="51"/>
  <c r="D93" i="51"/>
  <c r="G93" i="51"/>
  <c r="D94" i="51"/>
  <c r="G94" i="51"/>
  <c r="D95" i="51"/>
  <c r="G95" i="51"/>
  <c r="D96" i="51"/>
  <c r="G96" i="51"/>
  <c r="D97" i="51"/>
  <c r="G97" i="51"/>
  <c r="D98" i="51"/>
  <c r="G98" i="51"/>
  <c r="D99" i="51"/>
  <c r="G99" i="51"/>
  <c r="D100" i="51"/>
  <c r="G100" i="51"/>
  <c r="X7" i="32"/>
  <c r="Z34" i="32"/>
  <c r="Z14" i="32"/>
  <c r="Z33" i="32"/>
  <c r="O72" i="2"/>
  <c r="B14" i="32"/>
  <c r="O23" i="2"/>
  <c r="O24" i="2"/>
  <c r="K33" i="36"/>
  <c r="K34" i="36"/>
  <c r="AA91" i="32"/>
  <c r="AA20" i="32"/>
  <c r="AA103" i="32"/>
  <c r="AA105" i="32"/>
  <c r="AA106" i="32"/>
  <c r="O65" i="40"/>
  <c r="O62" i="40"/>
  <c r="L32" i="36"/>
  <c r="Z9" i="32"/>
  <c r="X24" i="32"/>
  <c r="X25" i="32"/>
  <c r="X24" i="57"/>
  <c r="AC100" i="57"/>
  <c r="AC101" i="57"/>
  <c r="AC98" i="57"/>
  <c r="AC86" i="57"/>
  <c r="AC20" i="57"/>
  <c r="AD10" i="57"/>
  <c r="AC11" i="57"/>
  <c r="AC6" i="57"/>
  <c r="AA7" i="57"/>
  <c r="AB79" i="57"/>
  <c r="AB34" i="57"/>
  <c r="AB33" i="57"/>
  <c r="AB14" i="57"/>
  <c r="AB12" i="57"/>
  <c r="D101" i="51"/>
  <c r="G101" i="51"/>
  <c r="D102" i="51"/>
  <c r="G102" i="51"/>
  <c r="D103" i="51"/>
  <c r="G103" i="51"/>
  <c r="D104" i="51"/>
  <c r="G104" i="51"/>
  <c r="D105" i="51"/>
  <c r="G105" i="51"/>
  <c r="D106" i="51"/>
  <c r="G106" i="51"/>
  <c r="D107" i="51"/>
  <c r="G107" i="51"/>
  <c r="D108" i="51"/>
  <c r="G108" i="51"/>
  <c r="D109" i="51"/>
  <c r="G109" i="51"/>
  <c r="D110" i="51"/>
  <c r="G110" i="51"/>
  <c r="D111" i="51"/>
  <c r="G111" i="51"/>
  <c r="D112" i="51"/>
  <c r="G112" i="51"/>
  <c r="H11" i="51"/>
  <c r="Y7" i="32"/>
  <c r="L33" i="36"/>
  <c r="L34" i="36"/>
  <c r="P62" i="40"/>
  <c r="P65" i="40"/>
  <c r="AB20" i="32"/>
  <c r="AB103" i="32"/>
  <c r="AB105" i="32"/>
  <c r="AB106" i="32"/>
  <c r="AB91" i="32"/>
  <c r="M32" i="36"/>
  <c r="AA9" i="32"/>
  <c r="AA34" i="32"/>
  <c r="AA33" i="32"/>
  <c r="AA14" i="32"/>
  <c r="Y24" i="32"/>
  <c r="Y25" i="32"/>
  <c r="Y24" i="57"/>
  <c r="Y25" i="57"/>
  <c r="X25" i="57"/>
  <c r="AD6" i="57"/>
  <c r="AB7" i="57"/>
  <c r="AD100" i="57"/>
  <c r="AD101" i="57"/>
  <c r="AD98" i="57"/>
  <c r="AD86" i="57"/>
  <c r="AD11" i="57"/>
  <c r="AD20" i="57"/>
  <c r="AE10" i="57"/>
  <c r="AC79" i="57"/>
  <c r="AC34" i="57"/>
  <c r="AC33" i="57"/>
  <c r="AC12" i="57"/>
  <c r="AC14" i="57"/>
  <c r="H12" i="51"/>
  <c r="D113" i="51"/>
  <c r="G113" i="51"/>
  <c r="D114" i="51"/>
  <c r="G114" i="51"/>
  <c r="D115" i="51"/>
  <c r="G115" i="51"/>
  <c r="D116" i="51"/>
  <c r="G116" i="51"/>
  <c r="D117" i="51"/>
  <c r="G117" i="51"/>
  <c r="D118" i="51"/>
  <c r="G118" i="51"/>
  <c r="D119" i="51"/>
  <c r="G119" i="51"/>
  <c r="D120" i="51"/>
  <c r="G120" i="51"/>
  <c r="D121" i="51"/>
  <c r="G121" i="51"/>
  <c r="D122" i="51"/>
  <c r="G122" i="51"/>
  <c r="D123" i="51"/>
  <c r="G123" i="51"/>
  <c r="D124" i="51"/>
  <c r="G124" i="51"/>
  <c r="Z7" i="32"/>
  <c r="M34" i="36"/>
  <c r="M33" i="36"/>
  <c r="N32" i="36"/>
  <c r="AB9" i="32"/>
  <c r="AC91" i="32"/>
  <c r="AC20" i="32"/>
  <c r="AC103" i="32"/>
  <c r="AC105" i="32"/>
  <c r="AC106" i="32"/>
  <c r="AB34" i="32"/>
  <c r="AB14" i="32"/>
  <c r="Z24" i="32"/>
  <c r="Z25" i="32"/>
  <c r="Z24" i="57"/>
  <c r="Z25" i="57"/>
  <c r="AE100" i="57"/>
  <c r="AE101" i="57"/>
  <c r="AE98" i="57"/>
  <c r="AE86" i="57"/>
  <c r="AE20" i="57"/>
  <c r="AF10" i="57"/>
  <c r="AE11" i="57"/>
  <c r="AD79" i="57"/>
  <c r="AD14" i="57"/>
  <c r="AD34" i="57"/>
  <c r="AD33" i="57"/>
  <c r="AD12" i="57"/>
  <c r="AC7" i="57"/>
  <c r="AE6" i="57"/>
  <c r="D125" i="51"/>
  <c r="G125" i="51"/>
  <c r="D126" i="51"/>
  <c r="G126" i="51"/>
  <c r="D127" i="51"/>
  <c r="G127" i="51"/>
  <c r="D128" i="51"/>
  <c r="G128" i="51"/>
  <c r="D129" i="51"/>
  <c r="G129" i="51"/>
  <c r="D130" i="51"/>
  <c r="G130" i="51"/>
  <c r="D131" i="51"/>
  <c r="G131" i="51"/>
  <c r="D132" i="51"/>
  <c r="G132" i="51"/>
  <c r="D133" i="51"/>
  <c r="G133" i="51"/>
  <c r="D134" i="51"/>
  <c r="G134" i="51"/>
  <c r="D135" i="51"/>
  <c r="G135" i="51"/>
  <c r="D136" i="51"/>
  <c r="G136" i="51"/>
  <c r="H13" i="51"/>
  <c r="AA7" i="32"/>
  <c r="AC14" i="32"/>
  <c r="AC34" i="32"/>
  <c r="N34" i="36"/>
  <c r="N33" i="36"/>
  <c r="AD105" i="32"/>
  <c r="AD106" i="32"/>
  <c r="AD20" i="32"/>
  <c r="AD103" i="32"/>
  <c r="AD91" i="32"/>
  <c r="O32" i="36"/>
  <c r="AC9" i="32"/>
  <c r="AA24" i="32"/>
  <c r="AA25" i="32"/>
  <c r="AA24" i="57"/>
  <c r="AA25" i="57"/>
  <c r="AD7" i="57"/>
  <c r="AF6" i="57"/>
  <c r="AF100" i="57"/>
  <c r="AF101" i="57"/>
  <c r="AF98" i="57"/>
  <c r="AF86" i="57"/>
  <c r="AF11" i="57"/>
  <c r="AF20" i="57"/>
  <c r="AG10" i="57"/>
  <c r="AE79" i="57"/>
  <c r="AE34" i="57"/>
  <c r="AE33" i="57"/>
  <c r="AE12" i="57"/>
  <c r="AE14" i="57"/>
  <c r="D137" i="51"/>
  <c r="G137" i="51"/>
  <c r="D138" i="51"/>
  <c r="G138" i="51"/>
  <c r="D139" i="51"/>
  <c r="G139" i="51"/>
  <c r="D140" i="51"/>
  <c r="G140" i="51"/>
  <c r="D141" i="51"/>
  <c r="G141" i="51"/>
  <c r="D142" i="51"/>
  <c r="G142" i="51"/>
  <c r="D143" i="51"/>
  <c r="G143" i="51"/>
  <c r="D144" i="51"/>
  <c r="G144" i="51"/>
  <c r="D145" i="51"/>
  <c r="G145" i="51"/>
  <c r="D146" i="51"/>
  <c r="G146" i="51"/>
  <c r="D147" i="51"/>
  <c r="G147" i="51"/>
  <c r="D148" i="51"/>
  <c r="G148" i="51"/>
  <c r="H14" i="51"/>
  <c r="AB7" i="32"/>
  <c r="AD9" i="32"/>
  <c r="P32" i="36"/>
  <c r="AD34" i="32"/>
  <c r="AD14" i="32"/>
  <c r="O33" i="36"/>
  <c r="O34" i="36"/>
  <c r="AE20" i="32"/>
  <c r="AE103" i="32"/>
  <c r="AE91" i="32"/>
  <c r="AE105" i="32"/>
  <c r="AE106" i="32"/>
  <c r="AB24" i="32"/>
  <c r="AB25" i="32"/>
  <c r="AB24" i="57"/>
  <c r="AB25" i="57"/>
  <c r="AF79" i="57"/>
  <c r="AF34" i="57"/>
  <c r="AF33" i="57"/>
  <c r="AF14" i="57"/>
  <c r="AF12" i="57"/>
  <c r="AG100" i="57"/>
  <c r="AG101" i="57"/>
  <c r="AG98" i="57"/>
  <c r="AG86" i="57"/>
  <c r="AG20" i="57"/>
  <c r="AH10" i="57"/>
  <c r="AG11" i="57"/>
  <c r="AG6" i="57"/>
  <c r="AE7" i="57"/>
  <c r="H15" i="51"/>
  <c r="D149" i="51"/>
  <c r="G149" i="51"/>
  <c r="D150" i="51"/>
  <c r="G150" i="51"/>
  <c r="D151" i="51"/>
  <c r="G151" i="51"/>
  <c r="D152" i="51"/>
  <c r="G152" i="51"/>
  <c r="D153" i="51"/>
  <c r="G153" i="51"/>
  <c r="D154" i="51"/>
  <c r="G154" i="51"/>
  <c r="D155" i="51"/>
  <c r="G155" i="51"/>
  <c r="D156" i="51"/>
  <c r="G156" i="51"/>
  <c r="D157" i="51"/>
  <c r="G157" i="51"/>
  <c r="D158" i="51"/>
  <c r="G158" i="51"/>
  <c r="D159" i="51"/>
  <c r="G159" i="51"/>
  <c r="D160" i="51"/>
  <c r="G160" i="51"/>
  <c r="AC7" i="32"/>
  <c r="AE34" i="32"/>
  <c r="AE14" i="32"/>
  <c r="AE9" i="32"/>
  <c r="Q32" i="36"/>
  <c r="AF91" i="32"/>
  <c r="AF20" i="32"/>
  <c r="AF105" i="32"/>
  <c r="AF106" i="32"/>
  <c r="AF103" i="32"/>
  <c r="P34" i="36"/>
  <c r="P33" i="36"/>
  <c r="AC24" i="32"/>
  <c r="AC25" i="32"/>
  <c r="AC24" i="57"/>
  <c r="AC25" i="57"/>
  <c r="AH6" i="57"/>
  <c r="AF7" i="57"/>
  <c r="AG79" i="57"/>
  <c r="AG34" i="57"/>
  <c r="AG33" i="57"/>
  <c r="AG12" i="57"/>
  <c r="AG14" i="57"/>
  <c r="AH100" i="57"/>
  <c r="AH101" i="57"/>
  <c r="AH98" i="57"/>
  <c r="AH86" i="57"/>
  <c r="AH11" i="57"/>
  <c r="AH20" i="57"/>
  <c r="AI10" i="57"/>
  <c r="D161" i="51"/>
  <c r="G161" i="51"/>
  <c r="D162" i="51"/>
  <c r="G162" i="51"/>
  <c r="D163" i="51"/>
  <c r="G163" i="51"/>
  <c r="D164" i="51"/>
  <c r="G164" i="51"/>
  <c r="D165" i="51"/>
  <c r="G165" i="51"/>
  <c r="D166" i="51"/>
  <c r="G166" i="51"/>
  <c r="D167" i="51"/>
  <c r="G167" i="51"/>
  <c r="D168" i="51"/>
  <c r="G168" i="51"/>
  <c r="D169" i="51"/>
  <c r="G169" i="51"/>
  <c r="D170" i="51"/>
  <c r="G170" i="51"/>
  <c r="D171" i="51"/>
  <c r="G171" i="51"/>
  <c r="D172" i="51"/>
  <c r="G172" i="51"/>
  <c r="H16" i="51"/>
  <c r="AD7" i="32"/>
  <c r="AG105" i="32"/>
  <c r="AG106" i="32"/>
  <c r="AG20" i="32"/>
  <c r="AG91" i="32"/>
  <c r="AG103" i="32"/>
  <c r="AF9" i="32"/>
  <c r="R32" i="36"/>
  <c r="AF14" i="32"/>
  <c r="AF34" i="32"/>
  <c r="Q34" i="36"/>
  <c r="Q33" i="36"/>
  <c r="AD24" i="32"/>
  <c r="AD25" i="32"/>
  <c r="AD24" i="57"/>
  <c r="AD25" i="57"/>
  <c r="AI100" i="57"/>
  <c r="AI101" i="57"/>
  <c r="AI98" i="57"/>
  <c r="AI86" i="57"/>
  <c r="AI20" i="57"/>
  <c r="AJ10" i="57"/>
  <c r="AI11" i="57"/>
  <c r="AH79" i="57"/>
  <c r="AH14" i="57"/>
  <c r="AH34" i="57"/>
  <c r="AH33" i="57"/>
  <c r="AH12" i="57"/>
  <c r="AG7" i="57"/>
  <c r="AI6" i="57"/>
  <c r="D173" i="51"/>
  <c r="G173" i="51"/>
  <c r="D174" i="51"/>
  <c r="G174" i="51"/>
  <c r="D175" i="51"/>
  <c r="G175" i="51"/>
  <c r="D176" i="51"/>
  <c r="G176" i="51"/>
  <c r="D177" i="51"/>
  <c r="G177" i="51"/>
  <c r="D178" i="51"/>
  <c r="G178" i="51"/>
  <c r="D179" i="51"/>
  <c r="G179" i="51"/>
  <c r="D180" i="51"/>
  <c r="G180" i="51"/>
  <c r="D181" i="51"/>
  <c r="G181" i="51"/>
  <c r="D182" i="51"/>
  <c r="G182" i="51"/>
  <c r="D183" i="51"/>
  <c r="G183" i="51"/>
  <c r="D184" i="51"/>
  <c r="G184" i="51"/>
  <c r="H17" i="51"/>
  <c r="AE7" i="32"/>
  <c r="R33" i="36"/>
  <c r="R34" i="36"/>
  <c r="AH105" i="32"/>
  <c r="AH106" i="32"/>
  <c r="AH103" i="32"/>
  <c r="AH91" i="32"/>
  <c r="AH20" i="32"/>
  <c r="AG14" i="32"/>
  <c r="AG34" i="32"/>
  <c r="AG9" i="32"/>
  <c r="S32" i="36"/>
  <c r="AE24" i="32"/>
  <c r="AE25" i="32"/>
  <c r="AE24" i="57"/>
  <c r="AE25" i="57"/>
  <c r="AH7" i="57"/>
  <c r="AJ6" i="57"/>
  <c r="AJ100" i="57"/>
  <c r="AJ101" i="57"/>
  <c r="AJ98" i="57"/>
  <c r="AJ86" i="57"/>
  <c r="AJ11" i="57"/>
  <c r="AJ20" i="57"/>
  <c r="AK10" i="57"/>
  <c r="AI79" i="57"/>
  <c r="AI34" i="57"/>
  <c r="AI33" i="57"/>
  <c r="AI12" i="57"/>
  <c r="AI14" i="57"/>
  <c r="D185" i="51"/>
  <c r="G185" i="51"/>
  <c r="D186" i="51"/>
  <c r="G186" i="51"/>
  <c r="D187" i="51"/>
  <c r="G187" i="51"/>
  <c r="D188" i="51"/>
  <c r="G188" i="51"/>
  <c r="D189" i="51"/>
  <c r="G189" i="51"/>
  <c r="D190" i="51"/>
  <c r="G190" i="51"/>
  <c r="D191" i="51"/>
  <c r="G191" i="51"/>
  <c r="D192" i="51"/>
  <c r="G192" i="51"/>
  <c r="D193" i="51"/>
  <c r="G193" i="51"/>
  <c r="D194" i="51"/>
  <c r="G194" i="51"/>
  <c r="D195" i="51"/>
  <c r="G195" i="51"/>
  <c r="D196" i="51"/>
  <c r="G196" i="51"/>
  <c r="H18" i="51"/>
  <c r="AF7" i="32"/>
  <c r="S33" i="36"/>
  <c r="S34" i="36"/>
  <c r="AH14" i="32"/>
  <c r="AH34" i="32"/>
  <c r="AH9" i="32"/>
  <c r="T32" i="36"/>
  <c r="AI20" i="32"/>
  <c r="AI105" i="32"/>
  <c r="AI106" i="32"/>
  <c r="AI103" i="32"/>
  <c r="AI91" i="32"/>
  <c r="AF24" i="32"/>
  <c r="AF25" i="32"/>
  <c r="AF24" i="57"/>
  <c r="AF25" i="57"/>
  <c r="AJ79" i="57"/>
  <c r="AJ34" i="57"/>
  <c r="AJ33" i="57"/>
  <c r="AJ14" i="57"/>
  <c r="AJ12" i="57"/>
  <c r="AK6" i="57"/>
  <c r="AI7" i="57"/>
  <c r="AK100" i="57"/>
  <c r="AK101" i="57"/>
  <c r="AK98" i="57"/>
  <c r="AK86" i="57"/>
  <c r="AK20" i="57"/>
  <c r="AL10" i="57"/>
  <c r="AK11" i="57"/>
  <c r="H19" i="51"/>
  <c r="D197" i="51"/>
  <c r="G197" i="51"/>
  <c r="D198" i="51"/>
  <c r="G198" i="51"/>
  <c r="D199" i="51"/>
  <c r="G199" i="51"/>
  <c r="D200" i="51"/>
  <c r="G200" i="51"/>
  <c r="D201" i="51"/>
  <c r="G201" i="51"/>
  <c r="D202" i="51"/>
  <c r="G202" i="51"/>
  <c r="D203" i="51"/>
  <c r="G203" i="51"/>
  <c r="D204" i="51"/>
  <c r="G204" i="51"/>
  <c r="D205" i="51"/>
  <c r="G205" i="51"/>
  <c r="D206" i="51"/>
  <c r="G206" i="51"/>
  <c r="D207" i="51"/>
  <c r="G207" i="51"/>
  <c r="D208" i="51"/>
  <c r="G208" i="51"/>
  <c r="AG7" i="32"/>
  <c r="AI14" i="32"/>
  <c r="AI34" i="32"/>
  <c r="AJ20" i="32"/>
  <c r="AJ105" i="32"/>
  <c r="AJ106" i="32"/>
  <c r="AJ91" i="32"/>
  <c r="AJ103" i="32"/>
  <c r="AI9" i="32"/>
  <c r="U32" i="36"/>
  <c r="T33" i="36"/>
  <c r="T34" i="36"/>
  <c r="AG24" i="32"/>
  <c r="AG25" i="32"/>
  <c r="AG24" i="57"/>
  <c r="AG25" i="57"/>
  <c r="AL100" i="57"/>
  <c r="AL101" i="57"/>
  <c r="AL98" i="57"/>
  <c r="AL86" i="57"/>
  <c r="AL11" i="57"/>
  <c r="AL20" i="57"/>
  <c r="AM10" i="57"/>
  <c r="AL6" i="57"/>
  <c r="AJ7" i="57"/>
  <c r="AK79" i="57"/>
  <c r="AK34" i="57"/>
  <c r="AK33" i="57"/>
  <c r="AK12" i="57"/>
  <c r="AK14" i="57"/>
  <c r="D209" i="51"/>
  <c r="G209" i="51"/>
  <c r="D210" i="51"/>
  <c r="G210" i="51"/>
  <c r="D211" i="51"/>
  <c r="G211" i="51"/>
  <c r="D212" i="51"/>
  <c r="G212" i="51"/>
  <c r="D213" i="51"/>
  <c r="G213" i="51"/>
  <c r="D214" i="51"/>
  <c r="G214" i="51"/>
  <c r="D215" i="51"/>
  <c r="G215" i="51"/>
  <c r="D216" i="51"/>
  <c r="G216" i="51"/>
  <c r="D217" i="51"/>
  <c r="G217" i="51"/>
  <c r="D218" i="51"/>
  <c r="G218" i="51"/>
  <c r="D219" i="51"/>
  <c r="G219" i="51"/>
  <c r="D220" i="51"/>
  <c r="G220" i="51"/>
  <c r="H20" i="51"/>
  <c r="AH7" i="32"/>
  <c r="V32" i="36"/>
  <c r="AJ9" i="32"/>
  <c r="U33" i="36"/>
  <c r="U34" i="36"/>
  <c r="AK103" i="32"/>
  <c r="AK20" i="32"/>
  <c r="AK91" i="32"/>
  <c r="AK105" i="32"/>
  <c r="AK106" i="32"/>
  <c r="AJ14" i="32"/>
  <c r="AJ34" i="32"/>
  <c r="AH24" i="32"/>
  <c r="AH25" i="32"/>
  <c r="AH24" i="57"/>
  <c r="AH25" i="57"/>
  <c r="AM100" i="57"/>
  <c r="AM101" i="57"/>
  <c r="AM98" i="57"/>
  <c r="AM86" i="57"/>
  <c r="AM20" i="57"/>
  <c r="AN10" i="57"/>
  <c r="AM11" i="57"/>
  <c r="AL79" i="57"/>
  <c r="AL14" i="57"/>
  <c r="AL34" i="57"/>
  <c r="AL33" i="57"/>
  <c r="AL12" i="57"/>
  <c r="AK7" i="57"/>
  <c r="AM6" i="57"/>
  <c r="D221" i="51"/>
  <c r="G221" i="51"/>
  <c r="D222" i="51"/>
  <c r="G222" i="51"/>
  <c r="D223" i="51"/>
  <c r="G223" i="51"/>
  <c r="D224" i="51"/>
  <c r="G224" i="51"/>
  <c r="D225" i="51"/>
  <c r="G225" i="51"/>
  <c r="D226" i="51"/>
  <c r="G226" i="51"/>
  <c r="D227" i="51"/>
  <c r="G227" i="51"/>
  <c r="D228" i="51"/>
  <c r="G228" i="51"/>
  <c r="D229" i="51"/>
  <c r="G229" i="51"/>
  <c r="D230" i="51"/>
  <c r="G230" i="51"/>
  <c r="D231" i="51"/>
  <c r="G231" i="51"/>
  <c r="D232" i="51"/>
  <c r="G232" i="51"/>
  <c r="H21" i="51"/>
  <c r="AI7" i="32"/>
  <c r="AK34" i="32"/>
  <c r="AK14" i="32"/>
  <c r="V33" i="36"/>
  <c r="V34" i="36"/>
  <c r="AL103" i="32"/>
  <c r="AL105" i="32"/>
  <c r="AL106" i="32"/>
  <c r="AL91" i="32"/>
  <c r="AL20" i="32"/>
  <c r="W32" i="36"/>
  <c r="AK9" i="32"/>
  <c r="AI24" i="32"/>
  <c r="AI25" i="32"/>
  <c r="AI24" i="57"/>
  <c r="AI25" i="57"/>
  <c r="AL7" i="57"/>
  <c r="AN6" i="57"/>
  <c r="AN100" i="57"/>
  <c r="AN101" i="57"/>
  <c r="AN98" i="57"/>
  <c r="AN86" i="57"/>
  <c r="AN11" i="57"/>
  <c r="AN20" i="57"/>
  <c r="AO10" i="57"/>
  <c r="AM79" i="57"/>
  <c r="AM34" i="57"/>
  <c r="AM33" i="57"/>
  <c r="AM12" i="57"/>
  <c r="AM14" i="57"/>
  <c r="D233" i="51"/>
  <c r="G233" i="51"/>
  <c r="D234" i="51"/>
  <c r="G234" i="51"/>
  <c r="D235" i="51"/>
  <c r="G235" i="51"/>
  <c r="D236" i="51"/>
  <c r="G236" i="51"/>
  <c r="D237" i="51"/>
  <c r="G237" i="51"/>
  <c r="D238" i="51"/>
  <c r="G238" i="51"/>
  <c r="D239" i="51"/>
  <c r="G239" i="51"/>
  <c r="D240" i="51"/>
  <c r="G240" i="51"/>
  <c r="D241" i="51"/>
  <c r="G241" i="51"/>
  <c r="D242" i="51"/>
  <c r="G242" i="51"/>
  <c r="D243" i="51"/>
  <c r="G243" i="51"/>
  <c r="D244" i="51"/>
  <c r="G244" i="51"/>
  <c r="H22" i="51"/>
  <c r="AJ7" i="32"/>
  <c r="W33" i="36"/>
  <c r="W34" i="36"/>
  <c r="AM20" i="32"/>
  <c r="AM91" i="32"/>
  <c r="AM105" i="32"/>
  <c r="AM106" i="32"/>
  <c r="AM103" i="32"/>
  <c r="X32" i="36"/>
  <c r="AL9" i="32"/>
  <c r="AL34" i="32"/>
  <c r="AL14" i="32"/>
  <c r="AJ24" i="32"/>
  <c r="AJ25" i="32"/>
  <c r="AJ24" i="57"/>
  <c r="AJ25" i="57"/>
  <c r="AO6" i="57"/>
  <c r="AM7" i="57"/>
  <c r="AO100" i="57"/>
  <c r="AO101" i="57"/>
  <c r="AO98" i="57"/>
  <c r="AO86" i="57"/>
  <c r="AO20" i="57"/>
  <c r="AP10" i="57"/>
  <c r="AO11" i="57"/>
  <c r="AN79" i="57"/>
  <c r="AN34" i="57"/>
  <c r="AN33" i="57"/>
  <c r="AN14" i="57"/>
  <c r="AN12" i="57"/>
  <c r="H23" i="51"/>
  <c r="D245" i="51"/>
  <c r="G245" i="51"/>
  <c r="D246" i="51"/>
  <c r="G246" i="51"/>
  <c r="D247" i="51"/>
  <c r="G247" i="51"/>
  <c r="D248" i="51"/>
  <c r="G248" i="51"/>
  <c r="D249" i="51"/>
  <c r="G249" i="51"/>
  <c r="D250" i="51"/>
  <c r="G250" i="51"/>
  <c r="D251" i="51"/>
  <c r="G251" i="51"/>
  <c r="D252" i="51"/>
  <c r="G252" i="51"/>
  <c r="D253" i="51"/>
  <c r="G253" i="51"/>
  <c r="D254" i="51"/>
  <c r="G254" i="51"/>
  <c r="D255" i="51"/>
  <c r="G255" i="51"/>
  <c r="D256" i="51"/>
  <c r="G256" i="51"/>
  <c r="AK7" i="32"/>
  <c r="X34" i="36"/>
  <c r="X33" i="36"/>
  <c r="Y32" i="36"/>
  <c r="AM9" i="32"/>
  <c r="AN20" i="32"/>
  <c r="AN103" i="32"/>
  <c r="AN91" i="32"/>
  <c r="AN105" i="32"/>
  <c r="AN106" i="32"/>
  <c r="AM14" i="32"/>
  <c r="AM34" i="32"/>
  <c r="AK24" i="32"/>
  <c r="AK25" i="32"/>
  <c r="AK24" i="57"/>
  <c r="AK25" i="57"/>
  <c r="AP100" i="57"/>
  <c r="AP101" i="57"/>
  <c r="AP98" i="57"/>
  <c r="AP86" i="57"/>
  <c r="AP11" i="57"/>
  <c r="AP20" i="57"/>
  <c r="AQ10" i="57"/>
  <c r="AO79" i="57"/>
  <c r="AO34" i="57"/>
  <c r="AO33" i="57"/>
  <c r="AO12" i="57"/>
  <c r="AO14" i="57"/>
  <c r="AP6" i="57"/>
  <c r="AN7" i="57"/>
  <c r="D257" i="51"/>
  <c r="G257" i="51"/>
  <c r="D258" i="51"/>
  <c r="G258" i="51"/>
  <c r="D259" i="51"/>
  <c r="G259" i="51"/>
  <c r="D260" i="51"/>
  <c r="G260" i="51"/>
  <c r="D261" i="51"/>
  <c r="G261" i="51"/>
  <c r="D262" i="51"/>
  <c r="G262" i="51"/>
  <c r="D263" i="51"/>
  <c r="G263" i="51"/>
  <c r="D264" i="51"/>
  <c r="G264" i="51"/>
  <c r="D265" i="51"/>
  <c r="G265" i="51"/>
  <c r="D266" i="51"/>
  <c r="G266" i="51"/>
  <c r="D267" i="51"/>
  <c r="G267" i="51"/>
  <c r="D268" i="51"/>
  <c r="G268" i="51"/>
  <c r="H24" i="51"/>
  <c r="AL7" i="32"/>
  <c r="AN14" i="32"/>
  <c r="AN34" i="32"/>
  <c r="Y34" i="36"/>
  <c r="Y33" i="36"/>
  <c r="AO103" i="32"/>
  <c r="AO105" i="32"/>
  <c r="AO106" i="32"/>
  <c r="AO91" i="32"/>
  <c r="AO20" i="32"/>
  <c r="AN9" i="32"/>
  <c r="Z32" i="36"/>
  <c r="AL24" i="32"/>
  <c r="AL25" i="32"/>
  <c r="AL24" i="57"/>
  <c r="AL25" i="57"/>
  <c r="AO7" i="57"/>
  <c r="AQ6" i="57"/>
  <c r="AQ100" i="57"/>
  <c r="AQ101" i="57"/>
  <c r="AQ98" i="57"/>
  <c r="AQ86" i="57"/>
  <c r="AQ20" i="57"/>
  <c r="AR10" i="57"/>
  <c r="AQ11" i="57"/>
  <c r="AP79" i="57"/>
  <c r="AP14" i="57"/>
  <c r="AP34" i="57"/>
  <c r="AP33" i="57"/>
  <c r="AP12" i="57"/>
  <c r="D269" i="51"/>
  <c r="G269" i="51"/>
  <c r="D270" i="51"/>
  <c r="G270" i="51"/>
  <c r="D271" i="51"/>
  <c r="G271" i="51"/>
  <c r="D272" i="51"/>
  <c r="G272" i="51"/>
  <c r="D273" i="51"/>
  <c r="G273" i="51"/>
  <c r="D274" i="51"/>
  <c r="G274" i="51"/>
  <c r="D275" i="51"/>
  <c r="G275" i="51"/>
  <c r="D276" i="51"/>
  <c r="G276" i="51"/>
  <c r="D277" i="51"/>
  <c r="G277" i="51"/>
  <c r="D278" i="51"/>
  <c r="G278" i="51"/>
  <c r="D279" i="51"/>
  <c r="G279" i="51"/>
  <c r="D280" i="51"/>
  <c r="G280" i="51"/>
  <c r="D281" i="51"/>
  <c r="G281" i="51"/>
  <c r="D282" i="51"/>
  <c r="G282" i="51"/>
  <c r="D283" i="51"/>
  <c r="G283" i="51"/>
  <c r="D284" i="51"/>
  <c r="G284" i="51"/>
  <c r="D285" i="51"/>
  <c r="G285" i="51"/>
  <c r="D286" i="51"/>
  <c r="G286" i="51"/>
  <c r="D287" i="51"/>
  <c r="G287" i="51"/>
  <c r="D288" i="51"/>
  <c r="G288" i="51"/>
  <c r="D289" i="51"/>
  <c r="G289" i="51"/>
  <c r="D290" i="51"/>
  <c r="G290" i="51"/>
  <c r="D291" i="51"/>
  <c r="G291" i="51"/>
  <c r="D292" i="51"/>
  <c r="G292" i="51"/>
  <c r="D293" i="51"/>
  <c r="G293" i="51"/>
  <c r="D294" i="51"/>
  <c r="G294" i="51"/>
  <c r="D295" i="51"/>
  <c r="G295" i="51"/>
  <c r="D296" i="51"/>
  <c r="G296" i="51"/>
  <c r="D297" i="51"/>
  <c r="G297" i="51"/>
  <c r="D298" i="51"/>
  <c r="G298" i="51"/>
  <c r="D299" i="51"/>
  <c r="G299" i="51"/>
  <c r="D300" i="51"/>
  <c r="G300" i="51"/>
  <c r="D301" i="51"/>
  <c r="G301" i="51"/>
  <c r="D302" i="51"/>
  <c r="G302" i="51"/>
  <c r="D303" i="51"/>
  <c r="G303" i="51"/>
  <c r="D304" i="51"/>
  <c r="G304" i="51"/>
  <c r="D305" i="51"/>
  <c r="G305" i="51"/>
  <c r="D306" i="51"/>
  <c r="G306" i="51"/>
  <c r="D307" i="51"/>
  <c r="G307" i="51"/>
  <c r="D308" i="51"/>
  <c r="G308" i="51"/>
  <c r="D309" i="51"/>
  <c r="G309" i="51"/>
  <c r="D310" i="51"/>
  <c r="G310" i="51"/>
  <c r="D311" i="51"/>
  <c r="G311" i="51"/>
  <c r="D312" i="51"/>
  <c r="G312" i="51"/>
  <c r="D313" i="51"/>
  <c r="G313" i="51"/>
  <c r="D314" i="51"/>
  <c r="G314" i="51"/>
  <c r="D315" i="51"/>
  <c r="G315" i="51"/>
  <c r="D316" i="51"/>
  <c r="G316" i="51"/>
  <c r="D317" i="51"/>
  <c r="G317" i="51"/>
  <c r="D318" i="51"/>
  <c r="G318" i="51"/>
  <c r="D319" i="51"/>
  <c r="G319" i="51"/>
  <c r="D320" i="51"/>
  <c r="G320" i="51"/>
  <c r="D321" i="51"/>
  <c r="G321" i="51"/>
  <c r="D322" i="51"/>
  <c r="G322" i="51"/>
  <c r="D323" i="51"/>
  <c r="G323" i="51"/>
  <c r="D324" i="51"/>
  <c r="G324" i="51"/>
  <c r="D325" i="51"/>
  <c r="G325" i="51"/>
  <c r="D326" i="51"/>
  <c r="G326" i="51"/>
  <c r="D327" i="51"/>
  <c r="G327" i="51"/>
  <c r="D328" i="51"/>
  <c r="G328" i="51"/>
  <c r="D329" i="51"/>
  <c r="G329" i="51"/>
  <c r="D330" i="51"/>
  <c r="G330" i="51"/>
  <c r="D331" i="51"/>
  <c r="G331" i="51"/>
  <c r="D332" i="51"/>
  <c r="G332" i="51"/>
  <c r="D333" i="51"/>
  <c r="G333" i="51"/>
  <c r="D334" i="51"/>
  <c r="G334" i="51"/>
  <c r="D335" i="51"/>
  <c r="G335" i="51"/>
  <c r="D336" i="51"/>
  <c r="G336" i="51"/>
  <c r="D337" i="51"/>
  <c r="G337" i="51"/>
  <c r="D338" i="51"/>
  <c r="G338" i="51"/>
  <c r="D339" i="51"/>
  <c r="G339" i="51"/>
  <c r="D340" i="51"/>
  <c r="G340" i="51"/>
  <c r="D341" i="51"/>
  <c r="G341" i="51"/>
  <c r="D342" i="51"/>
  <c r="G342" i="51"/>
  <c r="D343" i="51"/>
  <c r="G343" i="51"/>
  <c r="D344" i="51"/>
  <c r="G344" i="51"/>
  <c r="D345" i="51"/>
  <c r="G345" i="51"/>
  <c r="D346" i="51"/>
  <c r="G346" i="51"/>
  <c r="D347" i="51"/>
  <c r="G347" i="51"/>
  <c r="D348" i="51"/>
  <c r="G348" i="51"/>
  <c r="D349" i="51"/>
  <c r="G349" i="51"/>
  <c r="D350" i="51"/>
  <c r="G350" i="51"/>
  <c r="D351" i="51"/>
  <c r="G351" i="51"/>
  <c r="D352" i="51"/>
  <c r="G352" i="51"/>
  <c r="D353" i="51"/>
  <c r="G353" i="51"/>
  <c r="D354" i="51"/>
  <c r="G354" i="51"/>
  <c r="D355" i="51"/>
  <c r="G355" i="51"/>
  <c r="D356" i="51"/>
  <c r="G356" i="51"/>
  <c r="D357" i="51"/>
  <c r="G357" i="51"/>
  <c r="D358" i="51"/>
  <c r="G358" i="51"/>
  <c r="D359" i="51"/>
  <c r="G359" i="51"/>
  <c r="D360" i="51"/>
  <c r="G360" i="51"/>
  <c r="D361" i="51"/>
  <c r="G361" i="51"/>
  <c r="D362" i="51"/>
  <c r="G362" i="51"/>
  <c r="D363" i="51"/>
  <c r="G363" i="51"/>
  <c r="D364" i="51"/>
  <c r="G364" i="51"/>
  <c r="D365" i="51"/>
  <c r="G365" i="51"/>
  <c r="D366" i="51"/>
  <c r="G366" i="51"/>
  <c r="D367" i="51"/>
  <c r="G367" i="51"/>
  <c r="D368" i="51"/>
  <c r="G368" i="51"/>
  <c r="D369" i="51"/>
  <c r="G369" i="51"/>
  <c r="D370" i="51"/>
  <c r="G370" i="51"/>
  <c r="D371" i="51"/>
  <c r="G371" i="51"/>
  <c r="D372" i="51"/>
  <c r="G372" i="51"/>
  <c r="D373" i="51"/>
  <c r="G373" i="51"/>
  <c r="D374" i="51"/>
  <c r="G374" i="51"/>
  <c r="D375" i="51"/>
  <c r="G375" i="51"/>
  <c r="D376" i="51"/>
  <c r="G376" i="51"/>
  <c r="D377" i="51"/>
  <c r="G377" i="51"/>
  <c r="D378" i="51"/>
  <c r="G378" i="51"/>
  <c r="D379" i="51"/>
  <c r="G379" i="51"/>
  <c r="D380" i="51"/>
  <c r="G380" i="51"/>
  <c r="D381" i="51"/>
  <c r="G381" i="51"/>
  <c r="D382" i="51"/>
  <c r="G382" i="51"/>
  <c r="D383" i="51"/>
  <c r="G383" i="51"/>
  <c r="D384" i="51"/>
  <c r="G384" i="51"/>
  <c r="D385" i="51"/>
  <c r="G385" i="51"/>
  <c r="D386" i="51"/>
  <c r="G386" i="51"/>
  <c r="D387" i="51"/>
  <c r="G387" i="51"/>
  <c r="D388" i="51"/>
  <c r="G388" i="51"/>
  <c r="H25" i="51"/>
  <c r="AM7" i="32"/>
  <c r="Z33" i="36"/>
  <c r="Z34" i="36"/>
  <c r="AO9" i="32"/>
  <c r="AA32" i="36"/>
  <c r="AO34" i="32"/>
  <c r="AO14" i="32"/>
  <c r="AP105" i="32"/>
  <c r="AP106" i="32"/>
  <c r="AP20" i="32"/>
  <c r="AP91" i="32"/>
  <c r="AP103" i="32"/>
  <c r="AM24" i="32"/>
  <c r="AM25" i="32"/>
  <c r="AM24" i="57"/>
  <c r="AM25" i="57"/>
  <c r="AQ79" i="57"/>
  <c r="AQ34" i="57"/>
  <c r="AQ33" i="57"/>
  <c r="AQ12" i="57"/>
  <c r="AQ14" i="57"/>
  <c r="AP7" i="57"/>
  <c r="AR6" i="57"/>
  <c r="AR100" i="57"/>
  <c r="AR101" i="57"/>
  <c r="AR98" i="57"/>
  <c r="AR86" i="57"/>
  <c r="AR11" i="57"/>
  <c r="AR20" i="57"/>
  <c r="AS10" i="57"/>
  <c r="AN7" i="32"/>
  <c r="AP34" i="32"/>
  <c r="AP14" i="32"/>
  <c r="AB32" i="36"/>
  <c r="AP9" i="32"/>
  <c r="AQ103" i="32"/>
  <c r="AQ20" i="32"/>
  <c r="AQ91" i="32"/>
  <c r="AQ105" i="32"/>
  <c r="AQ106" i="32"/>
  <c r="AA34" i="36"/>
  <c r="AA33" i="36"/>
  <c r="AN24" i="57"/>
  <c r="AN25" i="57"/>
  <c r="AS98" i="57"/>
  <c r="AS100" i="57"/>
  <c r="AS101" i="57"/>
  <c r="AS86" i="57"/>
  <c r="AS20" i="57"/>
  <c r="AT10" i="57"/>
  <c r="AS11" i="57"/>
  <c r="AR79" i="57"/>
  <c r="AR34" i="57"/>
  <c r="AR33" i="57"/>
  <c r="AR14" i="57"/>
  <c r="AR12" i="57"/>
  <c r="AS6" i="57"/>
  <c r="AQ7" i="57"/>
  <c r="AO7" i="32"/>
  <c r="AR103" i="32"/>
  <c r="AR105" i="32"/>
  <c r="AR106" i="32"/>
  <c r="AR20" i="32"/>
  <c r="AR91" i="32"/>
  <c r="AB33" i="36"/>
  <c r="AB34" i="36"/>
  <c r="AN24" i="32"/>
  <c r="AQ34" i="32"/>
  <c r="AQ14" i="32"/>
  <c r="AC32" i="36"/>
  <c r="AQ9" i="32"/>
  <c r="AR9" i="32"/>
  <c r="AS9" i="32"/>
  <c r="AT9" i="32"/>
  <c r="AU9" i="32"/>
  <c r="AV9" i="32"/>
  <c r="AW9" i="32"/>
  <c r="AX9" i="32"/>
  <c r="AY9" i="32"/>
  <c r="AZ9" i="32"/>
  <c r="BA9" i="32"/>
  <c r="BB9" i="32"/>
  <c r="BC9" i="32"/>
  <c r="BD9" i="32"/>
  <c r="BE9" i="32"/>
  <c r="BF9" i="32"/>
  <c r="BG9" i="32"/>
  <c r="BH9" i="32"/>
  <c r="BI9" i="32"/>
  <c r="BJ9" i="32"/>
  <c r="BK9" i="32"/>
  <c r="BL9" i="32"/>
  <c r="BM9" i="32"/>
  <c r="BN9" i="32"/>
  <c r="BO9" i="32"/>
  <c r="BP9" i="32"/>
  <c r="BQ9" i="32"/>
  <c r="BR9" i="32"/>
  <c r="BS9" i="32"/>
  <c r="BT9" i="32"/>
  <c r="BU9" i="32"/>
  <c r="BV9" i="32"/>
  <c r="BW9" i="32"/>
  <c r="BX9" i="32"/>
  <c r="BY9" i="32"/>
  <c r="BZ9" i="32"/>
  <c r="CA9" i="32"/>
  <c r="CB9" i="32"/>
  <c r="CC9" i="32"/>
  <c r="CD9" i="32"/>
  <c r="CE9" i="32"/>
  <c r="CF9" i="32"/>
  <c r="CG9" i="32"/>
  <c r="CH9" i="32"/>
  <c r="CI9" i="32"/>
  <c r="CJ9" i="32"/>
  <c r="CK9" i="32"/>
  <c r="CL9" i="32"/>
  <c r="CM9" i="32"/>
  <c r="CN9" i="32"/>
  <c r="CO9" i="32"/>
  <c r="CP9" i="32"/>
  <c r="CQ9" i="32"/>
  <c r="CR9" i="32"/>
  <c r="CS9" i="32"/>
  <c r="CT9" i="32"/>
  <c r="CU9" i="32"/>
  <c r="CV9" i="32"/>
  <c r="CW9" i="32"/>
  <c r="CX9" i="32"/>
  <c r="CY9" i="32"/>
  <c r="CZ9" i="32"/>
  <c r="DA9" i="32"/>
  <c r="DB9" i="32"/>
  <c r="DC9" i="32"/>
  <c r="DD9" i="32"/>
  <c r="DE9" i="32"/>
  <c r="DF9" i="32"/>
  <c r="DG9" i="32"/>
  <c r="DH9" i="32"/>
  <c r="DI9" i="32"/>
  <c r="DJ9" i="32"/>
  <c r="DK9" i="32"/>
  <c r="DL9" i="32"/>
  <c r="DM9" i="32"/>
  <c r="DN9" i="32"/>
  <c r="DO9" i="32"/>
  <c r="DP9" i="32"/>
  <c r="DQ9" i="32"/>
  <c r="DR9" i="32"/>
  <c r="DS9" i="32"/>
  <c r="DT9" i="32"/>
  <c r="DU9" i="32"/>
  <c r="DV9" i="32"/>
  <c r="DW9" i="32"/>
  <c r="DX9" i="32"/>
  <c r="DY9" i="32"/>
  <c r="DZ9" i="32"/>
  <c r="EA9" i="32"/>
  <c r="EB9" i="32"/>
  <c r="EC9" i="32"/>
  <c r="ED9" i="32"/>
  <c r="EE9" i="32"/>
  <c r="EF9" i="32"/>
  <c r="EG9" i="32"/>
  <c r="EH9" i="32"/>
  <c r="EI9" i="32"/>
  <c r="EJ9" i="32"/>
  <c r="EK9" i="32"/>
  <c r="EL9" i="32"/>
  <c r="EM9" i="32"/>
  <c r="EN9" i="32"/>
  <c r="EO9" i="32"/>
  <c r="EP9" i="32"/>
  <c r="EQ9" i="32"/>
  <c r="AO24" i="32"/>
  <c r="AO25" i="32"/>
  <c r="AO24" i="57"/>
  <c r="AO25" i="57"/>
  <c r="AT100" i="57"/>
  <c r="AT101" i="57"/>
  <c r="AT98" i="57"/>
  <c r="AT86" i="57"/>
  <c r="AT11" i="57"/>
  <c r="AT20" i="57"/>
  <c r="AU10" i="57"/>
  <c r="AT6" i="57"/>
  <c r="AR7" i="57"/>
  <c r="AS79" i="57"/>
  <c r="AS34" i="57"/>
  <c r="AS33" i="57"/>
  <c r="AS12" i="57"/>
  <c r="AS14" i="57"/>
  <c r="AP7" i="32"/>
  <c r="AC33" i="36"/>
  <c r="AP24" i="57"/>
  <c r="AC34" i="36"/>
  <c r="AN25" i="32"/>
  <c r="AR14" i="32"/>
  <c r="AR34" i="32"/>
  <c r="AS105" i="32"/>
  <c r="AS106" i="32"/>
  <c r="AS20" i="32"/>
  <c r="AS103" i="32"/>
  <c r="AS91" i="32"/>
  <c r="AP25" i="57"/>
  <c r="C24" i="57"/>
  <c r="AS7" i="57"/>
  <c r="AU6" i="57"/>
  <c r="AU100" i="57"/>
  <c r="AU101" i="57"/>
  <c r="AU98" i="57"/>
  <c r="AU86" i="57"/>
  <c r="AU20" i="57"/>
  <c r="AV10" i="57"/>
  <c r="AU11" i="57"/>
  <c r="AT79" i="57"/>
  <c r="AT14" i="57"/>
  <c r="AT34" i="57"/>
  <c r="AT33" i="57"/>
  <c r="AT12" i="57"/>
  <c r="AQ7" i="32"/>
  <c r="AT103" i="32"/>
  <c r="AT91" i="32"/>
  <c r="AT105" i="32"/>
  <c r="AT106" i="32"/>
  <c r="AT20" i="32"/>
  <c r="AS34" i="32"/>
  <c r="AS14" i="32"/>
  <c r="AP24" i="32"/>
  <c r="A33" i="36"/>
  <c r="AV100" i="57"/>
  <c r="AV101" i="57"/>
  <c r="AV98" i="57"/>
  <c r="AV86" i="57"/>
  <c r="AV11" i="57"/>
  <c r="AV20" i="57"/>
  <c r="AW10" i="57"/>
  <c r="AT7" i="57"/>
  <c r="AV6" i="57"/>
  <c r="AU79" i="57"/>
  <c r="AU34" i="57"/>
  <c r="AU33" i="57"/>
  <c r="AU12" i="57"/>
  <c r="AU14" i="57"/>
  <c r="AR7" i="32"/>
  <c r="AP25" i="32"/>
  <c r="C24" i="32"/>
  <c r="AT34" i="32"/>
  <c r="AT14" i="32"/>
  <c r="AU20" i="32"/>
  <c r="AU91" i="32"/>
  <c r="AU103" i="32"/>
  <c r="AU105" i="32"/>
  <c r="AU106" i="32"/>
  <c r="AW6" i="57"/>
  <c r="AU7" i="57"/>
  <c r="AW98" i="57"/>
  <c r="AW100" i="57"/>
  <c r="AW101" i="57"/>
  <c r="AW86" i="57"/>
  <c r="AW20" i="57"/>
  <c r="AX10" i="57"/>
  <c r="AW11" i="57"/>
  <c r="AV79" i="57"/>
  <c r="AV34" i="57"/>
  <c r="AV33" i="57"/>
  <c r="AV14" i="57"/>
  <c r="AV12" i="57"/>
  <c r="AS7" i="32"/>
  <c r="AV20" i="32"/>
  <c r="AV103" i="32"/>
  <c r="AV91" i="32"/>
  <c r="AV105" i="32"/>
  <c r="AV106" i="32"/>
  <c r="AU14" i="32"/>
  <c r="AU34" i="32"/>
  <c r="AX100" i="57"/>
  <c r="AX101" i="57"/>
  <c r="AX98" i="57"/>
  <c r="AX86" i="57"/>
  <c r="AX11" i="57"/>
  <c r="AX20" i="57"/>
  <c r="AY10" i="57"/>
  <c r="AW79" i="57"/>
  <c r="AW34" i="57"/>
  <c r="AW33" i="57"/>
  <c r="AW12" i="57"/>
  <c r="AW14" i="57"/>
  <c r="AX6" i="57"/>
  <c r="AV7" i="57"/>
  <c r="AT7" i="32"/>
  <c r="AV14" i="32"/>
  <c r="AV34" i="32"/>
  <c r="AW20" i="32"/>
  <c r="AW91" i="32"/>
  <c r="AW105" i="32"/>
  <c r="AW106" i="32"/>
  <c r="AW103" i="32"/>
  <c r="AW7" i="57"/>
  <c r="AY6" i="57"/>
  <c r="AY100" i="57"/>
  <c r="AY101" i="57"/>
  <c r="AY98" i="57"/>
  <c r="AY86" i="57"/>
  <c r="AY20" i="57"/>
  <c r="AZ10" i="57"/>
  <c r="AY11" i="57"/>
  <c r="AX79" i="57"/>
  <c r="AX14" i="57"/>
  <c r="AX34" i="57"/>
  <c r="AX33" i="57"/>
  <c r="AX12" i="57"/>
  <c r="AU7" i="32"/>
  <c r="AX103" i="32"/>
  <c r="AX20" i="32"/>
  <c r="AX105" i="32"/>
  <c r="AX106" i="32"/>
  <c r="AX91" i="32"/>
  <c r="AW34" i="32"/>
  <c r="AW14" i="32"/>
  <c r="AZ100" i="57"/>
  <c r="AZ101" i="57"/>
  <c r="AZ98" i="57"/>
  <c r="AZ86" i="57"/>
  <c r="AZ11" i="57"/>
  <c r="AZ20" i="57"/>
  <c r="BA10" i="57"/>
  <c r="AX7" i="57"/>
  <c r="AZ6" i="57"/>
  <c r="AY79" i="57"/>
  <c r="AY34" i="57"/>
  <c r="AY33" i="57"/>
  <c r="AY12" i="57"/>
  <c r="AY14" i="57"/>
  <c r="AV7" i="32"/>
  <c r="AY91" i="32"/>
  <c r="AY20" i="32"/>
  <c r="AY105" i="32"/>
  <c r="AY106" i="32"/>
  <c r="AY103" i="32"/>
  <c r="AX34" i="32"/>
  <c r="AX14" i="32"/>
  <c r="BA6" i="57"/>
  <c r="AY7" i="57"/>
  <c r="BA98" i="57"/>
  <c r="BA100" i="57"/>
  <c r="BA101" i="57"/>
  <c r="BA86" i="57"/>
  <c r="BA20" i="57"/>
  <c r="BB10" i="57"/>
  <c r="BA11" i="57"/>
  <c r="AZ79" i="57"/>
  <c r="AZ34" i="57"/>
  <c r="AZ33" i="57"/>
  <c r="AZ14" i="57"/>
  <c r="AZ12" i="57"/>
  <c r="AW7" i="32"/>
  <c r="AY34" i="32"/>
  <c r="AY14" i="32"/>
  <c r="AZ91" i="32"/>
  <c r="AZ105" i="32"/>
  <c r="AZ106" i="32"/>
  <c r="AZ103" i="32"/>
  <c r="AZ20" i="32"/>
  <c r="BB100" i="57"/>
  <c r="BB101" i="57"/>
  <c r="BB98" i="57"/>
  <c r="BB86" i="57"/>
  <c r="BB11" i="57"/>
  <c r="BB20" i="57"/>
  <c r="BC10" i="57"/>
  <c r="BA79" i="57"/>
  <c r="BA34" i="57"/>
  <c r="BA33" i="57"/>
  <c r="BA12" i="57"/>
  <c r="BA14" i="57"/>
  <c r="BB6" i="57"/>
  <c r="AZ7" i="57"/>
  <c r="AX7" i="32"/>
  <c r="AZ14" i="32"/>
  <c r="AZ34" i="32"/>
  <c r="BA103" i="32"/>
  <c r="BA91" i="32"/>
  <c r="BA105" i="32"/>
  <c r="BA106" i="32"/>
  <c r="BA20" i="32"/>
  <c r="BA7" i="57"/>
  <c r="BC6" i="57"/>
  <c r="BC100" i="57"/>
  <c r="BC101" i="57"/>
  <c r="BC98" i="57"/>
  <c r="BC86" i="57"/>
  <c r="BC20" i="57"/>
  <c r="BD10" i="57"/>
  <c r="BC11" i="57"/>
  <c r="BB79" i="57"/>
  <c r="BB14" i="57"/>
  <c r="BB34" i="57"/>
  <c r="BB33" i="57"/>
  <c r="BB12" i="57"/>
  <c r="AY7" i="32"/>
  <c r="BA34" i="32"/>
  <c r="BA14" i="32"/>
  <c r="BB103" i="32"/>
  <c r="BB20" i="32"/>
  <c r="BB105" i="32"/>
  <c r="BB106" i="32"/>
  <c r="BB91" i="32"/>
  <c r="BC79" i="57"/>
  <c r="BC34" i="57"/>
  <c r="BC33" i="57"/>
  <c r="BC12" i="57"/>
  <c r="BC14" i="57"/>
  <c r="BD100" i="57"/>
  <c r="BD101" i="57"/>
  <c r="BD98" i="57"/>
  <c r="BD86" i="57"/>
  <c r="BD11" i="57"/>
  <c r="BD20" i="57"/>
  <c r="BE10" i="57"/>
  <c r="BB7" i="57"/>
  <c r="BD6" i="57"/>
  <c r="AZ7" i="32"/>
  <c r="BC103" i="32"/>
  <c r="BC105" i="32"/>
  <c r="BC106" i="32"/>
  <c r="BC20" i="32"/>
  <c r="BC91" i="32"/>
  <c r="BB14" i="32"/>
  <c r="BB34" i="32"/>
  <c r="BE6" i="57"/>
  <c r="BC7" i="57"/>
  <c r="BE98" i="57"/>
  <c r="BE100" i="57"/>
  <c r="BE101" i="57"/>
  <c r="BE86" i="57"/>
  <c r="BE20" i="57"/>
  <c r="BF10" i="57"/>
  <c r="BE11" i="57"/>
  <c r="BD79" i="57"/>
  <c r="BD34" i="57"/>
  <c r="BD33" i="57"/>
  <c r="BD14" i="57"/>
  <c r="BD12" i="57"/>
  <c r="BA7" i="32"/>
  <c r="BC14" i="32"/>
  <c r="BC34" i="32"/>
  <c r="BD20" i="32"/>
  <c r="BD105" i="32"/>
  <c r="BD106" i="32"/>
  <c r="BD91" i="32"/>
  <c r="BD103" i="32"/>
  <c r="BF100" i="57"/>
  <c r="BF101" i="57"/>
  <c r="BF98" i="57"/>
  <c r="BF86" i="57"/>
  <c r="BF11" i="57"/>
  <c r="BF20" i="57"/>
  <c r="BG10" i="57"/>
  <c r="BE79" i="57"/>
  <c r="BE34" i="57"/>
  <c r="BE33" i="57"/>
  <c r="BE12" i="57"/>
  <c r="BE14" i="57"/>
  <c r="BF6" i="57"/>
  <c r="BD7" i="57"/>
  <c r="BB7" i="32"/>
  <c r="BE103" i="32"/>
  <c r="BE91" i="32"/>
  <c r="BE105" i="32"/>
  <c r="BE106" i="32"/>
  <c r="BE20" i="32"/>
  <c r="BD14" i="32"/>
  <c r="BD34" i="32"/>
  <c r="BE7" i="57"/>
  <c r="BG6" i="57"/>
  <c r="BG100" i="57"/>
  <c r="BG101" i="57"/>
  <c r="BG98" i="57"/>
  <c r="BG86" i="57"/>
  <c r="BG20" i="57"/>
  <c r="BH10" i="57"/>
  <c r="BG11" i="57"/>
  <c r="BF79" i="57"/>
  <c r="BF14" i="57"/>
  <c r="BF34" i="57"/>
  <c r="BF33" i="57"/>
  <c r="BF12" i="57"/>
  <c r="BC7" i="32"/>
  <c r="BE14" i="32"/>
  <c r="BE34" i="32"/>
  <c r="BF105" i="32"/>
  <c r="BF106" i="32"/>
  <c r="BF20" i="32"/>
  <c r="BF103" i="32"/>
  <c r="BF91" i="32"/>
  <c r="BH100" i="57"/>
  <c r="BH101" i="57"/>
  <c r="BH98" i="57"/>
  <c r="BH86" i="57"/>
  <c r="BH11" i="57"/>
  <c r="BH20" i="57"/>
  <c r="BI10" i="57"/>
  <c r="BF7" i="57"/>
  <c r="BH6" i="57"/>
  <c r="BG79" i="57"/>
  <c r="BG34" i="57"/>
  <c r="BG33" i="57"/>
  <c r="BG12" i="57"/>
  <c r="BG14" i="57"/>
  <c r="BD7" i="32"/>
  <c r="BF14" i="32"/>
  <c r="BF34" i="32"/>
  <c r="BG105" i="32"/>
  <c r="BG106" i="32"/>
  <c r="BG20" i="32"/>
  <c r="BG103" i="32"/>
  <c r="BG91" i="32"/>
  <c r="BI6" i="57"/>
  <c r="BG7" i="57"/>
  <c r="BI98" i="57"/>
  <c r="BI100" i="57"/>
  <c r="BI101" i="57"/>
  <c r="BI86" i="57"/>
  <c r="BI20" i="57"/>
  <c r="BJ10" i="57"/>
  <c r="BI11" i="57"/>
  <c r="BH79" i="57"/>
  <c r="BH34" i="57"/>
  <c r="BH33" i="57"/>
  <c r="BH14" i="57"/>
  <c r="BH12" i="57"/>
  <c r="BE7" i="32"/>
  <c r="BG14" i="32"/>
  <c r="BG34" i="32"/>
  <c r="BH105" i="32"/>
  <c r="BH106" i="32"/>
  <c r="BH91" i="32"/>
  <c r="BH103" i="32"/>
  <c r="BH20" i="32"/>
  <c r="BI79" i="57"/>
  <c r="BI34" i="57"/>
  <c r="BI33" i="57"/>
  <c r="BI12" i="57"/>
  <c r="BI14" i="57"/>
  <c r="BJ6" i="57"/>
  <c r="BH7" i="57"/>
  <c r="BJ100" i="57"/>
  <c r="BJ101" i="57"/>
  <c r="BJ98" i="57"/>
  <c r="BJ86" i="57"/>
  <c r="BJ11" i="57"/>
  <c r="BJ20" i="57"/>
  <c r="BK10" i="57"/>
  <c r="BF7" i="32"/>
  <c r="BH14" i="32"/>
  <c r="BH34" i="32"/>
  <c r="BI91" i="32"/>
  <c r="BI105" i="32"/>
  <c r="BI106" i="32"/>
  <c r="BI103" i="32"/>
  <c r="BI20" i="32"/>
  <c r="BK98" i="57"/>
  <c r="BK86" i="57"/>
  <c r="BK20" i="57"/>
  <c r="BL10" i="57"/>
  <c r="BK11" i="57"/>
  <c r="BI7" i="57"/>
  <c r="BK6" i="57"/>
  <c r="BJ79" i="57"/>
  <c r="BJ34" i="57"/>
  <c r="BJ14" i="57"/>
  <c r="BJ33" i="57"/>
  <c r="BJ12" i="57"/>
  <c r="BG7" i="32"/>
  <c r="BJ91" i="32"/>
  <c r="BJ105" i="32"/>
  <c r="BJ106" i="32"/>
  <c r="BJ103" i="32"/>
  <c r="BJ20" i="32"/>
  <c r="BI14" i="32"/>
  <c r="BI34" i="32"/>
  <c r="BL100" i="57"/>
  <c r="BL101" i="57"/>
  <c r="BL98" i="57"/>
  <c r="BL86" i="57"/>
  <c r="BL11" i="57"/>
  <c r="BL20" i="57"/>
  <c r="BM10" i="57"/>
  <c r="BJ7" i="57"/>
  <c r="BL6" i="57"/>
  <c r="BK79" i="57"/>
  <c r="BK34" i="57"/>
  <c r="BK33" i="57"/>
  <c r="BK12" i="57"/>
  <c r="BK14" i="57"/>
  <c r="BH7" i="32"/>
  <c r="BJ14" i="32"/>
  <c r="BJ34" i="32"/>
  <c r="BK103" i="32"/>
  <c r="BK91" i="32"/>
  <c r="BK20" i="32"/>
  <c r="BM6" i="57"/>
  <c r="BK7" i="57"/>
  <c r="BM100" i="57"/>
  <c r="BM101" i="57"/>
  <c r="BM98" i="57"/>
  <c r="BM86" i="57"/>
  <c r="BM20" i="57"/>
  <c r="BN10" i="57"/>
  <c r="BM11" i="57"/>
  <c r="BL79" i="57"/>
  <c r="BL34" i="57"/>
  <c r="BL33" i="57"/>
  <c r="BL14" i="57"/>
  <c r="BL12" i="57"/>
  <c r="BI7" i="32"/>
  <c r="BL103" i="32"/>
  <c r="BL91" i="32"/>
  <c r="BL105" i="32"/>
  <c r="BL106" i="32"/>
  <c r="BL20" i="32"/>
  <c r="BK14" i="32"/>
  <c r="BK34" i="32"/>
  <c r="BN100" i="57"/>
  <c r="BN101" i="57"/>
  <c r="BN98" i="57"/>
  <c r="BN86" i="57"/>
  <c r="BN11" i="57"/>
  <c r="BN20" i="57"/>
  <c r="BO10" i="57"/>
  <c r="BM79" i="57"/>
  <c r="BM34" i="57"/>
  <c r="BM33" i="57"/>
  <c r="BM12" i="57"/>
  <c r="BM14" i="57"/>
  <c r="BN6" i="57"/>
  <c r="BL7" i="57"/>
  <c r="BJ7" i="32"/>
  <c r="BM20" i="32"/>
  <c r="BM91" i="32"/>
  <c r="BM103" i="32"/>
  <c r="BM105" i="32"/>
  <c r="BM106" i="32"/>
  <c r="BL34" i="32"/>
  <c r="BL14" i="32"/>
  <c r="BM7" i="57"/>
  <c r="BO6" i="57"/>
  <c r="BO100" i="57"/>
  <c r="BO101" i="57"/>
  <c r="BO98" i="57"/>
  <c r="BO86" i="57"/>
  <c r="BO20" i="57"/>
  <c r="BP10" i="57"/>
  <c r="BO11" i="57"/>
  <c r="BN79" i="57"/>
  <c r="BN34" i="57"/>
  <c r="BN14" i="57"/>
  <c r="BN33" i="57"/>
  <c r="BN12" i="57"/>
  <c r="BK7" i="32"/>
  <c r="BM34" i="32"/>
  <c r="BM14" i="32"/>
  <c r="BN105" i="32"/>
  <c r="BN106" i="32"/>
  <c r="BN20" i="32"/>
  <c r="BN103" i="32"/>
  <c r="BN91" i="32"/>
  <c r="BP100" i="57"/>
  <c r="BP101" i="57"/>
  <c r="BP98" i="57"/>
  <c r="BP86" i="57"/>
  <c r="BP11" i="57"/>
  <c r="BP20" i="57"/>
  <c r="BQ10" i="57"/>
  <c r="BN7" i="57"/>
  <c r="BP6" i="57"/>
  <c r="BO79" i="57"/>
  <c r="BO34" i="57"/>
  <c r="BO33" i="57"/>
  <c r="BO12" i="57"/>
  <c r="BO14" i="57"/>
  <c r="BL7" i="32"/>
  <c r="BO20" i="32"/>
  <c r="BO103" i="32"/>
  <c r="BO105" i="32"/>
  <c r="BO106" i="32"/>
  <c r="BO91" i="32"/>
  <c r="BN34" i="32"/>
  <c r="BN14" i="32"/>
  <c r="BQ6" i="57"/>
  <c r="BO7" i="57"/>
  <c r="BQ100" i="57"/>
  <c r="BQ101" i="57"/>
  <c r="BQ98" i="57"/>
  <c r="BQ86" i="57"/>
  <c r="BQ20" i="57"/>
  <c r="BR10" i="57"/>
  <c r="BQ11" i="57"/>
  <c r="BP79" i="57"/>
  <c r="BP34" i="57"/>
  <c r="BP33" i="57"/>
  <c r="BP14" i="57"/>
  <c r="BP12" i="57"/>
  <c r="BM7" i="32"/>
  <c r="BP103" i="32"/>
  <c r="BP20" i="32"/>
  <c r="BP91" i="32"/>
  <c r="BP105" i="32"/>
  <c r="BP106" i="32"/>
  <c r="BO14" i="32"/>
  <c r="BO34" i="32"/>
  <c r="BR100" i="57"/>
  <c r="BR101" i="57"/>
  <c r="BR98" i="57"/>
  <c r="BR86" i="57"/>
  <c r="BR11" i="57"/>
  <c r="BR20" i="57"/>
  <c r="BS10" i="57"/>
  <c r="BQ79" i="57"/>
  <c r="BQ34" i="57"/>
  <c r="BQ33" i="57"/>
  <c r="BQ12" i="57"/>
  <c r="BQ14" i="57"/>
  <c r="BR6" i="57"/>
  <c r="BP7" i="57"/>
  <c r="BN7" i="32"/>
  <c r="BQ105" i="32"/>
  <c r="BQ106" i="32"/>
  <c r="BQ20" i="32"/>
  <c r="BQ103" i="32"/>
  <c r="BQ91" i="32"/>
  <c r="BP34" i="32"/>
  <c r="BP14" i="32"/>
  <c r="BQ7" i="57"/>
  <c r="BS6" i="57"/>
  <c r="BS100" i="57"/>
  <c r="BS101" i="57"/>
  <c r="BS98" i="57"/>
  <c r="BS86" i="57"/>
  <c r="BS20" i="57"/>
  <c r="BT10" i="57"/>
  <c r="BS11" i="57"/>
  <c r="BR79" i="57"/>
  <c r="BR34" i="57"/>
  <c r="BR14" i="57"/>
  <c r="BR33" i="57"/>
  <c r="BR12" i="57"/>
  <c r="BO7" i="32"/>
  <c r="BR91" i="32"/>
  <c r="BR20" i="32"/>
  <c r="BR103" i="32"/>
  <c r="BR105" i="32"/>
  <c r="BR106" i="32"/>
  <c r="BQ14" i="32"/>
  <c r="BQ34" i="32"/>
  <c r="BT100" i="57"/>
  <c r="BT101" i="57"/>
  <c r="BT98" i="57"/>
  <c r="BT86" i="57"/>
  <c r="BT11" i="57"/>
  <c r="BT20" i="57"/>
  <c r="BU10" i="57"/>
  <c r="BR7" i="57"/>
  <c r="BT6" i="57"/>
  <c r="BS79" i="57"/>
  <c r="BS34" i="57"/>
  <c r="BS33" i="57"/>
  <c r="BS12" i="57"/>
  <c r="BS14" i="57"/>
  <c r="BP7" i="32"/>
  <c r="BS91" i="32"/>
  <c r="BS20" i="32"/>
  <c r="BS103" i="32"/>
  <c r="BS105" i="32"/>
  <c r="BS106" i="32"/>
  <c r="BR14" i="32"/>
  <c r="BR34" i="32"/>
  <c r="BU6" i="57"/>
  <c r="BS7" i="57"/>
  <c r="BU100" i="57"/>
  <c r="BU101" i="57"/>
  <c r="BU98" i="57"/>
  <c r="BU86" i="57"/>
  <c r="BU20" i="57"/>
  <c r="BV10" i="57"/>
  <c r="BU11" i="57"/>
  <c r="BT79" i="57"/>
  <c r="BT34" i="57"/>
  <c r="BT33" i="57"/>
  <c r="BT14" i="57"/>
  <c r="BT12" i="57"/>
  <c r="BQ7" i="32"/>
  <c r="BS34" i="32"/>
  <c r="BS14" i="32"/>
  <c r="BT105" i="32"/>
  <c r="BT106" i="32"/>
  <c r="BT103" i="32"/>
  <c r="BT20" i="32"/>
  <c r="BT91" i="32"/>
  <c r="BV100" i="57"/>
  <c r="BV101" i="57"/>
  <c r="BV98" i="57"/>
  <c r="BV86" i="57"/>
  <c r="BV11" i="57"/>
  <c r="BV20" i="57"/>
  <c r="BW10" i="57"/>
  <c r="BU79" i="57"/>
  <c r="BU34" i="57"/>
  <c r="BU33" i="57"/>
  <c r="BU12" i="57"/>
  <c r="BU14" i="57"/>
  <c r="BV6" i="57"/>
  <c r="BT7" i="57"/>
  <c r="BR7" i="32"/>
  <c r="BT14" i="32"/>
  <c r="BT34" i="32"/>
  <c r="BU91" i="32"/>
  <c r="BU103" i="32"/>
  <c r="BU105" i="32"/>
  <c r="BU106" i="32"/>
  <c r="BU20" i="32"/>
  <c r="BU7" i="57"/>
  <c r="BW6" i="57"/>
  <c r="BW100" i="57"/>
  <c r="BW101" i="57"/>
  <c r="BW98" i="57"/>
  <c r="BW86" i="57"/>
  <c r="BW20" i="57"/>
  <c r="BX10" i="57"/>
  <c r="BW11" i="57"/>
  <c r="BV79" i="57"/>
  <c r="BV34" i="57"/>
  <c r="BV14" i="57"/>
  <c r="BV33" i="57"/>
  <c r="BV12" i="57"/>
  <c r="BS7" i="32"/>
  <c r="BV20" i="32"/>
  <c r="BV105" i="32"/>
  <c r="BV106" i="32"/>
  <c r="BV103" i="32"/>
  <c r="BV91" i="32"/>
  <c r="BU34" i="32"/>
  <c r="BU14" i="32"/>
  <c r="BX100" i="57"/>
  <c r="BX101" i="57"/>
  <c r="BX98" i="57"/>
  <c r="BX86" i="57"/>
  <c r="BX11" i="57"/>
  <c r="BX20" i="57"/>
  <c r="BY10" i="57"/>
  <c r="BV7" i="57"/>
  <c r="BX6" i="57"/>
  <c r="BW79" i="57"/>
  <c r="BW34" i="57"/>
  <c r="BW33" i="57"/>
  <c r="BW12" i="57"/>
  <c r="BW14" i="57"/>
  <c r="BT7" i="32"/>
  <c r="BW20" i="32"/>
  <c r="BW91" i="32"/>
  <c r="BW103" i="32"/>
  <c r="BW105" i="32"/>
  <c r="BW106" i="32"/>
  <c r="BV34" i="32"/>
  <c r="BV14" i="32"/>
  <c r="BW7" i="57"/>
  <c r="BY6" i="57"/>
  <c r="BY100" i="57"/>
  <c r="BY101" i="57"/>
  <c r="BY98" i="57"/>
  <c r="BY86" i="57"/>
  <c r="BY20" i="57"/>
  <c r="BZ10" i="57"/>
  <c r="BY11" i="57"/>
  <c r="BX79" i="57"/>
  <c r="BX34" i="57"/>
  <c r="BX33" i="57"/>
  <c r="BX14" i="57"/>
  <c r="BX12" i="57"/>
  <c r="BU7" i="32"/>
  <c r="BW14" i="32"/>
  <c r="BW34" i="32"/>
  <c r="BX20" i="32"/>
  <c r="BX105" i="32"/>
  <c r="BX106" i="32"/>
  <c r="BX103" i="32"/>
  <c r="BX91" i="32"/>
  <c r="BZ100" i="57"/>
  <c r="BZ101" i="57"/>
  <c r="BZ98" i="57"/>
  <c r="BZ86" i="57"/>
  <c r="BZ11" i="57"/>
  <c r="BZ20" i="57"/>
  <c r="CA10" i="57"/>
  <c r="BZ6" i="57"/>
  <c r="BX7" i="57"/>
  <c r="BY79" i="57"/>
  <c r="BY34" i="57"/>
  <c r="BY33" i="57"/>
  <c r="BY12" i="57"/>
  <c r="BY14" i="57"/>
  <c r="BV7" i="32"/>
  <c r="BX34" i="32"/>
  <c r="BX14" i="32"/>
  <c r="BY103" i="32"/>
  <c r="BY20" i="32"/>
  <c r="BY91" i="32"/>
  <c r="BY105" i="32"/>
  <c r="BY106" i="32"/>
  <c r="CA6" i="57"/>
  <c r="BY7" i="57"/>
  <c r="CA100" i="57"/>
  <c r="CA101" i="57"/>
  <c r="CA98" i="57"/>
  <c r="CA86" i="57"/>
  <c r="CA20" i="57"/>
  <c r="CB10" i="57"/>
  <c r="CA11" i="57"/>
  <c r="BZ79" i="57"/>
  <c r="BZ34" i="57"/>
  <c r="BZ14" i="57"/>
  <c r="BZ33" i="57"/>
  <c r="BZ12" i="57"/>
  <c r="BW7" i="32"/>
  <c r="BZ20" i="32"/>
  <c r="BZ105" i="32"/>
  <c r="BZ106" i="32"/>
  <c r="BZ103" i="32"/>
  <c r="BZ91" i="32"/>
  <c r="BY14" i="32"/>
  <c r="BY34" i="32"/>
  <c r="CB100" i="57"/>
  <c r="CB101" i="57"/>
  <c r="CB98" i="57"/>
  <c r="CB86" i="57"/>
  <c r="CB11" i="57"/>
  <c r="CB20" i="57"/>
  <c r="CC10" i="57"/>
  <c r="BZ7" i="57"/>
  <c r="CB6" i="57"/>
  <c r="CA79" i="57"/>
  <c r="CA34" i="57"/>
  <c r="CA33" i="57"/>
  <c r="CA12" i="57"/>
  <c r="CA14" i="57"/>
  <c r="BX7" i="32"/>
  <c r="BZ14" i="32"/>
  <c r="BZ34" i="32"/>
  <c r="CA20" i="32"/>
  <c r="CA91" i="32"/>
  <c r="CA103" i="32"/>
  <c r="CA105" i="32"/>
  <c r="CA106" i="32"/>
  <c r="CA7" i="57"/>
  <c r="CC6" i="57"/>
  <c r="CC100" i="57"/>
  <c r="CC101" i="57"/>
  <c r="CC98" i="57"/>
  <c r="CC86" i="57"/>
  <c r="CC20" i="57"/>
  <c r="CD10" i="57"/>
  <c r="CC11" i="57"/>
  <c r="CB79" i="57"/>
  <c r="CB34" i="57"/>
  <c r="CB33" i="57"/>
  <c r="CB14" i="57"/>
  <c r="CB12" i="57"/>
  <c r="BY7" i="32"/>
  <c r="CA14" i="32"/>
  <c r="CA34" i="32"/>
  <c r="CB20" i="32"/>
  <c r="CB91" i="32"/>
  <c r="CB105" i="32"/>
  <c r="CB106" i="32"/>
  <c r="CB103" i="32"/>
  <c r="CD100" i="57"/>
  <c r="CD101" i="57"/>
  <c r="CD98" i="57"/>
  <c r="CD86" i="57"/>
  <c r="CD11" i="57"/>
  <c r="CD20" i="57"/>
  <c r="CE10" i="57"/>
  <c r="CD6" i="57"/>
  <c r="CB7" i="57"/>
  <c r="CC79" i="57"/>
  <c r="CC34" i="57"/>
  <c r="CC33" i="57"/>
  <c r="CC12" i="57"/>
  <c r="CC14" i="57"/>
  <c r="BZ7" i="32"/>
  <c r="CC103" i="32"/>
  <c r="CC91" i="32"/>
  <c r="CC20" i="32"/>
  <c r="CC105" i="32"/>
  <c r="CC106" i="32"/>
  <c r="CB14" i="32"/>
  <c r="CB34" i="32"/>
  <c r="CE6" i="57"/>
  <c r="CC7" i="57"/>
  <c r="CE100" i="57"/>
  <c r="CE101" i="57"/>
  <c r="CE98" i="57"/>
  <c r="CE86" i="57"/>
  <c r="CE20" i="57"/>
  <c r="CF10" i="57"/>
  <c r="CE11" i="57"/>
  <c r="CD79" i="57"/>
  <c r="CD34" i="57"/>
  <c r="CD14" i="57"/>
  <c r="CD33" i="57"/>
  <c r="CD12" i="57"/>
  <c r="CA7" i="32"/>
  <c r="CD91" i="32"/>
  <c r="CD105" i="32"/>
  <c r="CD106" i="32"/>
  <c r="CD103" i="32"/>
  <c r="CD20" i="32"/>
  <c r="CC14" i="32"/>
  <c r="CC34" i="32"/>
  <c r="CF100" i="57"/>
  <c r="CF101" i="57"/>
  <c r="CF98" i="57"/>
  <c r="CF86" i="57"/>
  <c r="CF11" i="57"/>
  <c r="CF20" i="57"/>
  <c r="CG10" i="57"/>
  <c r="CE79" i="57"/>
  <c r="CE34" i="57"/>
  <c r="CE33" i="57"/>
  <c r="CE12" i="57"/>
  <c r="CE14" i="57"/>
  <c r="CF6" i="57"/>
  <c r="CD7" i="57"/>
  <c r="CB7" i="32"/>
  <c r="CD34" i="32"/>
  <c r="CD14" i="32"/>
  <c r="CE105" i="32"/>
  <c r="CE106" i="32"/>
  <c r="CE91" i="32"/>
  <c r="CE103" i="32"/>
  <c r="CE20" i="32"/>
  <c r="CE7" i="57"/>
  <c r="CG6" i="57"/>
  <c r="CG100" i="57"/>
  <c r="CG101" i="57"/>
  <c r="CG98" i="57"/>
  <c r="CG86" i="57"/>
  <c r="CG20" i="57"/>
  <c r="CH10" i="57"/>
  <c r="CG11" i="57"/>
  <c r="CF79" i="57"/>
  <c r="CF34" i="57"/>
  <c r="CF33" i="57"/>
  <c r="CF14" i="57"/>
  <c r="CF12" i="57"/>
  <c r="CC7" i="32"/>
  <c r="CF105" i="32"/>
  <c r="CF106" i="32"/>
  <c r="CF91" i="32"/>
  <c r="CF103" i="32"/>
  <c r="CF20" i="32"/>
  <c r="CE14" i="32"/>
  <c r="CE34" i="32"/>
  <c r="CG79" i="57"/>
  <c r="CG34" i="57"/>
  <c r="CG33" i="57"/>
  <c r="CG12" i="57"/>
  <c r="CG14" i="57"/>
  <c r="CH100" i="57"/>
  <c r="CH101" i="57"/>
  <c r="CH98" i="57"/>
  <c r="CH86" i="57"/>
  <c r="CH11" i="57"/>
  <c r="CH20" i="57"/>
  <c r="CI10" i="57"/>
  <c r="CF7" i="57"/>
  <c r="CH6" i="57"/>
  <c r="CD7" i="32"/>
  <c r="CG103" i="32"/>
  <c r="CG20" i="32"/>
  <c r="CG105" i="32"/>
  <c r="CG106" i="32"/>
  <c r="CG91" i="32"/>
  <c r="CF34" i="32"/>
  <c r="CF14" i="32"/>
  <c r="CI6" i="57"/>
  <c r="CG7" i="57"/>
  <c r="CI100" i="57"/>
  <c r="CI101" i="57"/>
  <c r="CI98" i="57"/>
  <c r="CI86" i="57"/>
  <c r="CI20" i="57"/>
  <c r="CJ10" i="57"/>
  <c r="CI11" i="57"/>
  <c r="CH79" i="57"/>
  <c r="CH34" i="57"/>
  <c r="CH14" i="57"/>
  <c r="CH33" i="57"/>
  <c r="CH12" i="57"/>
  <c r="CE7" i="32"/>
  <c r="CG14" i="32"/>
  <c r="CG34" i="32"/>
  <c r="CH20" i="32"/>
  <c r="CH105" i="32"/>
  <c r="CH106" i="32"/>
  <c r="CH91" i="32"/>
  <c r="CH103" i="32"/>
  <c r="CJ100" i="57"/>
  <c r="CJ101" i="57"/>
  <c r="CJ98" i="57"/>
  <c r="CJ86" i="57"/>
  <c r="CJ11" i="57"/>
  <c r="CJ20" i="57"/>
  <c r="CK10" i="57"/>
  <c r="CI79" i="57"/>
  <c r="CI34" i="57"/>
  <c r="CI33" i="57"/>
  <c r="CI12" i="57"/>
  <c r="CI14" i="57"/>
  <c r="CJ6" i="57"/>
  <c r="CH7" i="57"/>
  <c r="CF7" i="32"/>
  <c r="CI20" i="32"/>
  <c r="CI91" i="32"/>
  <c r="CI103" i="32"/>
  <c r="CI105" i="32"/>
  <c r="CI106" i="32"/>
  <c r="CH14" i="32"/>
  <c r="CH34" i="32"/>
  <c r="CI7" i="57"/>
  <c r="CK6" i="57"/>
  <c r="CK100" i="57"/>
  <c r="CK101" i="57"/>
  <c r="CK98" i="57"/>
  <c r="CK86" i="57"/>
  <c r="CK20" i="57"/>
  <c r="CL10" i="57"/>
  <c r="CK11" i="57"/>
  <c r="CJ79" i="57"/>
  <c r="CJ34" i="57"/>
  <c r="CJ33" i="57"/>
  <c r="CJ14" i="57"/>
  <c r="CJ12" i="57"/>
  <c r="CG7" i="32"/>
  <c r="CJ91" i="32"/>
  <c r="CJ20" i="32"/>
  <c r="CJ105" i="32"/>
  <c r="CJ106" i="32"/>
  <c r="CJ103" i="32"/>
  <c r="CI34" i="32"/>
  <c r="CI14" i="32"/>
  <c r="CL100" i="57"/>
  <c r="CL101" i="57"/>
  <c r="CL98" i="57"/>
  <c r="CL86" i="57"/>
  <c r="CL11" i="57"/>
  <c r="CL20" i="57"/>
  <c r="CM10" i="57"/>
  <c r="CJ7" i="57"/>
  <c r="CL6" i="57"/>
  <c r="CK79" i="57"/>
  <c r="CK34" i="57"/>
  <c r="CK33" i="57"/>
  <c r="CK12" i="57"/>
  <c r="CK14" i="57"/>
  <c r="CH7" i="32"/>
  <c r="CJ34" i="32"/>
  <c r="CJ14" i="32"/>
  <c r="CK103" i="32"/>
  <c r="CK20" i="32"/>
  <c r="CK105" i="32"/>
  <c r="CK106" i="32"/>
  <c r="CK91" i="32"/>
  <c r="CM6" i="57"/>
  <c r="CK7" i="57"/>
  <c r="CM100" i="57"/>
  <c r="CM101" i="57"/>
  <c r="CM98" i="57"/>
  <c r="CM86" i="57"/>
  <c r="CM20" i="57"/>
  <c r="CN10" i="57"/>
  <c r="CM11" i="57"/>
  <c r="CL79" i="57"/>
  <c r="CL34" i="57"/>
  <c r="CL14" i="57"/>
  <c r="CL33" i="57"/>
  <c r="CL12" i="57"/>
  <c r="CI7" i="32"/>
  <c r="CK34" i="32"/>
  <c r="CK14" i="32"/>
  <c r="CL20" i="32"/>
  <c r="CL91" i="32"/>
  <c r="CL103" i="32"/>
  <c r="CL105" i="32"/>
  <c r="CL106" i="32"/>
  <c r="CN100" i="57"/>
  <c r="CN101" i="57"/>
  <c r="CN98" i="57"/>
  <c r="CN86" i="57"/>
  <c r="CN11" i="57"/>
  <c r="CN20" i="57"/>
  <c r="CO10" i="57"/>
  <c r="CM79" i="57"/>
  <c r="CM34" i="57"/>
  <c r="CM33" i="57"/>
  <c r="CM12" i="57"/>
  <c r="CM14" i="57"/>
  <c r="CN6" i="57"/>
  <c r="CL7" i="57"/>
  <c r="CJ7" i="32"/>
  <c r="CL34" i="32"/>
  <c r="CL14" i="32"/>
  <c r="CM105" i="32"/>
  <c r="CM106" i="32"/>
  <c r="CM103" i="32"/>
  <c r="CM20" i="32"/>
  <c r="CM91" i="32"/>
  <c r="CM7" i="57"/>
  <c r="CO6" i="57"/>
  <c r="CO100" i="57"/>
  <c r="CO101" i="57"/>
  <c r="CO98" i="57"/>
  <c r="CO86" i="57"/>
  <c r="CO20" i="57"/>
  <c r="CP10" i="57"/>
  <c r="CO11" i="57"/>
  <c r="CN79" i="57"/>
  <c r="CN34" i="57"/>
  <c r="CN33" i="57"/>
  <c r="CN14" i="57"/>
  <c r="CN12" i="57"/>
  <c r="CK7" i="32"/>
  <c r="CM14" i="32"/>
  <c r="CM34" i="32"/>
  <c r="CN103" i="32"/>
  <c r="CN91" i="32"/>
  <c r="CN20" i="32"/>
  <c r="CN105" i="32"/>
  <c r="CN106" i="32"/>
  <c r="CP100" i="57"/>
  <c r="CP101" i="57"/>
  <c r="CP98" i="57"/>
  <c r="CP86" i="57"/>
  <c r="CP11" i="57"/>
  <c r="CP20" i="57"/>
  <c r="CQ10" i="57"/>
  <c r="CP6" i="57"/>
  <c r="CN7" i="57"/>
  <c r="CO79" i="57"/>
  <c r="CO34" i="57"/>
  <c r="CO33" i="57"/>
  <c r="CO12" i="57"/>
  <c r="CO14" i="57"/>
  <c r="CL7" i="32"/>
  <c r="CO20" i="32"/>
  <c r="CO105" i="32"/>
  <c r="CO106" i="32"/>
  <c r="CO103" i="32"/>
  <c r="CO91" i="32"/>
  <c r="CN34" i="32"/>
  <c r="CN14" i="32"/>
  <c r="CQ6" i="57"/>
  <c r="CO7" i="57"/>
  <c r="CQ100" i="57"/>
  <c r="CQ101" i="57"/>
  <c r="CQ98" i="57"/>
  <c r="CQ86" i="57"/>
  <c r="CQ20" i="57"/>
  <c r="CR10" i="57"/>
  <c r="CQ11" i="57"/>
  <c r="CP79" i="57"/>
  <c r="CP34" i="57"/>
  <c r="CP14" i="57"/>
  <c r="CP33" i="57"/>
  <c r="CP12" i="57"/>
  <c r="CM7" i="32"/>
  <c r="CP20" i="32"/>
  <c r="CP91" i="32"/>
  <c r="CP103" i="32"/>
  <c r="CP105" i="32"/>
  <c r="CP106" i="32"/>
  <c r="CO34" i="32"/>
  <c r="CO14" i="32"/>
  <c r="CR100" i="57"/>
  <c r="CR101" i="57"/>
  <c r="CR98" i="57"/>
  <c r="CR86" i="57"/>
  <c r="CR11" i="57"/>
  <c r="CR20" i="57"/>
  <c r="CS10" i="57"/>
  <c r="CQ79" i="57"/>
  <c r="CQ34" i="57"/>
  <c r="CQ33" i="57"/>
  <c r="CQ12" i="57"/>
  <c r="CQ14" i="57"/>
  <c r="CP7" i="57"/>
  <c r="CR6" i="57"/>
  <c r="CN7" i="32"/>
  <c r="CQ105" i="32"/>
  <c r="CQ106" i="32"/>
  <c r="CQ20" i="32"/>
  <c r="CQ91" i="32"/>
  <c r="CQ103" i="32"/>
  <c r="CP34" i="32"/>
  <c r="CP14" i="32"/>
  <c r="CQ7" i="57"/>
  <c r="CS6" i="57"/>
  <c r="CS100" i="57"/>
  <c r="CS101" i="57"/>
  <c r="CS98" i="57"/>
  <c r="CS86" i="57"/>
  <c r="CS20" i="57"/>
  <c r="CT10" i="57"/>
  <c r="CS11" i="57"/>
  <c r="CR79" i="57"/>
  <c r="CR34" i="57"/>
  <c r="CR33" i="57"/>
  <c r="CR14" i="57"/>
  <c r="CR12" i="57"/>
  <c r="CO7" i="32"/>
  <c r="CR103" i="32"/>
  <c r="CR20" i="32"/>
  <c r="CR91" i="32"/>
  <c r="CR105" i="32"/>
  <c r="CR106" i="32"/>
  <c r="CQ34" i="32"/>
  <c r="CQ14" i="32"/>
  <c r="CT100" i="57"/>
  <c r="CT101" i="57"/>
  <c r="CT98" i="57"/>
  <c r="CT86" i="57"/>
  <c r="CT11" i="57"/>
  <c r="CT20" i="57"/>
  <c r="CU10" i="57"/>
  <c r="CT6" i="57"/>
  <c r="CR7" i="57"/>
  <c r="CS79" i="57"/>
  <c r="CS34" i="57"/>
  <c r="CS33" i="57"/>
  <c r="CS12" i="57"/>
  <c r="CS14" i="57"/>
  <c r="CP7" i="32"/>
  <c r="CS91" i="32"/>
  <c r="CS20" i="32"/>
  <c r="CS103" i="32"/>
  <c r="CS105" i="32"/>
  <c r="CS106" i="32"/>
  <c r="CR14" i="32"/>
  <c r="CR34" i="32"/>
  <c r="CU6" i="57"/>
  <c r="CS7" i="57"/>
  <c r="CU100" i="57"/>
  <c r="CU101" i="57"/>
  <c r="CU98" i="57"/>
  <c r="CU86" i="57"/>
  <c r="CU20" i="57"/>
  <c r="CV10" i="57"/>
  <c r="CU11" i="57"/>
  <c r="CT79" i="57"/>
  <c r="CT34" i="57"/>
  <c r="CT14" i="57"/>
  <c r="CT33" i="57"/>
  <c r="CT12" i="57"/>
  <c r="CQ7" i="32"/>
  <c r="CT20" i="32"/>
  <c r="CT105" i="32"/>
  <c r="CT106" i="32"/>
  <c r="CT103" i="32"/>
  <c r="CT91" i="32"/>
  <c r="CS14" i="32"/>
  <c r="CS34" i="32"/>
  <c r="CV100" i="57"/>
  <c r="CV101" i="57"/>
  <c r="CV98" i="57"/>
  <c r="CV86" i="57"/>
  <c r="CV11" i="57"/>
  <c r="CV20" i="57"/>
  <c r="CW10" i="57"/>
  <c r="CU79" i="57"/>
  <c r="CU34" i="57"/>
  <c r="CU33" i="57"/>
  <c r="CU12" i="57"/>
  <c r="CU14" i="57"/>
  <c r="CV6" i="57"/>
  <c r="CT7" i="57"/>
  <c r="CR7" i="32"/>
  <c r="CU91" i="32"/>
  <c r="CU103" i="32"/>
  <c r="CU20" i="32"/>
  <c r="CU105" i="32"/>
  <c r="CU106" i="32"/>
  <c r="CT14" i="32"/>
  <c r="CT34" i="32"/>
  <c r="CU7" i="57"/>
  <c r="CW6" i="57"/>
  <c r="CW100" i="57"/>
  <c r="CW101" i="57"/>
  <c r="CW98" i="57"/>
  <c r="CW86" i="57"/>
  <c r="CW20" i="57"/>
  <c r="CX10" i="57"/>
  <c r="CW11" i="57"/>
  <c r="CV79" i="57"/>
  <c r="CV34" i="57"/>
  <c r="CV33" i="57"/>
  <c r="CV14" i="57"/>
  <c r="CV12" i="57"/>
  <c r="CS7" i="32"/>
  <c r="CU14" i="32"/>
  <c r="CU34" i="32"/>
  <c r="CV103" i="32"/>
  <c r="CV91" i="32"/>
  <c r="CV20" i="32"/>
  <c r="CV105" i="32"/>
  <c r="CV106" i="32"/>
  <c r="CX100" i="57"/>
  <c r="CX101" i="57"/>
  <c r="CX98" i="57"/>
  <c r="CX86" i="57"/>
  <c r="CX11" i="57"/>
  <c r="CX20" i="57"/>
  <c r="CY10" i="57"/>
  <c r="CV7" i="57"/>
  <c r="CX6" i="57"/>
  <c r="CW79" i="57"/>
  <c r="CW34" i="57"/>
  <c r="CW33" i="57"/>
  <c r="CW12" i="57"/>
  <c r="CW14" i="57"/>
  <c r="CT7" i="32"/>
  <c r="CW103" i="32"/>
  <c r="CW105" i="32"/>
  <c r="CW106" i="32"/>
  <c r="CW20" i="32"/>
  <c r="CW91" i="32"/>
  <c r="CV14" i="32"/>
  <c r="CV34" i="32"/>
  <c r="CY6" i="57"/>
  <c r="CW7" i="57"/>
  <c r="CY100" i="57"/>
  <c r="CY101" i="57"/>
  <c r="CY98" i="57"/>
  <c r="CY86" i="57"/>
  <c r="CY20" i="57"/>
  <c r="CZ10" i="57"/>
  <c r="CY11" i="57"/>
  <c r="CX79" i="57"/>
  <c r="CX34" i="57"/>
  <c r="CX14" i="57"/>
  <c r="CX33" i="57"/>
  <c r="CX12" i="57"/>
  <c r="CU7" i="32"/>
  <c r="CX103" i="32"/>
  <c r="CX20" i="32"/>
  <c r="CX105" i="32"/>
  <c r="CX106" i="32"/>
  <c r="CX91" i="32"/>
  <c r="CW34" i="32"/>
  <c r="CW14" i="32"/>
  <c r="CZ100" i="57"/>
  <c r="CZ101" i="57"/>
  <c r="CZ98" i="57"/>
  <c r="CZ86" i="57"/>
  <c r="CZ11" i="57"/>
  <c r="CZ20" i="57"/>
  <c r="DA10" i="57"/>
  <c r="CY79" i="57"/>
  <c r="CY34" i="57"/>
  <c r="CY33" i="57"/>
  <c r="CY12" i="57"/>
  <c r="CY14" i="57"/>
  <c r="CZ6" i="57"/>
  <c r="CX7" i="57"/>
  <c r="CV7" i="32"/>
  <c r="CX14" i="32"/>
  <c r="CX34" i="32"/>
  <c r="CY91" i="32"/>
  <c r="CY20" i="32"/>
  <c r="CY105" i="32"/>
  <c r="CY106" i="32"/>
  <c r="CY103" i="32"/>
  <c r="CY7" i="57"/>
  <c r="DA6" i="57"/>
  <c r="DA100" i="57"/>
  <c r="DA101" i="57"/>
  <c r="DA98" i="57"/>
  <c r="DA86" i="57"/>
  <c r="DA20" i="57"/>
  <c r="DB10" i="57"/>
  <c r="DA11" i="57"/>
  <c r="CZ79" i="57"/>
  <c r="CZ34" i="57"/>
  <c r="CZ33" i="57"/>
  <c r="CZ14" i="57"/>
  <c r="CZ12" i="57"/>
  <c r="CW7" i="32"/>
  <c r="CZ103" i="32"/>
  <c r="CZ91" i="32"/>
  <c r="CZ105" i="32"/>
  <c r="CZ106" i="32"/>
  <c r="CZ20" i="32"/>
  <c r="CY34" i="32"/>
  <c r="CY14" i="32"/>
  <c r="DB100" i="57"/>
  <c r="DB101" i="57"/>
  <c r="DB98" i="57"/>
  <c r="DB86" i="57"/>
  <c r="DB11" i="57"/>
  <c r="DB20" i="57"/>
  <c r="DC10" i="57"/>
  <c r="CZ7" i="57"/>
  <c r="DB6" i="57"/>
  <c r="DA79" i="57"/>
  <c r="DA34" i="57"/>
  <c r="DA33" i="57"/>
  <c r="DA12" i="57"/>
  <c r="DA14" i="57"/>
  <c r="CX7" i="32"/>
  <c r="DA103" i="32"/>
  <c r="DA105" i="32"/>
  <c r="DA106" i="32"/>
  <c r="DA20" i="32"/>
  <c r="DA91" i="32"/>
  <c r="CZ14" i="32"/>
  <c r="CZ34" i="32"/>
  <c r="DC6" i="57"/>
  <c r="DA7" i="57"/>
  <c r="DC100" i="57"/>
  <c r="DC101" i="57"/>
  <c r="DC98" i="57"/>
  <c r="DC86" i="57"/>
  <c r="DC20" i="57"/>
  <c r="DD10" i="57"/>
  <c r="DC11" i="57"/>
  <c r="DB79" i="57"/>
  <c r="DB34" i="57"/>
  <c r="DB14" i="57"/>
  <c r="DB33" i="57"/>
  <c r="DB12" i="57"/>
  <c r="CY7" i="32"/>
  <c r="DB103" i="32"/>
  <c r="DB20" i="32"/>
  <c r="DB91" i="32"/>
  <c r="DB105" i="32"/>
  <c r="DB106" i="32"/>
  <c r="DA14" i="32"/>
  <c r="DA34" i="32"/>
  <c r="DD100" i="57"/>
  <c r="DD101" i="57"/>
  <c r="DD98" i="57"/>
  <c r="DD86" i="57"/>
  <c r="DD11" i="57"/>
  <c r="DD20" i="57"/>
  <c r="DE10" i="57"/>
  <c r="DC79" i="57"/>
  <c r="DC34" i="57"/>
  <c r="DC33" i="57"/>
  <c r="DC12" i="57"/>
  <c r="DC14" i="57"/>
  <c r="DD6" i="57"/>
  <c r="DB7" i="57"/>
  <c r="CZ7" i="32"/>
  <c r="DB34" i="32"/>
  <c r="DB14" i="32"/>
  <c r="DC105" i="32"/>
  <c r="DC106" i="32"/>
  <c r="DC20" i="32"/>
  <c r="DC91" i="32"/>
  <c r="DC103" i="32"/>
  <c r="DC7" i="57"/>
  <c r="DE6" i="57"/>
  <c r="DE100" i="57"/>
  <c r="DE101" i="57"/>
  <c r="DE98" i="57"/>
  <c r="DE86" i="57"/>
  <c r="DE20" i="57"/>
  <c r="DF10" i="57"/>
  <c r="DE11" i="57"/>
  <c r="DD79" i="57"/>
  <c r="DD34" i="57"/>
  <c r="DD33" i="57"/>
  <c r="DD14" i="57"/>
  <c r="DD12" i="57"/>
  <c r="DA7" i="32"/>
  <c r="DD20" i="32"/>
  <c r="DD105" i="32"/>
  <c r="DD106" i="32"/>
  <c r="DD91" i="32"/>
  <c r="DD103" i="32"/>
  <c r="DC14" i="32"/>
  <c r="DC34" i="32"/>
  <c r="DE79" i="57"/>
  <c r="DE34" i="57"/>
  <c r="DE33" i="57"/>
  <c r="DE12" i="57"/>
  <c r="DE14" i="57"/>
  <c r="DF100" i="57"/>
  <c r="DF101" i="57"/>
  <c r="DF98" i="57"/>
  <c r="DF86" i="57"/>
  <c r="DF11" i="57"/>
  <c r="DF20" i="57"/>
  <c r="DG10" i="57"/>
  <c r="DD7" i="57"/>
  <c r="DF6" i="57"/>
  <c r="DB7" i="32"/>
  <c r="DD14" i="32"/>
  <c r="DD34" i="32"/>
  <c r="DE105" i="32"/>
  <c r="DE106" i="32"/>
  <c r="DE20" i="32"/>
  <c r="DE91" i="32"/>
  <c r="DE103" i="32"/>
  <c r="DG6" i="57"/>
  <c r="DE7" i="57"/>
  <c r="DG100" i="57"/>
  <c r="DG101" i="57"/>
  <c r="DG98" i="57"/>
  <c r="DG86" i="57"/>
  <c r="DG20" i="57"/>
  <c r="DH10" i="57"/>
  <c r="DG11" i="57"/>
  <c r="DF79" i="57"/>
  <c r="DF34" i="57"/>
  <c r="DF14" i="57"/>
  <c r="DF33" i="57"/>
  <c r="DF12" i="57"/>
  <c r="DC7" i="32"/>
  <c r="DE14" i="32"/>
  <c r="DE34" i="32"/>
  <c r="DF103" i="32"/>
  <c r="DF105" i="32"/>
  <c r="DF106" i="32"/>
  <c r="DF91" i="32"/>
  <c r="DF20" i="32"/>
  <c r="DG79" i="57"/>
  <c r="DG34" i="57"/>
  <c r="DG33" i="57"/>
  <c r="DG12" i="57"/>
  <c r="DG14" i="57"/>
  <c r="DH100" i="57"/>
  <c r="DH101" i="57"/>
  <c r="DH98" i="57"/>
  <c r="DH86" i="57"/>
  <c r="DH11" i="57"/>
  <c r="DH20" i="57"/>
  <c r="DI10" i="57"/>
  <c r="DH6" i="57"/>
  <c r="DF7" i="57"/>
  <c r="DD7" i="32"/>
  <c r="DG91" i="32"/>
  <c r="DG105" i="32"/>
  <c r="DG106" i="32"/>
  <c r="DG20" i="32"/>
  <c r="DG103" i="32"/>
  <c r="DF34" i="32"/>
  <c r="DF14" i="32"/>
  <c r="DI100" i="57"/>
  <c r="DI101" i="57"/>
  <c r="DI98" i="57"/>
  <c r="DI86" i="57"/>
  <c r="DI20" i="57"/>
  <c r="DJ10" i="57"/>
  <c r="DI11" i="57"/>
  <c r="DH79" i="57"/>
  <c r="DH34" i="57"/>
  <c r="DH33" i="57"/>
  <c r="DH14" i="57"/>
  <c r="DH12" i="57"/>
  <c r="DG7" i="57"/>
  <c r="DI6" i="57"/>
  <c r="DE7" i="32"/>
  <c r="DH105" i="32"/>
  <c r="DH106" i="32"/>
  <c r="DH103" i="32"/>
  <c r="DH20" i="32"/>
  <c r="DH91" i="32"/>
  <c r="DG14" i="32"/>
  <c r="DG34" i="32"/>
  <c r="DH7" i="57"/>
  <c r="DJ6" i="57"/>
  <c r="DJ100" i="57"/>
  <c r="DJ101" i="57"/>
  <c r="DJ98" i="57"/>
  <c r="DJ86" i="57"/>
  <c r="DJ11" i="57"/>
  <c r="DJ20" i="57"/>
  <c r="DK10" i="57"/>
  <c r="DI79" i="57"/>
  <c r="DI34" i="57"/>
  <c r="DI33" i="57"/>
  <c r="DI12" i="57"/>
  <c r="DI14" i="57"/>
  <c r="DF7" i="32"/>
  <c r="DH34" i="32"/>
  <c r="DH14" i="32"/>
  <c r="DI103" i="32"/>
  <c r="DI105" i="32"/>
  <c r="DI106" i="32"/>
  <c r="DI20" i="32"/>
  <c r="DI91" i="32"/>
  <c r="DK6" i="57"/>
  <c r="DI7" i="57"/>
  <c r="DK100" i="57"/>
  <c r="DK101" i="57"/>
  <c r="DK98" i="57"/>
  <c r="DK86" i="57"/>
  <c r="DK20" i="57"/>
  <c r="DL10" i="57"/>
  <c r="DK11" i="57"/>
  <c r="DJ79" i="57"/>
  <c r="DJ34" i="57"/>
  <c r="DJ14" i="57"/>
  <c r="DJ33" i="57"/>
  <c r="DJ12" i="57"/>
  <c r="DG7" i="32"/>
  <c r="DI34" i="32"/>
  <c r="DI14" i="32"/>
  <c r="DI84" i="32"/>
  <c r="DJ103" i="32"/>
  <c r="DJ91" i="32"/>
  <c r="DJ105" i="32"/>
  <c r="DJ106" i="32"/>
  <c r="DJ20" i="32"/>
  <c r="DL100" i="57"/>
  <c r="DL101" i="57"/>
  <c r="DL98" i="57"/>
  <c r="DL86" i="57"/>
  <c r="DL11" i="57"/>
  <c r="DL20" i="57"/>
  <c r="DM10" i="57"/>
  <c r="DL6" i="57"/>
  <c r="DJ7" i="57"/>
  <c r="DK79" i="57"/>
  <c r="DK34" i="57"/>
  <c r="DK33" i="57"/>
  <c r="DK12" i="57"/>
  <c r="DK14" i="57"/>
  <c r="DH7" i="32"/>
  <c r="DJ34" i="32"/>
  <c r="DJ14" i="32"/>
  <c r="DJ84" i="32"/>
  <c r="DK20" i="32"/>
  <c r="DK105" i="32"/>
  <c r="DK106" i="32"/>
  <c r="DK103" i="32"/>
  <c r="DK91" i="32"/>
  <c r="DM100" i="57"/>
  <c r="DM101" i="57"/>
  <c r="DM98" i="57"/>
  <c r="DM86" i="57"/>
  <c r="DM20" i="57"/>
  <c r="DN10" i="57"/>
  <c r="DM11" i="57"/>
  <c r="DL79" i="57"/>
  <c r="DL34" i="57"/>
  <c r="DL33" i="57"/>
  <c r="DL14" i="57"/>
  <c r="DL12" i="57"/>
  <c r="DK7" i="57"/>
  <c r="DM6" i="57"/>
  <c r="DI7" i="32"/>
  <c r="DL103" i="32"/>
  <c r="DL20" i="32"/>
  <c r="DL91" i="32"/>
  <c r="DL105" i="32"/>
  <c r="DL106" i="32"/>
  <c r="DK84" i="32"/>
  <c r="DK14" i="32"/>
  <c r="DK34" i="32"/>
  <c r="DN100" i="57"/>
  <c r="DN101" i="57"/>
  <c r="DN98" i="57"/>
  <c r="DN86" i="57"/>
  <c r="DN11" i="57"/>
  <c r="DN20" i="57"/>
  <c r="DO10" i="57"/>
  <c r="DL7" i="57"/>
  <c r="DN6" i="57"/>
  <c r="DM79" i="57"/>
  <c r="DM34" i="57"/>
  <c r="DM33" i="57"/>
  <c r="DM12" i="57"/>
  <c r="DM14" i="57"/>
  <c r="DJ7" i="32"/>
  <c r="DM105" i="32"/>
  <c r="DM106" i="32"/>
  <c r="DM103" i="32"/>
  <c r="DM20" i="32"/>
  <c r="DM91" i="32"/>
  <c r="DL84" i="32"/>
  <c r="DL34" i="32"/>
  <c r="DL14" i="32"/>
  <c r="DO6" i="57"/>
  <c r="DM7" i="57"/>
  <c r="DO100" i="57"/>
  <c r="DO101" i="57"/>
  <c r="DO98" i="57"/>
  <c r="DO86" i="57"/>
  <c r="DO20" i="57"/>
  <c r="DP10" i="57"/>
  <c r="DO11" i="57"/>
  <c r="DN79" i="57"/>
  <c r="DN34" i="57"/>
  <c r="DN14" i="57"/>
  <c r="DN33" i="57"/>
  <c r="DN12" i="57"/>
  <c r="DK7" i="32"/>
  <c r="DM34" i="32"/>
  <c r="DM84" i="32"/>
  <c r="DM14" i="32"/>
  <c r="DN103" i="32"/>
  <c r="DN20" i="32"/>
  <c r="DN91" i="32"/>
  <c r="DN105" i="32"/>
  <c r="DN106" i="32"/>
  <c r="DP100" i="57"/>
  <c r="DP101" i="57"/>
  <c r="DP98" i="57"/>
  <c r="DP86" i="57"/>
  <c r="DP11" i="57"/>
  <c r="DP20" i="57"/>
  <c r="DQ10" i="57"/>
  <c r="DO79" i="57"/>
  <c r="DO34" i="57"/>
  <c r="DO33" i="57"/>
  <c r="DO12" i="57"/>
  <c r="DO14" i="57"/>
  <c r="DP6" i="57"/>
  <c r="DN7" i="57"/>
  <c r="DL7" i="32"/>
  <c r="DN34" i="32"/>
  <c r="DN14" i="32"/>
  <c r="DN84" i="32"/>
  <c r="DO105" i="32"/>
  <c r="DO106" i="32"/>
  <c r="DO103" i="32"/>
  <c r="DO20" i="32"/>
  <c r="DO91" i="32"/>
  <c r="DQ100" i="57"/>
  <c r="DQ101" i="57"/>
  <c r="DQ98" i="57"/>
  <c r="DQ86" i="57"/>
  <c r="DQ20" i="57"/>
  <c r="DR10" i="57"/>
  <c r="DQ11" i="57"/>
  <c r="DP79" i="57"/>
  <c r="DP34" i="57"/>
  <c r="DP33" i="57"/>
  <c r="DP14" i="57"/>
  <c r="DP12" i="57"/>
  <c r="DO7" i="57"/>
  <c r="DQ6" i="57"/>
  <c r="DM7" i="32"/>
  <c r="DP91" i="32"/>
  <c r="DP105" i="32"/>
  <c r="DP106" i="32"/>
  <c r="DP20" i="32"/>
  <c r="DP103" i="32"/>
  <c r="DO84" i="32"/>
  <c r="DO34" i="32"/>
  <c r="DO14" i="32"/>
  <c r="DR100" i="57"/>
  <c r="DR101" i="57"/>
  <c r="DR98" i="57"/>
  <c r="DR86" i="57"/>
  <c r="DR11" i="57"/>
  <c r="DR20" i="57"/>
  <c r="DS10" i="57"/>
  <c r="DP7" i="57"/>
  <c r="DR6" i="57"/>
  <c r="DQ79" i="57"/>
  <c r="DQ34" i="57"/>
  <c r="DQ33" i="57"/>
  <c r="DQ12" i="57"/>
  <c r="DQ14" i="57"/>
  <c r="DN7" i="32"/>
  <c r="DP14" i="32"/>
  <c r="DP84" i="32"/>
  <c r="DP34" i="32"/>
  <c r="DQ103" i="32"/>
  <c r="DQ91" i="32"/>
  <c r="DQ105" i="32"/>
  <c r="DQ106" i="32"/>
  <c r="DQ20" i="32"/>
  <c r="DQ7" i="57"/>
  <c r="DS6" i="57"/>
  <c r="DS100" i="57"/>
  <c r="DS101" i="57"/>
  <c r="DS98" i="57"/>
  <c r="DS86" i="57"/>
  <c r="DS20" i="57"/>
  <c r="DT10" i="57"/>
  <c r="DS11" i="57"/>
  <c r="DR79" i="57"/>
  <c r="DR34" i="57"/>
  <c r="DR14" i="57"/>
  <c r="DR33" i="57"/>
  <c r="DR12" i="57"/>
  <c r="DO7" i="32"/>
  <c r="DR91" i="32"/>
  <c r="DR20" i="32"/>
  <c r="DR103" i="32"/>
  <c r="DR105" i="32"/>
  <c r="DR106" i="32"/>
  <c r="DQ84" i="32"/>
  <c r="DQ14" i="32"/>
  <c r="DQ34" i="32"/>
  <c r="DS79" i="57"/>
  <c r="DS34" i="57"/>
  <c r="DS33" i="57"/>
  <c r="DS12" i="57"/>
  <c r="DS14" i="57"/>
  <c r="DT100" i="57"/>
  <c r="DT101" i="57"/>
  <c r="DT98" i="57"/>
  <c r="DT86" i="57"/>
  <c r="DT11" i="57"/>
  <c r="DT20" i="57"/>
  <c r="DU10" i="57"/>
  <c r="DT6" i="57"/>
  <c r="DR7" i="57"/>
  <c r="DP7" i="32"/>
  <c r="DR84" i="32"/>
  <c r="DR14" i="32"/>
  <c r="DR34" i="32"/>
  <c r="DS20" i="32"/>
  <c r="DS103" i="32"/>
  <c r="DS105" i="32"/>
  <c r="DS106" i="32"/>
  <c r="DS91" i="32"/>
  <c r="DU100" i="57"/>
  <c r="DU101" i="57"/>
  <c r="DU98" i="57"/>
  <c r="DU86" i="57"/>
  <c r="DU20" i="57"/>
  <c r="DV10" i="57"/>
  <c r="DU11" i="57"/>
  <c r="DT79" i="57"/>
  <c r="DT34" i="57"/>
  <c r="DT33" i="57"/>
  <c r="DT14" i="57"/>
  <c r="DT12" i="57"/>
  <c r="DU6" i="57"/>
  <c r="DS7" i="57"/>
  <c r="DQ7" i="32"/>
  <c r="DS14" i="32"/>
  <c r="DS84" i="32"/>
  <c r="DS34" i="32"/>
  <c r="DT105" i="32"/>
  <c r="DT106" i="32"/>
  <c r="DT20" i="32"/>
  <c r="DT103" i="32"/>
  <c r="DT91" i="32"/>
  <c r="DT7" i="57"/>
  <c r="DV6" i="57"/>
  <c r="DU79" i="57"/>
  <c r="DU34" i="57"/>
  <c r="DU33" i="57"/>
  <c r="DU12" i="57"/>
  <c r="DU14" i="57"/>
  <c r="DV100" i="57"/>
  <c r="DV101" i="57"/>
  <c r="DV98" i="57"/>
  <c r="DV86" i="57"/>
  <c r="DV11" i="57"/>
  <c r="DV20" i="57"/>
  <c r="DW10" i="57"/>
  <c r="DR7" i="32"/>
  <c r="DT14" i="32"/>
  <c r="DT34" i="32"/>
  <c r="DT84" i="32"/>
  <c r="DU105" i="32"/>
  <c r="DU106" i="32"/>
  <c r="DU91" i="32"/>
  <c r="DU103" i="32"/>
  <c r="DU20" i="32"/>
  <c r="DW100" i="57"/>
  <c r="DW101" i="57"/>
  <c r="DW98" i="57"/>
  <c r="DW86" i="57"/>
  <c r="DW20" i="57"/>
  <c r="DX10" i="57"/>
  <c r="DW11" i="57"/>
  <c r="DV79" i="57"/>
  <c r="DV34" i="57"/>
  <c r="DV14" i="57"/>
  <c r="DV33" i="57"/>
  <c r="DV12" i="57"/>
  <c r="DU7" i="57"/>
  <c r="DW6" i="57"/>
  <c r="DS7" i="32"/>
  <c r="DU14" i="32"/>
  <c r="DU34" i="32"/>
  <c r="DU84" i="32"/>
  <c r="DV105" i="32"/>
  <c r="DV106" i="32"/>
  <c r="DV91" i="32"/>
  <c r="DV20" i="32"/>
  <c r="DV103" i="32"/>
  <c r="DX100" i="57"/>
  <c r="DX101" i="57"/>
  <c r="DX98" i="57"/>
  <c r="DX86" i="57"/>
  <c r="DX11" i="57"/>
  <c r="DX20" i="57"/>
  <c r="DY10" i="57"/>
  <c r="DX6" i="57"/>
  <c r="DV7" i="57"/>
  <c r="DW79" i="57"/>
  <c r="DW34" i="57"/>
  <c r="DW33" i="57"/>
  <c r="DW12" i="57"/>
  <c r="DW14" i="57"/>
  <c r="DT7" i="32"/>
  <c r="DW103" i="32"/>
  <c r="DW91" i="32"/>
  <c r="DW105" i="32"/>
  <c r="DW106" i="32"/>
  <c r="DW20" i="32"/>
  <c r="DV34" i="32"/>
  <c r="DV84" i="32"/>
  <c r="DV14" i="32"/>
  <c r="DY6" i="57"/>
  <c r="DW7" i="57"/>
  <c r="DY100" i="57"/>
  <c r="DY101" i="57"/>
  <c r="DY98" i="57"/>
  <c r="DY86" i="57"/>
  <c r="DY20" i="57"/>
  <c r="DZ10" i="57"/>
  <c r="DY11" i="57"/>
  <c r="DX79" i="57"/>
  <c r="DX34" i="57"/>
  <c r="DX33" i="57"/>
  <c r="DX14" i="57"/>
  <c r="DX12" i="57"/>
  <c r="DU7" i="32"/>
  <c r="DW34" i="32"/>
  <c r="DW84" i="32"/>
  <c r="DW14" i="32"/>
  <c r="DX20" i="32"/>
  <c r="DX91" i="32"/>
  <c r="DX105" i="32"/>
  <c r="DX106" i="32"/>
  <c r="DX103" i="32"/>
  <c r="DY79" i="57"/>
  <c r="DY34" i="57"/>
  <c r="DY33" i="57"/>
  <c r="DY12" i="57"/>
  <c r="DY14" i="57"/>
  <c r="DX7" i="57"/>
  <c r="DZ6" i="57"/>
  <c r="DZ100" i="57"/>
  <c r="DZ101" i="57"/>
  <c r="DZ98" i="57"/>
  <c r="DZ86" i="57"/>
  <c r="DZ11" i="57"/>
  <c r="DZ20" i="57"/>
  <c r="EA10" i="57"/>
  <c r="DV7" i="32"/>
  <c r="DX14" i="32"/>
  <c r="DX34" i="32"/>
  <c r="DX84" i="32"/>
  <c r="DY103" i="32"/>
  <c r="DY105" i="32"/>
  <c r="DY106" i="32"/>
  <c r="DY91" i="32"/>
  <c r="DY20" i="32"/>
  <c r="DY7" i="57"/>
  <c r="EA6" i="57"/>
  <c r="EA100" i="57"/>
  <c r="EA101" i="57"/>
  <c r="EA98" i="57"/>
  <c r="EA86" i="57"/>
  <c r="EA20" i="57"/>
  <c r="EB10" i="57"/>
  <c r="EA11" i="57"/>
  <c r="DZ79" i="57"/>
  <c r="DZ34" i="57"/>
  <c r="DZ14" i="57"/>
  <c r="DZ33" i="57"/>
  <c r="DZ12" i="57"/>
  <c r="DW7" i="32"/>
  <c r="DZ105" i="32"/>
  <c r="DZ106" i="32"/>
  <c r="DZ103" i="32"/>
  <c r="DZ20" i="32"/>
  <c r="DZ91" i="32"/>
  <c r="DY14" i="32"/>
  <c r="DY34" i="32"/>
  <c r="DY84" i="32"/>
  <c r="EB100" i="57"/>
  <c r="EB101" i="57"/>
  <c r="EB98" i="57"/>
  <c r="EB86" i="57"/>
  <c r="EB11" i="57"/>
  <c r="EB20" i="57"/>
  <c r="EC10" i="57"/>
  <c r="EB6" i="57"/>
  <c r="DZ7" i="57"/>
  <c r="EA79" i="57"/>
  <c r="EA34" i="57"/>
  <c r="EA33" i="57"/>
  <c r="EA12" i="57"/>
  <c r="EA14" i="57"/>
  <c r="DX7" i="32"/>
  <c r="EA103" i="32"/>
  <c r="EA105" i="32"/>
  <c r="EA106" i="32"/>
  <c r="EA20" i="32"/>
  <c r="EA91" i="32"/>
  <c r="DZ14" i="32"/>
  <c r="DZ34" i="32"/>
  <c r="DZ84" i="32"/>
  <c r="EC100" i="57"/>
  <c r="EC101" i="57"/>
  <c r="EC98" i="57"/>
  <c r="EC86" i="57"/>
  <c r="EC20" i="57"/>
  <c r="ED10" i="57"/>
  <c r="EC11" i="57"/>
  <c r="EB79" i="57"/>
  <c r="EB34" i="57"/>
  <c r="EB33" i="57"/>
  <c r="EB14" i="57"/>
  <c r="EB12" i="57"/>
  <c r="EC6" i="57"/>
  <c r="EA7" i="57"/>
  <c r="DY7" i="32"/>
  <c r="EB103" i="32"/>
  <c r="EB91" i="32"/>
  <c r="EB20" i="32"/>
  <c r="EB105" i="32"/>
  <c r="EB106" i="32"/>
  <c r="EA34" i="32"/>
  <c r="EA14" i="32"/>
  <c r="EA84" i="32"/>
  <c r="ED6" i="57"/>
  <c r="EB7" i="57"/>
  <c r="ED100" i="57"/>
  <c r="ED101" i="57"/>
  <c r="ED98" i="57"/>
  <c r="ED86" i="57"/>
  <c r="ED11" i="57"/>
  <c r="ED20" i="57"/>
  <c r="EE10" i="57"/>
  <c r="EC79" i="57"/>
  <c r="EC34" i="57"/>
  <c r="EC33" i="57"/>
  <c r="EC12" i="57"/>
  <c r="EC14" i="57"/>
  <c r="DZ7" i="32"/>
  <c r="EB84" i="32"/>
  <c r="EB14" i="32"/>
  <c r="EB34" i="32"/>
  <c r="EC91" i="32"/>
  <c r="EC103" i="32"/>
  <c r="EC20" i="32"/>
  <c r="EC105" i="32"/>
  <c r="EC106" i="32"/>
  <c r="EE100" i="57"/>
  <c r="EE101" i="57"/>
  <c r="EE98" i="57"/>
  <c r="EE86" i="57"/>
  <c r="EE20" i="57"/>
  <c r="EF10" i="57"/>
  <c r="EE11" i="57"/>
  <c r="ED79" i="57"/>
  <c r="ED34" i="57"/>
  <c r="ED14" i="57"/>
  <c r="ED33" i="57"/>
  <c r="ED12" i="57"/>
  <c r="EC7" i="57"/>
  <c r="EE6" i="57"/>
  <c r="EA7" i="32"/>
  <c r="EC14" i="32"/>
  <c r="EC34" i="32"/>
  <c r="EC84" i="32"/>
  <c r="ED103" i="32"/>
  <c r="ED91" i="32"/>
  <c r="ED105" i="32"/>
  <c r="ED106" i="32"/>
  <c r="ED20" i="32"/>
  <c r="EF100" i="57"/>
  <c r="EF101" i="57"/>
  <c r="EF98" i="57"/>
  <c r="EF86" i="57"/>
  <c r="EF11" i="57"/>
  <c r="EF20" i="57"/>
  <c r="EG10" i="57"/>
  <c r="ED7" i="57"/>
  <c r="EF6" i="57"/>
  <c r="EE79" i="57"/>
  <c r="EE34" i="57"/>
  <c r="EE33" i="57"/>
  <c r="EE12" i="57"/>
  <c r="EE14" i="57"/>
  <c r="EB7" i="32"/>
  <c r="EE91" i="32"/>
  <c r="EE103" i="32"/>
  <c r="EE20" i="32"/>
  <c r="EE105" i="32"/>
  <c r="EE106" i="32"/>
  <c r="ED84" i="32"/>
  <c r="ED14" i="32"/>
  <c r="ED34" i="32"/>
  <c r="EE7" i="57"/>
  <c r="EG6" i="57"/>
  <c r="EG100" i="57"/>
  <c r="EG101" i="57"/>
  <c r="EG98" i="57"/>
  <c r="EG86" i="57"/>
  <c r="EG20" i="57"/>
  <c r="EH10" i="57"/>
  <c r="EG11" i="57"/>
  <c r="EF79" i="57"/>
  <c r="EF34" i="57"/>
  <c r="EF33" i="57"/>
  <c r="EF14" i="57"/>
  <c r="EF12" i="57"/>
  <c r="EC7" i="32"/>
  <c r="EE84" i="32"/>
  <c r="EE34" i="32"/>
  <c r="EE14" i="32"/>
  <c r="EF103" i="32"/>
  <c r="EF20" i="32"/>
  <c r="EF105" i="32"/>
  <c r="EF106" i="32"/>
  <c r="EF91" i="32"/>
  <c r="EG79" i="57"/>
  <c r="EG34" i="57"/>
  <c r="EG33" i="57"/>
  <c r="EG12" i="57"/>
  <c r="EG14" i="57"/>
  <c r="EH100" i="57"/>
  <c r="EH101" i="57"/>
  <c r="EH98" i="57"/>
  <c r="EH86" i="57"/>
  <c r="EH11" i="57"/>
  <c r="EH20" i="57"/>
  <c r="EI10" i="57"/>
  <c r="EH6" i="57"/>
  <c r="EF7" i="57"/>
  <c r="ED7" i="32"/>
  <c r="EF84" i="32"/>
  <c r="EF34" i="32"/>
  <c r="EF14" i="32"/>
  <c r="EG91" i="32"/>
  <c r="EG103" i="32"/>
  <c r="EG105" i="32"/>
  <c r="EG106" i="32"/>
  <c r="EG20" i="32"/>
  <c r="EI100" i="57"/>
  <c r="EI101" i="57"/>
  <c r="EI98" i="57"/>
  <c r="EI86" i="57"/>
  <c r="EI20" i="57"/>
  <c r="EJ10" i="57"/>
  <c r="EI11" i="57"/>
  <c r="EG7" i="57"/>
  <c r="EI6" i="57"/>
  <c r="EH79" i="57"/>
  <c r="EH34" i="57"/>
  <c r="EH14" i="57"/>
  <c r="EH33" i="57"/>
  <c r="EH12" i="57"/>
  <c r="EE7" i="32"/>
  <c r="EG34" i="32"/>
  <c r="EG84" i="32"/>
  <c r="EG14" i="32"/>
  <c r="EH103" i="32"/>
  <c r="EH91" i="32"/>
  <c r="EH20" i="32"/>
  <c r="EH105" i="32"/>
  <c r="EH106" i="32"/>
  <c r="EH7" i="57"/>
  <c r="EJ6" i="57"/>
  <c r="EI79" i="57"/>
  <c r="EI34" i="57"/>
  <c r="EI33" i="57"/>
  <c r="EI12" i="57"/>
  <c r="EI14" i="57"/>
  <c r="EJ100" i="57"/>
  <c r="EJ101" i="57"/>
  <c r="EJ98" i="57"/>
  <c r="EJ86" i="57"/>
  <c r="EJ11" i="57"/>
  <c r="EJ20" i="57"/>
  <c r="EK10" i="57"/>
  <c r="EF7" i="32"/>
  <c r="EI91" i="32"/>
  <c r="EI103" i="32"/>
  <c r="EI105" i="32"/>
  <c r="EI106" i="32"/>
  <c r="EI20" i="32"/>
  <c r="EH34" i="32"/>
  <c r="EH84" i="32"/>
  <c r="EH14" i="32"/>
  <c r="EK100" i="57"/>
  <c r="EK101" i="57"/>
  <c r="EK98" i="57"/>
  <c r="EK86" i="57"/>
  <c r="EK20" i="57"/>
  <c r="EL10" i="57"/>
  <c r="EK11" i="57"/>
  <c r="EK6" i="57"/>
  <c r="EI7" i="57"/>
  <c r="EJ79" i="57"/>
  <c r="EJ34" i="57"/>
  <c r="EJ33" i="57"/>
  <c r="EJ14" i="57"/>
  <c r="EJ12" i="57"/>
  <c r="EG7" i="32"/>
  <c r="EJ105" i="32"/>
  <c r="EJ106" i="32"/>
  <c r="EJ103" i="32"/>
  <c r="EJ91" i="32"/>
  <c r="EJ20" i="32"/>
  <c r="EI14" i="32"/>
  <c r="EI34" i="32"/>
  <c r="EI84" i="32"/>
  <c r="EK79" i="57"/>
  <c r="EK34" i="57"/>
  <c r="EK33" i="57"/>
  <c r="EK12" i="57"/>
  <c r="EK14" i="57"/>
  <c r="EL6" i="57"/>
  <c r="EJ7" i="57"/>
  <c r="EL100" i="57"/>
  <c r="EL101" i="57"/>
  <c r="EL98" i="57"/>
  <c r="EL86" i="57"/>
  <c r="EL11" i="57"/>
  <c r="EL20" i="57"/>
  <c r="EM10" i="57"/>
  <c r="EH7" i="32"/>
  <c r="EJ84" i="32"/>
  <c r="EJ14" i="32"/>
  <c r="EJ34" i="32"/>
  <c r="EK103" i="32"/>
  <c r="EK105" i="32"/>
  <c r="EK106" i="32"/>
  <c r="EK91" i="32"/>
  <c r="EK20" i="32"/>
  <c r="EM100" i="57"/>
  <c r="EM101" i="57"/>
  <c r="EM98" i="57"/>
  <c r="EM86" i="57"/>
  <c r="EM20" i="57"/>
  <c r="EN10" i="57"/>
  <c r="EM11" i="57"/>
  <c r="EK7" i="57"/>
  <c r="EM6" i="57"/>
  <c r="EL79" i="57"/>
  <c r="EL34" i="57"/>
  <c r="EL14" i="57"/>
  <c r="EL33" i="57"/>
  <c r="EL12" i="57"/>
  <c r="EI7" i="32"/>
  <c r="EK14" i="32"/>
  <c r="EK84" i="32"/>
  <c r="EK34" i="32"/>
  <c r="EL103" i="32"/>
  <c r="EL105" i="32"/>
  <c r="EL106" i="32"/>
  <c r="EL91" i="32"/>
  <c r="EL20" i="32"/>
  <c r="EN6" i="57"/>
  <c r="EL7" i="57"/>
  <c r="EM79" i="57"/>
  <c r="EM34" i="57"/>
  <c r="EM33" i="57"/>
  <c r="EM12" i="57"/>
  <c r="EM14" i="57"/>
  <c r="EN100" i="57"/>
  <c r="EN101" i="57"/>
  <c r="EN98" i="57"/>
  <c r="EN86" i="57"/>
  <c r="EN11" i="57"/>
  <c r="EN20" i="57"/>
  <c r="EO10" i="57"/>
  <c r="EJ7" i="32"/>
  <c r="EL84" i="32"/>
  <c r="EL14" i="32"/>
  <c r="EL34" i="32"/>
  <c r="EM103" i="32"/>
  <c r="EM91" i="32"/>
  <c r="EM20" i="32"/>
  <c r="EM105" i="32"/>
  <c r="EM106" i="32"/>
  <c r="EO100" i="57"/>
  <c r="EO101" i="57"/>
  <c r="EO98" i="57"/>
  <c r="EO86" i="57"/>
  <c r="EO20" i="57"/>
  <c r="EP10" i="57"/>
  <c r="EO11" i="57"/>
  <c r="EN79" i="57"/>
  <c r="EN34" i="57"/>
  <c r="EN33" i="57"/>
  <c r="EN14" i="57"/>
  <c r="EN12" i="57"/>
  <c r="EO6" i="57"/>
  <c r="EM7" i="57"/>
  <c r="EK7" i="32"/>
  <c r="EM34" i="32"/>
  <c r="EM14" i="32"/>
  <c r="EM84" i="32"/>
  <c r="EN103" i="32"/>
  <c r="EN20" i="32"/>
  <c r="EN105" i="32"/>
  <c r="EN106" i="32"/>
  <c r="EN91" i="32"/>
  <c r="EN7" i="57"/>
  <c r="EP6" i="57"/>
  <c r="EO79" i="57"/>
  <c r="EO34" i="57"/>
  <c r="EO33" i="57"/>
  <c r="EO12" i="57"/>
  <c r="EO14" i="57"/>
  <c r="EP100" i="57"/>
  <c r="EP101" i="57"/>
  <c r="EP98" i="57"/>
  <c r="EP86" i="57"/>
  <c r="EP11" i="57"/>
  <c r="EP20" i="57"/>
  <c r="EQ10" i="57"/>
  <c r="EL7" i="32"/>
  <c r="EO105" i="32"/>
  <c r="EO106" i="32"/>
  <c r="EO20" i="32"/>
  <c r="EO103" i="32"/>
  <c r="EO91" i="32"/>
  <c r="EN14" i="32"/>
  <c r="EN84" i="32"/>
  <c r="EN34" i="32"/>
  <c r="EQ100" i="57"/>
  <c r="EQ98" i="57"/>
  <c r="N98" i="57"/>
  <c r="N90" i="57"/>
  <c r="EQ86" i="57"/>
  <c r="EQ20" i="57"/>
  <c r="EQ11" i="57"/>
  <c r="EP79" i="57"/>
  <c r="EP34" i="57"/>
  <c r="EP14" i="57"/>
  <c r="EP33" i="57"/>
  <c r="EP12" i="57"/>
  <c r="EO7" i="57"/>
  <c r="EQ6" i="57"/>
  <c r="EM7" i="32"/>
  <c r="EO34" i="32"/>
  <c r="EO14" i="32"/>
  <c r="EO84" i="32"/>
  <c r="EP103" i="32"/>
  <c r="EP105" i="32"/>
  <c r="EP106" i="32"/>
  <c r="EP20" i="32"/>
  <c r="EP91" i="32"/>
  <c r="EQ79" i="57"/>
  <c r="EQ34" i="57"/>
  <c r="EQ33" i="57"/>
  <c r="EQ12" i="57"/>
  <c r="EQ14" i="57"/>
  <c r="EQ101" i="57"/>
  <c r="ER6" i="57"/>
  <c r="EQ7" i="57"/>
  <c r="EP7" i="57"/>
  <c r="EN7" i="32"/>
  <c r="EQ103" i="32"/>
  <c r="N103" i="32"/>
  <c r="EQ105" i="32"/>
  <c r="EQ20" i="32"/>
  <c r="EQ91" i="32"/>
  <c r="EP14" i="32"/>
  <c r="EP84" i="32"/>
  <c r="EP34" i="32"/>
  <c r="EO7" i="32"/>
  <c r="EQ106" i="32"/>
  <c r="EQ34" i="32"/>
  <c r="EQ14" i="32"/>
  <c r="EQ84" i="32"/>
  <c r="I57" i="40"/>
  <c r="G79" i="40"/>
  <c r="F57" i="40"/>
  <c r="D70" i="40"/>
  <c r="E77" i="40"/>
  <c r="D75" i="40"/>
  <c r="H77" i="40"/>
  <c r="G57" i="40"/>
  <c r="G2" i="40"/>
  <c r="G77" i="40"/>
  <c r="F80" i="40"/>
  <c r="F79" i="40"/>
  <c r="E57" i="40"/>
  <c r="H2" i="40"/>
  <c r="I77" i="40"/>
  <c r="D69" i="40"/>
  <c r="H59" i="40"/>
  <c r="H57" i="40"/>
  <c r="I2" i="40"/>
  <c r="E79" i="40"/>
  <c r="G59" i="40"/>
  <c r="D77" i="40"/>
  <c r="I79" i="40"/>
  <c r="F2" i="40"/>
  <c r="F77" i="40"/>
  <c r="D80" i="40"/>
  <c r="I80" i="40"/>
  <c r="D79" i="40"/>
  <c r="G80" i="40"/>
  <c r="E2" i="40"/>
  <c r="K57" i="40"/>
  <c r="J57" i="40"/>
  <c r="I59" i="40"/>
  <c r="J77" i="40"/>
  <c r="J59" i="40"/>
  <c r="K77" i="40"/>
  <c r="K80" i="40"/>
  <c r="J79" i="40"/>
  <c r="M80" i="40"/>
  <c r="K79" i="40"/>
  <c r="J2" i="40"/>
  <c r="K2" i="40"/>
  <c r="L79" i="40"/>
  <c r="K59" i="40"/>
  <c r="L2" i="40"/>
  <c r="L59" i="40"/>
  <c r="L77" i="40"/>
  <c r="L80" i="40"/>
  <c r="M79" i="40"/>
  <c r="N2" i="40"/>
  <c r="N77" i="40"/>
  <c r="M57" i="40"/>
  <c r="L57" i="40"/>
  <c r="N79" i="40"/>
  <c r="M2" i="40"/>
  <c r="M77" i="40"/>
  <c r="P50" i="40"/>
  <c r="N80" i="40"/>
  <c r="P79" i="40"/>
  <c r="P39" i="40"/>
  <c r="N57" i="40"/>
  <c r="P75" i="40"/>
  <c r="P15" i="40"/>
  <c r="N59" i="40"/>
  <c r="P78" i="40"/>
  <c r="P44" i="40"/>
  <c r="P20" i="40"/>
  <c r="P81" i="40"/>
  <c r="P24" i="40"/>
  <c r="O57" i="40"/>
  <c r="P47" i="40"/>
  <c r="P49" i="40"/>
  <c r="P77" i="40"/>
  <c r="P16" i="40"/>
  <c r="P17" i="40"/>
  <c r="P19" i="40"/>
  <c r="P25" i="40"/>
  <c r="P29" i="40"/>
  <c r="P69" i="40"/>
  <c r="P45" i="40"/>
  <c r="P51" i="40"/>
  <c r="P59" i="40"/>
  <c r="P60" i="40"/>
  <c r="P30" i="40"/>
  <c r="P76" i="40"/>
  <c r="P43" i="40"/>
  <c r="O80" i="40"/>
  <c r="P18" i="40"/>
  <c r="P38" i="40"/>
  <c r="P40" i="40"/>
  <c r="O77" i="40"/>
  <c r="P42" i="40"/>
  <c r="P57" i="40"/>
  <c r="P80" i="40"/>
  <c r="P70" i="40"/>
  <c r="P34" i="40"/>
  <c r="P2" i="40"/>
  <c r="O59" i="40"/>
  <c r="O79" i="40"/>
  <c r="P41" i="40"/>
  <c r="O2" i="40"/>
  <c r="P48" i="40"/>
  <c r="P46" i="40"/>
  <c r="P33" i="40"/>
  <c r="J80" i="40"/>
  <c r="O99" i="57"/>
  <c r="P91" i="57"/>
  <c r="P87" i="57"/>
  <c r="P102" i="57"/>
  <c r="P99" i="57"/>
  <c r="O91" i="57"/>
  <c r="O111" i="57"/>
  <c r="O87" i="57"/>
  <c r="O102" i="57"/>
  <c r="Q87" i="57"/>
  <c r="Q102" i="57"/>
  <c r="R99" i="57"/>
  <c r="R87" i="57"/>
  <c r="R102" i="57"/>
  <c r="R91" i="57"/>
  <c r="Q99" i="57"/>
  <c r="Q91" i="57"/>
  <c r="S87" i="57"/>
  <c r="S102" i="57"/>
  <c r="O108" i="57"/>
  <c r="P42" i="57"/>
  <c r="P44" i="57"/>
  <c r="P46" i="57"/>
  <c r="P50" i="57"/>
  <c r="P53" i="57"/>
  <c r="P55" i="57"/>
  <c r="P75" i="57"/>
  <c r="S99" i="57"/>
  <c r="S91" i="57"/>
  <c r="O110" i="57"/>
  <c r="T99" i="57"/>
  <c r="T87" i="57"/>
  <c r="T102" i="57"/>
  <c r="T91" i="57"/>
  <c r="U87" i="57"/>
  <c r="U102" i="57"/>
  <c r="U99" i="57"/>
  <c r="U91" i="57"/>
  <c r="V99" i="57"/>
  <c r="V87" i="57"/>
  <c r="V102" i="57"/>
  <c r="V91" i="57"/>
  <c r="W87" i="57"/>
  <c r="W102" i="57"/>
  <c r="W99" i="57"/>
  <c r="W91" i="57"/>
  <c r="X99" i="57"/>
  <c r="X87" i="57"/>
  <c r="X102" i="57"/>
  <c r="X91" i="57"/>
  <c r="Y87" i="57"/>
  <c r="Y102" i="57"/>
  <c r="Y99" i="57"/>
  <c r="Y91" i="57"/>
  <c r="Z99" i="57"/>
  <c r="Z87" i="57"/>
  <c r="Z102" i="57"/>
  <c r="Z91" i="57"/>
  <c r="AA99" i="57"/>
  <c r="AA91" i="57"/>
  <c r="AA87" i="57"/>
  <c r="AA102" i="57"/>
  <c r="AB99" i="57"/>
  <c r="AB87" i="57"/>
  <c r="AB102" i="57"/>
  <c r="AB91" i="57"/>
  <c r="AC87" i="57"/>
  <c r="AC102" i="57"/>
  <c r="AC99" i="57"/>
  <c r="AC91" i="57"/>
  <c r="AD99" i="57"/>
  <c r="AD87" i="57"/>
  <c r="AD102" i="57"/>
  <c r="AD91" i="57"/>
  <c r="AE99" i="57"/>
  <c r="AE91" i="57"/>
  <c r="AE87" i="57"/>
  <c r="AE102" i="57"/>
  <c r="AF99" i="57"/>
  <c r="AF87" i="57"/>
  <c r="AF102" i="57"/>
  <c r="AF91" i="57"/>
  <c r="AG87" i="57"/>
  <c r="AG102" i="57"/>
  <c r="AG99" i="57"/>
  <c r="AG91" i="57"/>
  <c r="AH99" i="57"/>
  <c r="AH87" i="57"/>
  <c r="AH102" i="57"/>
  <c r="AH91" i="57"/>
  <c r="AI99" i="57"/>
  <c r="AI91" i="57"/>
  <c r="AI87" i="57"/>
  <c r="AI102" i="57"/>
  <c r="AJ99" i="57"/>
  <c r="AJ87" i="57"/>
  <c r="AJ102" i="57"/>
  <c r="AJ91" i="57"/>
  <c r="AK87" i="57"/>
  <c r="AK102" i="57"/>
  <c r="AK99" i="57"/>
  <c r="AK91" i="57"/>
  <c r="AL99" i="57"/>
  <c r="AL87" i="57"/>
  <c r="AL102" i="57"/>
  <c r="AL91" i="57"/>
  <c r="AM87" i="57"/>
  <c r="AM102" i="57"/>
  <c r="AM99" i="57"/>
  <c r="AM91" i="57"/>
  <c r="AN99" i="57"/>
  <c r="AN87" i="57"/>
  <c r="AN102" i="57"/>
  <c r="AN91" i="57"/>
  <c r="AO99" i="57"/>
  <c r="AO91" i="57"/>
  <c r="AO87" i="57"/>
  <c r="AO102" i="57"/>
  <c r="AP99" i="57"/>
  <c r="AP87" i="57"/>
  <c r="AP102" i="57"/>
  <c r="AP91" i="57"/>
  <c r="AQ87" i="57"/>
  <c r="AQ102" i="57"/>
  <c r="AQ99" i="57"/>
  <c r="AQ91" i="57"/>
  <c r="AR99" i="57"/>
  <c r="AR87" i="57"/>
  <c r="AR102" i="57"/>
  <c r="AR91" i="57"/>
  <c r="AS91" i="57"/>
  <c r="AS99" i="57"/>
  <c r="AS87" i="57"/>
  <c r="AS102" i="57"/>
  <c r="AT99" i="57"/>
  <c r="AT87" i="57"/>
  <c r="AT102" i="57"/>
  <c r="AT91" i="57"/>
  <c r="AU99" i="57"/>
  <c r="AU91" i="57"/>
  <c r="AU87" i="57"/>
  <c r="AU102" i="57"/>
  <c r="AV99" i="57"/>
  <c r="AV87" i="57"/>
  <c r="AV102" i="57"/>
  <c r="AV91" i="57"/>
  <c r="AW99" i="57"/>
  <c r="AW87" i="57"/>
  <c r="AW102" i="57"/>
  <c r="AW91" i="57"/>
  <c r="AX99" i="57"/>
  <c r="AX87" i="57"/>
  <c r="AX102" i="57"/>
  <c r="AX91" i="57"/>
  <c r="AY87" i="57"/>
  <c r="AY102" i="57"/>
  <c r="AY99" i="57"/>
  <c r="AY91" i="57"/>
  <c r="AZ99" i="57"/>
  <c r="AZ87" i="57"/>
  <c r="AZ102" i="57"/>
  <c r="AZ91" i="57"/>
  <c r="BA91" i="57"/>
  <c r="BA99" i="57"/>
  <c r="BA87" i="57"/>
  <c r="BA102" i="57"/>
  <c r="BB99" i="57"/>
  <c r="BB87" i="57"/>
  <c r="BB102" i="57"/>
  <c r="BB91" i="57"/>
  <c r="BC87" i="57"/>
  <c r="BC102" i="57"/>
  <c r="BC99" i="57"/>
  <c r="BC91" i="57"/>
  <c r="BD99" i="57"/>
  <c r="BD87" i="57"/>
  <c r="BD102" i="57"/>
  <c r="BD91" i="57"/>
  <c r="BE99" i="57"/>
  <c r="BE87" i="57"/>
  <c r="BE102" i="57"/>
  <c r="BE91" i="57"/>
  <c r="BF99" i="57"/>
  <c r="BF87" i="57"/>
  <c r="BF102" i="57"/>
  <c r="BF91" i="57"/>
  <c r="BG99" i="57"/>
  <c r="BG91" i="57"/>
  <c r="BG87" i="57"/>
  <c r="BG102" i="57"/>
  <c r="BH99" i="57"/>
  <c r="BH87" i="57"/>
  <c r="BH102" i="57"/>
  <c r="BH91" i="57"/>
  <c r="BI91" i="57"/>
  <c r="BI99" i="57"/>
  <c r="BI87" i="57"/>
  <c r="BI102" i="57"/>
  <c r="BJ99" i="57"/>
  <c r="BJ87" i="57"/>
  <c r="BJ102" i="57"/>
  <c r="BJ91" i="57"/>
  <c r="BK87" i="57"/>
  <c r="BK102" i="57"/>
  <c r="BK99" i="57"/>
  <c r="BL99" i="57"/>
  <c r="BL87" i="57"/>
  <c r="BL102" i="57"/>
  <c r="BM99" i="57"/>
  <c r="BM87" i="57"/>
  <c r="BM102" i="57"/>
  <c r="BN99" i="57"/>
  <c r="BN87" i="57"/>
  <c r="BN102" i="57"/>
  <c r="BO99" i="57"/>
  <c r="BO87" i="57"/>
  <c r="BO102" i="57"/>
  <c r="BP99" i="57"/>
  <c r="BP87" i="57"/>
  <c r="BP102" i="57"/>
  <c r="BQ87" i="57"/>
  <c r="BQ102" i="57"/>
  <c r="BQ99" i="57"/>
  <c r="BR99" i="57"/>
  <c r="BR87" i="57"/>
  <c r="BR102" i="57"/>
  <c r="BS87" i="57"/>
  <c r="BS102" i="57"/>
  <c r="BS99" i="57"/>
  <c r="BT99" i="57"/>
  <c r="BT87" i="57"/>
  <c r="BT102" i="57"/>
  <c r="BU87" i="57"/>
  <c r="BU102" i="57"/>
  <c r="BU99" i="57"/>
  <c r="BV99" i="57"/>
  <c r="BV87" i="57"/>
  <c r="BV102" i="57"/>
  <c r="BW87" i="57"/>
  <c r="BW102" i="57"/>
  <c r="BW99" i="57"/>
  <c r="BX99" i="57"/>
  <c r="BX87" i="57"/>
  <c r="BX102" i="57"/>
  <c r="BY99" i="57"/>
  <c r="BY87" i="57"/>
  <c r="BY102" i="57"/>
  <c r="BZ99" i="57"/>
  <c r="BZ87" i="57"/>
  <c r="BZ102" i="57"/>
  <c r="CA87" i="57"/>
  <c r="CA102" i="57"/>
  <c r="CA99" i="57"/>
  <c r="CB99" i="57"/>
  <c r="CB87" i="57"/>
  <c r="CB102" i="57"/>
  <c r="CC87" i="57"/>
  <c r="CC102" i="57"/>
  <c r="CC99" i="57"/>
  <c r="CD99" i="57"/>
  <c r="CD87" i="57"/>
  <c r="CD102" i="57"/>
  <c r="CE99" i="57"/>
  <c r="CE87" i="57"/>
  <c r="CE102" i="57"/>
  <c r="CF99" i="57"/>
  <c r="CF87" i="57"/>
  <c r="CF102" i="57"/>
  <c r="CG99" i="57"/>
  <c r="CG87" i="57"/>
  <c r="CG102" i="57"/>
  <c r="CH99" i="57"/>
  <c r="CH87" i="57"/>
  <c r="CH102" i="57"/>
  <c r="CI87" i="57"/>
  <c r="CI102" i="57"/>
  <c r="CI99" i="57"/>
  <c r="CJ99" i="57"/>
  <c r="CJ87" i="57"/>
  <c r="CJ102" i="57"/>
  <c r="CK99" i="57"/>
  <c r="CK87" i="57"/>
  <c r="CK102" i="57"/>
  <c r="CL99" i="57"/>
  <c r="CL87" i="57"/>
  <c r="CL102" i="57"/>
  <c r="CM87" i="57"/>
  <c r="CM102" i="57"/>
  <c r="CM99" i="57"/>
  <c r="CN99" i="57"/>
  <c r="CN87" i="57"/>
  <c r="CN102" i="57"/>
  <c r="CO87" i="57"/>
  <c r="CO102" i="57"/>
  <c r="CO99" i="57"/>
  <c r="CP99" i="57"/>
  <c r="CP87" i="57"/>
  <c r="CP102" i="57"/>
  <c r="CQ99" i="57"/>
  <c r="CQ87" i="57"/>
  <c r="CQ102" i="57"/>
  <c r="CR99" i="57"/>
  <c r="CR87" i="57"/>
  <c r="CR102" i="57"/>
  <c r="CS87" i="57"/>
  <c r="CS102" i="57"/>
  <c r="CS99" i="57"/>
  <c r="CT99" i="57"/>
  <c r="CT87" i="57"/>
  <c r="CT102" i="57"/>
  <c r="CU87" i="57"/>
  <c r="CU102" i="57"/>
  <c r="CU99" i="57"/>
  <c r="CV99" i="57"/>
  <c r="CV87" i="57"/>
  <c r="CV102" i="57"/>
  <c r="CW99" i="57"/>
  <c r="CW87" i="57"/>
  <c r="CW102" i="57"/>
  <c r="CX99" i="57"/>
  <c r="CX87" i="57"/>
  <c r="CX102" i="57"/>
  <c r="CY87" i="57"/>
  <c r="CY102" i="57"/>
  <c r="CY99" i="57"/>
  <c r="CZ99" i="57"/>
  <c r="CZ87" i="57"/>
  <c r="CZ102" i="57"/>
  <c r="DA87" i="57"/>
  <c r="DA102" i="57"/>
  <c r="DA99" i="57"/>
  <c r="DB99" i="57"/>
  <c r="DB87" i="57"/>
  <c r="DB102" i="57"/>
  <c r="DC99" i="57"/>
  <c r="DC87" i="57"/>
  <c r="DC102" i="57"/>
  <c r="DD99" i="57"/>
  <c r="DD87" i="57"/>
  <c r="DD102" i="57"/>
  <c r="DE99" i="57"/>
  <c r="DE87" i="57"/>
  <c r="DE102" i="57"/>
  <c r="DF99" i="57"/>
  <c r="DF87" i="57"/>
  <c r="DF102" i="57"/>
  <c r="DG99" i="57"/>
  <c r="DH104" i="57"/>
  <c r="DH109" i="57"/>
  <c r="DH99" i="57"/>
  <c r="DH87" i="57"/>
  <c r="DH102" i="57"/>
  <c r="DH91" i="57"/>
  <c r="DI87" i="57"/>
  <c r="DI102" i="57"/>
  <c r="DI82" i="57"/>
  <c r="DI46" i="57"/>
  <c r="DI104" i="57"/>
  <c r="DI109" i="57"/>
  <c r="DI99" i="57"/>
  <c r="DI91" i="57"/>
  <c r="DI80" i="57"/>
  <c r="DI42" i="57"/>
  <c r="DJ82" i="57"/>
  <c r="DJ46" i="57"/>
  <c r="DJ104" i="57"/>
  <c r="DJ109" i="57"/>
  <c r="DJ99" i="57"/>
  <c r="DJ87" i="57"/>
  <c r="DJ102" i="57"/>
  <c r="DJ91" i="57"/>
  <c r="DJ80" i="57"/>
  <c r="DJ42" i="57"/>
  <c r="DK87" i="57"/>
  <c r="DK102" i="57"/>
  <c r="DK82" i="57"/>
  <c r="DK46" i="57"/>
  <c r="DK104" i="57"/>
  <c r="DK109" i="57"/>
  <c r="DK99" i="57"/>
  <c r="DK91" i="57"/>
  <c r="DK80" i="57"/>
  <c r="DK42" i="57"/>
  <c r="DL82" i="57"/>
  <c r="DL46" i="57"/>
  <c r="DL104" i="57"/>
  <c r="DL109" i="57"/>
  <c r="DL99" i="57"/>
  <c r="DL87" i="57"/>
  <c r="DL102" i="57"/>
  <c r="DL91" i="57"/>
  <c r="DL80" i="57"/>
  <c r="DL42" i="57"/>
  <c r="DM104" i="57"/>
  <c r="DM109" i="57"/>
  <c r="DM99" i="57"/>
  <c r="DM91" i="57"/>
  <c r="DM80" i="57"/>
  <c r="DM42" i="57"/>
  <c r="DM87" i="57"/>
  <c r="DM102" i="57"/>
  <c r="DM82" i="57"/>
  <c r="DM46" i="57"/>
  <c r="DN82" i="57"/>
  <c r="DN46" i="57"/>
  <c r="DN104" i="57"/>
  <c r="DN109" i="57"/>
  <c r="DN99" i="57"/>
  <c r="DN87" i="57"/>
  <c r="DN102" i="57"/>
  <c r="DN91" i="57"/>
  <c r="DN80" i="57"/>
  <c r="DN42" i="57"/>
  <c r="DO87" i="57"/>
  <c r="DO102" i="57"/>
  <c r="DO82" i="57"/>
  <c r="DO46" i="57"/>
  <c r="DO104" i="57"/>
  <c r="DO109" i="57"/>
  <c r="DO99" i="57"/>
  <c r="DO91" i="57"/>
  <c r="DO80" i="57"/>
  <c r="DO42" i="57"/>
  <c r="DP82" i="57"/>
  <c r="DP46" i="57"/>
  <c r="DP104" i="57"/>
  <c r="DP109" i="57"/>
  <c r="DP99" i="57"/>
  <c r="DP87" i="57"/>
  <c r="DP102" i="57"/>
  <c r="DP91" i="57"/>
  <c r="DP80" i="57"/>
  <c r="DP42" i="57"/>
  <c r="DQ104" i="57"/>
  <c r="DQ109" i="57"/>
  <c r="DQ99" i="57"/>
  <c r="DQ91" i="57"/>
  <c r="DQ80" i="57"/>
  <c r="DQ42" i="57"/>
  <c r="DQ87" i="57"/>
  <c r="DQ102" i="57"/>
  <c r="DQ82" i="57"/>
  <c r="DQ46" i="57"/>
  <c r="DR82" i="57"/>
  <c r="DR46" i="57"/>
  <c r="DR104" i="57"/>
  <c r="DR109" i="57"/>
  <c r="DR99" i="57"/>
  <c r="DR87" i="57"/>
  <c r="DR102" i="57"/>
  <c r="DR91" i="57"/>
  <c r="DR80" i="57"/>
  <c r="DR42" i="57"/>
  <c r="DS87" i="57"/>
  <c r="DS102" i="57"/>
  <c r="DS82" i="57"/>
  <c r="DS46" i="57"/>
  <c r="DS104" i="57"/>
  <c r="DS109" i="57"/>
  <c r="DS99" i="57"/>
  <c r="DS91" i="57"/>
  <c r="DS80" i="57"/>
  <c r="DS42" i="57"/>
  <c r="DT82" i="57"/>
  <c r="DT46" i="57"/>
  <c r="DT104" i="57"/>
  <c r="DT109" i="57"/>
  <c r="DT99" i="57"/>
  <c r="DT87" i="57"/>
  <c r="DT102" i="57"/>
  <c r="DT91" i="57"/>
  <c r="DT80" i="57"/>
  <c r="DT42" i="57"/>
  <c r="DU87" i="57"/>
  <c r="DU102" i="57"/>
  <c r="DU82" i="57"/>
  <c r="DU46" i="57"/>
  <c r="DU104" i="57"/>
  <c r="DU109" i="57"/>
  <c r="DU99" i="57"/>
  <c r="DU91" i="57"/>
  <c r="DU80" i="57"/>
  <c r="DU42" i="57"/>
  <c r="DV82" i="57"/>
  <c r="DV46" i="57"/>
  <c r="DV104" i="57"/>
  <c r="DV109" i="57"/>
  <c r="DV99" i="57"/>
  <c r="DV87" i="57"/>
  <c r="DV102" i="57"/>
  <c r="DV91" i="57"/>
  <c r="DV80" i="57"/>
  <c r="DV42" i="57"/>
  <c r="DW87" i="57"/>
  <c r="DW102" i="57"/>
  <c r="DW82" i="57"/>
  <c r="DW46" i="57"/>
  <c r="DW104" i="57"/>
  <c r="DW109" i="57"/>
  <c r="DW99" i="57"/>
  <c r="DW91" i="57"/>
  <c r="DW80" i="57"/>
  <c r="DW42" i="57"/>
  <c r="DX82" i="57"/>
  <c r="DX46" i="57"/>
  <c r="DX104" i="57"/>
  <c r="DX109" i="57"/>
  <c r="DX99" i="57"/>
  <c r="DX87" i="57"/>
  <c r="DX102" i="57"/>
  <c r="DX91" i="57"/>
  <c r="DX80" i="57"/>
  <c r="DX42" i="57"/>
  <c r="DY104" i="57"/>
  <c r="DY109" i="57"/>
  <c r="DY99" i="57"/>
  <c r="DY91" i="57"/>
  <c r="DY80" i="57"/>
  <c r="DY42" i="57"/>
  <c r="DY87" i="57"/>
  <c r="DY102" i="57"/>
  <c r="DY82" i="57"/>
  <c r="DY46" i="57"/>
  <c r="DZ82" i="57"/>
  <c r="DZ46" i="57"/>
  <c r="DZ104" i="57"/>
  <c r="DZ109" i="57"/>
  <c r="DZ99" i="57"/>
  <c r="DZ87" i="57"/>
  <c r="DZ102" i="57"/>
  <c r="DZ91" i="57"/>
  <c r="DZ80" i="57"/>
  <c r="DZ42" i="57"/>
  <c r="EA104" i="57"/>
  <c r="EA109" i="57"/>
  <c r="EA99" i="57"/>
  <c r="EA91" i="57"/>
  <c r="EA80" i="57"/>
  <c r="EA42" i="57"/>
  <c r="EA87" i="57"/>
  <c r="EA102" i="57"/>
  <c r="EA82" i="57"/>
  <c r="EA46" i="57"/>
  <c r="EB82" i="57"/>
  <c r="EB46" i="57"/>
  <c r="EB104" i="57"/>
  <c r="EB109" i="57"/>
  <c r="EB99" i="57"/>
  <c r="EB87" i="57"/>
  <c r="EB102" i="57"/>
  <c r="EB91" i="57"/>
  <c r="EB80" i="57"/>
  <c r="EB42" i="57"/>
  <c r="EC87" i="57"/>
  <c r="EC102" i="57"/>
  <c r="EC82" i="57"/>
  <c r="EC46" i="57"/>
  <c r="EC104" i="57"/>
  <c r="EC109" i="57"/>
  <c r="EC99" i="57"/>
  <c r="EC91" i="57"/>
  <c r="EC80" i="57"/>
  <c r="EC42" i="57"/>
  <c r="ED104" i="57"/>
  <c r="ED109" i="57"/>
  <c r="ED99" i="57"/>
  <c r="ED87" i="57"/>
  <c r="ED102" i="57"/>
  <c r="ED91" i="57"/>
  <c r="ED80" i="57"/>
  <c r="ED42" i="57"/>
  <c r="ED82" i="57"/>
  <c r="ED46" i="57"/>
  <c r="EE104" i="57"/>
  <c r="EE109" i="57"/>
  <c r="EE99" i="57"/>
  <c r="EE91" i="57"/>
  <c r="EE80" i="57"/>
  <c r="EE42" i="57"/>
  <c r="EE87" i="57"/>
  <c r="EE102" i="57"/>
  <c r="EE82" i="57"/>
  <c r="EE46" i="57"/>
  <c r="EF104" i="57"/>
  <c r="EF109" i="57"/>
  <c r="EF99" i="57"/>
  <c r="EF87" i="57"/>
  <c r="EF102" i="57"/>
  <c r="EF91" i="57"/>
  <c r="EF80" i="57"/>
  <c r="EF42" i="57"/>
  <c r="EF82" i="57"/>
  <c r="EF46" i="57"/>
  <c r="EG104" i="57"/>
  <c r="EG109" i="57"/>
  <c r="EG99" i="57"/>
  <c r="EG91" i="57"/>
  <c r="EG80" i="57"/>
  <c r="EG42" i="57"/>
  <c r="EG87" i="57"/>
  <c r="EG102" i="57"/>
  <c r="EG82" i="57"/>
  <c r="EG46" i="57"/>
  <c r="EH82" i="57"/>
  <c r="EH46" i="57"/>
  <c r="EH104" i="57"/>
  <c r="EH109" i="57"/>
  <c r="EH99" i="57"/>
  <c r="EH87" i="57"/>
  <c r="EH102" i="57"/>
  <c r="EH91" i="57"/>
  <c r="EH80" i="57"/>
  <c r="EH42" i="57"/>
  <c r="EI87" i="57"/>
  <c r="EI102" i="57"/>
  <c r="EI82" i="57"/>
  <c r="EI46" i="57"/>
  <c r="EI104" i="57"/>
  <c r="EI109" i="57"/>
  <c r="EI99" i="57"/>
  <c r="EI91" i="57"/>
  <c r="EI80" i="57"/>
  <c r="EI42" i="57"/>
  <c r="EJ82" i="57"/>
  <c r="EJ46" i="57"/>
  <c r="EJ104" i="57"/>
  <c r="EJ109" i="57"/>
  <c r="EJ99" i="57"/>
  <c r="EJ87" i="57"/>
  <c r="EJ102" i="57"/>
  <c r="EJ91" i="57"/>
  <c r="EJ80" i="57"/>
  <c r="EJ42" i="57"/>
  <c r="EK104" i="57"/>
  <c r="EK109" i="57"/>
  <c r="EK99" i="57"/>
  <c r="EK91" i="57"/>
  <c r="EK80" i="57"/>
  <c r="EK42" i="57"/>
  <c r="EK87" i="57"/>
  <c r="EK102" i="57"/>
  <c r="EK82" i="57"/>
  <c r="EK46" i="57"/>
  <c r="EL104" i="57"/>
  <c r="EL109" i="57"/>
  <c r="EL99" i="57"/>
  <c r="EL87" i="57"/>
  <c r="EL102" i="57"/>
  <c r="EL91" i="57"/>
  <c r="EL80" i="57"/>
  <c r="EL42" i="57"/>
  <c r="EL82" i="57"/>
  <c r="EL46" i="57"/>
  <c r="EM82" i="57"/>
  <c r="EM46" i="57"/>
  <c r="EM104" i="57"/>
  <c r="EM109" i="57"/>
  <c r="EM99" i="57"/>
  <c r="EM91" i="57"/>
  <c r="EM87" i="57"/>
  <c r="EM102" i="57"/>
  <c r="EM80" i="57"/>
  <c r="EM42" i="57"/>
  <c r="EN104" i="57"/>
  <c r="EN109" i="57"/>
  <c r="EN99" i="57"/>
  <c r="EN87" i="57"/>
  <c r="EN102" i="57"/>
  <c r="EN91" i="57"/>
  <c r="EN80" i="57"/>
  <c r="EN42" i="57"/>
  <c r="EN82" i="57"/>
  <c r="EN46" i="57"/>
  <c r="EO104" i="57"/>
  <c r="EO109" i="57"/>
  <c r="EO99" i="57"/>
  <c r="EO91" i="57"/>
  <c r="EO87" i="57"/>
  <c r="EO102" i="57"/>
  <c r="EO80" i="57"/>
  <c r="EO42" i="57"/>
  <c r="EO82" i="57"/>
  <c r="EO46" i="57"/>
  <c r="EP82" i="57"/>
  <c r="EP46" i="57"/>
  <c r="EP104" i="57"/>
  <c r="EP109" i="57"/>
  <c r="EP99" i="57"/>
  <c r="EP87" i="57"/>
  <c r="EP102" i="57"/>
  <c r="EP91" i="57"/>
  <c r="EP80" i="57"/>
  <c r="EP42" i="57"/>
  <c r="EQ104" i="57"/>
  <c r="EQ109" i="57"/>
  <c r="EQ99" i="57"/>
  <c r="EQ91" i="57"/>
  <c r="EQ82" i="57"/>
  <c r="EQ46" i="57"/>
  <c r="EQ87" i="57"/>
  <c r="EQ102" i="57"/>
  <c r="EQ80" i="57"/>
  <c r="EQ42" i="57"/>
  <c r="Z104" i="32"/>
  <c r="BW104" i="32"/>
  <c r="EM50" i="32"/>
  <c r="DW109" i="32"/>
  <c r="DW114" i="32"/>
  <c r="DY96" i="32"/>
  <c r="BL92" i="32"/>
  <c r="BL107" i="32"/>
  <c r="DQ96" i="32"/>
  <c r="CC104" i="32"/>
  <c r="DI109" i="32"/>
  <c r="DI114" i="32"/>
  <c r="EH92" i="32"/>
  <c r="EH107" i="32"/>
  <c r="EM92" i="32"/>
  <c r="EM107" i="32"/>
  <c r="EL50" i="32"/>
  <c r="AU96" i="32"/>
  <c r="BP92" i="32"/>
  <c r="BP107" i="32"/>
  <c r="DV109" i="32"/>
  <c r="DV114" i="32"/>
  <c r="CE92" i="32"/>
  <c r="CE107" i="32"/>
  <c r="CJ104" i="32"/>
  <c r="DU96" i="32"/>
  <c r="BR104" i="32"/>
  <c r="EL96" i="32"/>
  <c r="V92" i="32"/>
  <c r="V107" i="32"/>
  <c r="DL96" i="32"/>
  <c r="EH96" i="32"/>
  <c r="EA96" i="32"/>
  <c r="AV104" i="32"/>
  <c r="DO109" i="32"/>
  <c r="DO114" i="32"/>
  <c r="DW92" i="32"/>
  <c r="DW107" i="32"/>
  <c r="EI92" i="32"/>
  <c r="EI107" i="32"/>
  <c r="AI104" i="32"/>
  <c r="DQ92" i="32"/>
  <c r="DQ107" i="32"/>
  <c r="DR85" i="32"/>
  <c r="BF104" i="32"/>
  <c r="EI104" i="32"/>
  <c r="AT104" i="32"/>
  <c r="AJ104" i="32"/>
  <c r="BB96" i="32"/>
  <c r="U92" i="32"/>
  <c r="U107" i="32"/>
  <c r="EK85" i="32"/>
  <c r="CR92" i="32"/>
  <c r="CR107" i="32"/>
  <c r="AQ96" i="32"/>
  <c r="DM50" i="32"/>
  <c r="CX104" i="32"/>
  <c r="EC85" i="32"/>
  <c r="DS85" i="32"/>
  <c r="DQ50" i="32"/>
  <c r="EH104" i="32"/>
  <c r="AQ92" i="32"/>
  <c r="AQ107" i="32"/>
  <c r="EI50" i="32"/>
  <c r="DZ104" i="32"/>
  <c r="DF92" i="32"/>
  <c r="DF107" i="32"/>
  <c r="DA92" i="32"/>
  <c r="DA107" i="32"/>
  <c r="CO92" i="32"/>
  <c r="CO107" i="32"/>
  <c r="BH104" i="32"/>
  <c r="V104" i="32"/>
  <c r="DU109" i="32"/>
  <c r="DU114" i="32"/>
  <c r="AY96" i="32"/>
  <c r="BA96" i="32"/>
  <c r="CV104" i="32"/>
  <c r="EK109" i="32"/>
  <c r="EK114" i="32"/>
  <c r="AL104" i="32"/>
  <c r="DO50" i="32"/>
  <c r="AX104" i="32"/>
  <c r="AF92" i="32"/>
  <c r="AF107" i="32"/>
  <c r="AS96" i="32"/>
  <c r="AS104" i="32"/>
  <c r="DP96" i="32"/>
  <c r="DT109" i="32"/>
  <c r="DT114" i="32"/>
  <c r="BA104" i="32"/>
  <c r="DJ85" i="32"/>
  <c r="DD92" i="32"/>
  <c r="DD107" i="32"/>
  <c r="EG96" i="32"/>
  <c r="EL109" i="32"/>
  <c r="EL114" i="32"/>
  <c r="DT92" i="32"/>
  <c r="DT107" i="32"/>
  <c r="DP92" i="32"/>
  <c r="DP107" i="32"/>
  <c r="T104" i="32"/>
  <c r="DK92" i="32"/>
  <c r="DK107" i="32"/>
  <c r="BN104" i="32"/>
  <c r="EJ50" i="32"/>
  <c r="DW96" i="32"/>
  <c r="BZ104" i="32"/>
  <c r="EB109" i="32"/>
  <c r="EB114" i="32"/>
  <c r="EJ109" i="32"/>
  <c r="EJ114" i="32"/>
  <c r="DC92" i="32"/>
  <c r="DC107" i="32"/>
  <c r="S104" i="32"/>
  <c r="DK109" i="32"/>
  <c r="DK114" i="32"/>
  <c r="EA104" i="32"/>
  <c r="CD104" i="32"/>
  <c r="DS92" i="32"/>
  <c r="DS107" i="32"/>
  <c r="W104" i="32"/>
  <c r="CW92" i="32"/>
  <c r="CW107" i="32"/>
  <c r="DM96" i="32"/>
  <c r="BS104" i="32"/>
  <c r="Y92" i="32"/>
  <c r="Y107" i="32"/>
  <c r="AZ92" i="32"/>
  <c r="AZ107" i="32"/>
  <c r="DK50" i="32"/>
  <c r="DX96" i="32"/>
  <c r="DF104" i="32"/>
  <c r="EE104" i="32"/>
  <c r="CB92" i="32"/>
  <c r="CB107" i="32"/>
  <c r="EJ85" i="32"/>
  <c r="W92" i="32"/>
  <c r="W107" i="32"/>
  <c r="DI50" i="32"/>
  <c r="BD104" i="32"/>
  <c r="BU92" i="32"/>
  <c r="BU107" i="32"/>
  <c r="BD96" i="32"/>
  <c r="AW104" i="32"/>
  <c r="DX85" i="32"/>
  <c r="EC109" i="32"/>
  <c r="EC114" i="32"/>
  <c r="EC50" i="32"/>
  <c r="BG96" i="32"/>
  <c r="O113" i="32"/>
  <c r="CR104" i="32"/>
  <c r="BE92" i="32"/>
  <c r="BE107" i="32"/>
  <c r="S92" i="32"/>
  <c r="S107" i="32"/>
  <c r="CP92" i="32"/>
  <c r="CP107" i="32"/>
  <c r="CP104" i="32"/>
  <c r="DO85" i="32"/>
  <c r="Q104" i="32"/>
  <c r="BD92" i="32"/>
  <c r="BD107" i="32"/>
  <c r="AW96" i="32"/>
  <c r="DX109" i="32"/>
  <c r="DX114" i="32"/>
  <c r="EL92" i="32"/>
  <c r="EL107" i="32"/>
  <c r="CZ104" i="32"/>
  <c r="AU92" i="32"/>
  <c r="AU107" i="32"/>
  <c r="CD92" i="32"/>
  <c r="CD107" i="32"/>
  <c r="AH92" i="32"/>
  <c r="AH107" i="32"/>
  <c r="AK92" i="32"/>
  <c r="AK107" i="32"/>
  <c r="AW92" i="32"/>
  <c r="AW107" i="32"/>
  <c r="BR92" i="32"/>
  <c r="BR107" i="32"/>
  <c r="EE85" i="32"/>
  <c r="ED50" i="32"/>
  <c r="V96" i="32"/>
  <c r="BK104" i="32"/>
  <c r="EF85" i="32"/>
  <c r="AM96" i="32"/>
  <c r="EF104" i="32"/>
  <c r="DK96" i="32"/>
  <c r="BY104" i="32"/>
  <c r="EM104" i="32"/>
  <c r="BT104" i="32"/>
  <c r="EG109" i="32"/>
  <c r="EG114" i="32"/>
  <c r="AY92" i="32"/>
  <c r="AY107" i="32"/>
  <c r="DW50" i="32"/>
  <c r="AM92" i="32"/>
  <c r="AM107" i="32"/>
  <c r="O92" i="32"/>
  <c r="O107" i="32"/>
  <c r="D81" i="40"/>
  <c r="DQ104" i="32"/>
  <c r="CW104" i="32"/>
  <c r="DN85" i="32"/>
  <c r="BM92" i="32"/>
  <c r="BM107" i="32"/>
  <c r="EG85" i="32"/>
  <c r="U96" i="32"/>
  <c r="P104" i="32"/>
  <c r="P96" i="32"/>
  <c r="BK92" i="32"/>
  <c r="BK107" i="32"/>
  <c r="DE104" i="32"/>
  <c r="DM104" i="32"/>
  <c r="AD92" i="32"/>
  <c r="AD107" i="32"/>
  <c r="EO85" i="32"/>
  <c r="EC96" i="32"/>
  <c r="AT96" i="32"/>
  <c r="BF96" i="32"/>
  <c r="DT50" i="32"/>
  <c r="AE104" i="32"/>
  <c r="U104" i="32"/>
  <c r="DA104" i="32"/>
  <c r="DR50" i="32"/>
  <c r="EK50" i="32"/>
  <c r="DN96" i="32"/>
  <c r="AE92" i="32"/>
  <c r="AE107" i="32"/>
  <c r="R92" i="32"/>
  <c r="R107" i="32"/>
  <c r="DU104" i="32"/>
  <c r="DJ96" i="32"/>
  <c r="X92" i="32"/>
  <c r="X107" i="32"/>
  <c r="AJ96" i="32"/>
  <c r="AM104" i="32"/>
  <c r="DN50" i="32"/>
  <c r="BH92" i="32"/>
  <c r="BH107" i="32"/>
  <c r="CQ104" i="32"/>
  <c r="CK104" i="32"/>
  <c r="AD104" i="32"/>
  <c r="AP104" i="32"/>
  <c r="EK92" i="32"/>
  <c r="EK107" i="32"/>
  <c r="EH85" i="32"/>
  <c r="BV92" i="32"/>
  <c r="BV107" i="32"/>
  <c r="EL85" i="32"/>
  <c r="DL92" i="32"/>
  <c r="DL107" i="32"/>
  <c r="DN109" i="32"/>
  <c r="DN114" i="32"/>
  <c r="CT92" i="32"/>
  <c r="CT107" i="32"/>
  <c r="EC104" i="32"/>
  <c r="CH104" i="32"/>
  <c r="DJ109" i="32"/>
  <c r="DJ114" i="32"/>
  <c r="BT92" i="32"/>
  <c r="BT107" i="32"/>
  <c r="DT96" i="32"/>
  <c r="DI96" i="32"/>
  <c r="DP50" i="32"/>
  <c r="Z96" i="32"/>
  <c r="DZ50" i="32"/>
  <c r="Y96" i="32"/>
  <c r="EF92" i="32"/>
  <c r="EF107" i="32"/>
  <c r="DM109" i="32"/>
  <c r="DM114" i="32"/>
  <c r="DV50" i="32"/>
  <c r="DP85" i="32"/>
  <c r="AH104" i="32"/>
  <c r="EN96" i="32"/>
  <c r="AC96" i="32"/>
  <c r="EN109" i="32"/>
  <c r="EN114" i="32"/>
  <c r="AQ104" i="32"/>
  <c r="BL104" i="32"/>
  <c r="EI85" i="32"/>
  <c r="CA92" i="32"/>
  <c r="CA107" i="32"/>
  <c r="DP104" i="32"/>
  <c r="EN104" i="32"/>
  <c r="Z92" i="32"/>
  <c r="Z107" i="32"/>
  <c r="DT104" i="32"/>
  <c r="DY92" i="32"/>
  <c r="DY107" i="32"/>
  <c r="DL109" i="32"/>
  <c r="DL114" i="32"/>
  <c r="EG92" i="32"/>
  <c r="EG107" i="32"/>
  <c r="EC92" i="32"/>
  <c r="EC107" i="32"/>
  <c r="EE92" i="32"/>
  <c r="EE107" i="32"/>
  <c r="DV85" i="32"/>
  <c r="AI92" i="32"/>
  <c r="AI107" i="32"/>
  <c r="BB92" i="32"/>
  <c r="BB107" i="32"/>
  <c r="DU50" i="32"/>
  <c r="AR96" i="32"/>
  <c r="CJ92" i="32"/>
  <c r="CJ107" i="32"/>
  <c r="DY109" i="32"/>
  <c r="DY114" i="32"/>
  <c r="CX92" i="32"/>
  <c r="CX107" i="32"/>
  <c r="EO109" i="32"/>
  <c r="EO114" i="32"/>
  <c r="BB104" i="32"/>
  <c r="BA92" i="32"/>
  <c r="BA107" i="32"/>
  <c r="AX92" i="32"/>
  <c r="AX107" i="32"/>
  <c r="AV92" i="32"/>
  <c r="AV107" i="32"/>
  <c r="AT92" i="32"/>
  <c r="AT107" i="32"/>
  <c r="CY104" i="32"/>
  <c r="BE96" i="32"/>
  <c r="CG92" i="32"/>
  <c r="CG107" i="32"/>
  <c r="DS109" i="32"/>
  <c r="DS114" i="32"/>
  <c r="AS92" i="32"/>
  <c r="AS107" i="32"/>
  <c r="W96" i="32"/>
  <c r="T96" i="32"/>
  <c r="EB92" i="32"/>
  <c r="EB107" i="32"/>
  <c r="DV104" i="32"/>
  <c r="DH109" i="32"/>
  <c r="DH114" i="32"/>
  <c r="EO96" i="32"/>
  <c r="DB104" i="32"/>
  <c r="BX104" i="32"/>
  <c r="CE104" i="32"/>
  <c r="CI92" i="32"/>
  <c r="CI107" i="32"/>
  <c r="CM104" i="32"/>
  <c r="CB104" i="32"/>
  <c r="DY85" i="32"/>
  <c r="BX92" i="32"/>
  <c r="BX107" i="32"/>
  <c r="DV96" i="32"/>
  <c r="Y104" i="32"/>
  <c r="EB104" i="32"/>
  <c r="AV96" i="32"/>
  <c r="DU85" i="32"/>
  <c r="EB96" i="32"/>
  <c r="CS104" i="32"/>
  <c r="X96" i="32"/>
  <c r="AN96" i="32"/>
  <c r="EK104" i="32"/>
  <c r="BC92" i="32"/>
  <c r="BC107" i="32"/>
  <c r="BI92" i="32"/>
  <c r="BI107" i="32"/>
  <c r="DJ92" i="32"/>
  <c r="DJ107" i="32"/>
  <c r="EH50" i="32"/>
  <c r="EN92" i="32"/>
  <c r="EN107" i="32"/>
  <c r="EF109" i="32"/>
  <c r="EF114" i="32"/>
  <c r="BF92" i="32"/>
  <c r="BF107" i="32"/>
  <c r="DH92" i="32"/>
  <c r="DH107" i="32"/>
  <c r="CF92" i="32"/>
  <c r="CF107" i="32"/>
  <c r="Q96" i="32"/>
  <c r="DV92" i="32"/>
  <c r="DV107" i="32"/>
  <c r="DI85" i="32"/>
  <c r="DD104" i="32"/>
  <c r="DC104" i="32"/>
  <c r="DE92" i="32"/>
  <c r="DE107" i="32"/>
  <c r="EO104" i="32"/>
  <c r="DR92" i="32"/>
  <c r="DR107" i="32"/>
  <c r="DK104" i="32"/>
  <c r="EF50" i="32"/>
  <c r="AJ92" i="32"/>
  <c r="AJ107" i="32"/>
  <c r="CH92" i="32"/>
  <c r="CH107" i="32"/>
  <c r="CZ92" i="32"/>
  <c r="CZ107" i="32"/>
  <c r="AI96" i="32"/>
  <c r="S96" i="32"/>
  <c r="DB92" i="32"/>
  <c r="DB107" i="32"/>
  <c r="EJ92" i="32"/>
  <c r="EJ107" i="32"/>
  <c r="DO104" i="32"/>
  <c r="BO104" i="32"/>
  <c r="AK96" i="32"/>
  <c r="EN50" i="32"/>
  <c r="O115" i="32"/>
  <c r="DM85" i="32"/>
  <c r="EE50" i="32"/>
  <c r="DW104" i="32"/>
  <c r="DO96" i="32"/>
  <c r="DS104" i="32"/>
  <c r="AY104" i="32"/>
  <c r="EE96" i="32"/>
  <c r="BE104" i="32"/>
  <c r="DY104" i="32"/>
  <c r="DZ85" i="32"/>
  <c r="EG104" i="32"/>
  <c r="CQ92" i="32"/>
  <c r="CQ107" i="32"/>
  <c r="DU92" i="32"/>
  <c r="DU107" i="32"/>
  <c r="EA85" i="32"/>
  <c r="BI96" i="32"/>
  <c r="AO96" i="32"/>
  <c r="BZ92" i="32"/>
  <c r="BZ107" i="32"/>
  <c r="CS92" i="32"/>
  <c r="CS107" i="32"/>
  <c r="AU104" i="32"/>
  <c r="DJ104" i="32"/>
  <c r="AP96" i="32"/>
  <c r="CV92" i="32"/>
  <c r="CV107" i="32"/>
  <c r="DT85" i="32"/>
  <c r="ED96" i="32"/>
  <c r="EI96" i="32"/>
  <c r="CL92" i="32"/>
  <c r="CL107" i="32"/>
  <c r="DZ96" i="32"/>
  <c r="EM109" i="32"/>
  <c r="EM114" i="32"/>
  <c r="DS96" i="32"/>
  <c r="EA109" i="32"/>
  <c r="EA114" i="32"/>
  <c r="ED85" i="32"/>
  <c r="EB50" i="32"/>
  <c r="ED92" i="32"/>
  <c r="ED107" i="32"/>
  <c r="O96" i="32"/>
  <c r="DQ85" i="32"/>
  <c r="DQ109" i="32"/>
  <c r="DQ114" i="32"/>
  <c r="DY50" i="32"/>
  <c r="CN104" i="32"/>
  <c r="EO92" i="32"/>
  <c r="EO107" i="32"/>
  <c r="AZ96" i="32"/>
  <c r="CA104" i="32"/>
  <c r="Q92" i="32"/>
  <c r="Q107" i="32"/>
  <c r="DO92" i="32"/>
  <c r="DO107" i="32"/>
  <c r="AC104" i="32"/>
  <c r="CC92" i="32"/>
  <c r="CC107" i="32"/>
  <c r="AC92" i="32"/>
  <c r="AC107" i="32"/>
  <c r="X104" i="32"/>
  <c r="BS92" i="32"/>
  <c r="BS107" i="32"/>
  <c r="AA92" i="32"/>
  <c r="AA107" i="32"/>
  <c r="AF104" i="32"/>
  <c r="AE96" i="32"/>
  <c r="DZ92" i="32"/>
  <c r="DZ107" i="32"/>
  <c r="EM85" i="32"/>
  <c r="EN85" i="32"/>
  <c r="DH104" i="32"/>
  <c r="BO92" i="32"/>
  <c r="BO107" i="32"/>
  <c r="AA104" i="32"/>
  <c r="AG96" i="32"/>
  <c r="ED104" i="32"/>
  <c r="DW85" i="32"/>
  <c r="CK92" i="32"/>
  <c r="CK107" i="32"/>
  <c r="AL96" i="32"/>
  <c r="DR96" i="32"/>
  <c r="BJ96" i="32"/>
  <c r="BG92" i="32"/>
  <c r="BG107" i="32"/>
  <c r="BN92" i="32"/>
  <c r="BN107" i="32"/>
  <c r="BC104" i="32"/>
  <c r="CM92" i="32"/>
  <c r="CM107" i="32"/>
  <c r="AG104" i="32"/>
  <c r="EA50" i="32"/>
  <c r="EO50" i="32"/>
  <c r="CU104" i="32"/>
  <c r="DK85" i="32"/>
  <c r="DI104" i="32"/>
  <c r="AR104" i="32"/>
  <c r="BM104" i="32"/>
  <c r="EB85" i="32"/>
  <c r="ED109" i="32"/>
  <c r="ED114" i="32"/>
  <c r="EE109" i="32"/>
  <c r="EE114" i="32"/>
  <c r="AN92" i="32"/>
  <c r="AN107" i="32"/>
  <c r="CT104" i="32"/>
  <c r="EK96" i="32"/>
  <c r="DP109" i="32"/>
  <c r="DP114" i="32"/>
  <c r="BJ92" i="32"/>
  <c r="BJ107" i="32"/>
  <c r="BU104" i="32"/>
  <c r="BJ104" i="32"/>
  <c r="EA92" i="32"/>
  <c r="EA107" i="32"/>
  <c r="DN92" i="32"/>
  <c r="DN107" i="32"/>
  <c r="EM96" i="32"/>
  <c r="CI104" i="32"/>
  <c r="CL104" i="32"/>
  <c r="CF104" i="32"/>
  <c r="AB104" i="32"/>
  <c r="BW92" i="32"/>
  <c r="BW107" i="32"/>
  <c r="CO104" i="32"/>
  <c r="AK104" i="32"/>
  <c r="DX50" i="32"/>
  <c r="AB92" i="32"/>
  <c r="AB107" i="32"/>
  <c r="R104" i="32"/>
  <c r="P92" i="32"/>
  <c r="P107" i="32"/>
  <c r="EL104" i="32"/>
  <c r="DN104" i="32"/>
  <c r="DL104" i="32"/>
  <c r="DI92" i="32"/>
  <c r="DI107" i="32"/>
  <c r="EF96" i="32"/>
  <c r="DM92" i="32"/>
  <c r="DM107" i="32"/>
  <c r="AA96" i="32"/>
  <c r="AG92" i="32"/>
  <c r="AG107" i="32"/>
  <c r="EJ96" i="32"/>
  <c r="AR92" i="32"/>
  <c r="AR107" i="32"/>
  <c r="AO104" i="32"/>
  <c r="DJ50" i="32"/>
  <c r="DS50" i="32"/>
  <c r="EG50" i="32"/>
  <c r="AP92" i="32"/>
  <c r="AP107" i="32"/>
  <c r="CY92" i="32"/>
  <c r="CY107" i="32"/>
  <c r="DZ109" i="32"/>
  <c r="DZ114" i="32"/>
  <c r="DX104" i="32"/>
  <c r="BC96" i="32"/>
  <c r="DL50" i="32"/>
  <c r="AD96" i="32"/>
  <c r="BQ104" i="32"/>
  <c r="BY92" i="32"/>
  <c r="BY107" i="32"/>
  <c r="CN92" i="32"/>
  <c r="CN107" i="32"/>
  <c r="EI109" i="32"/>
  <c r="EI114" i="32"/>
  <c r="AO92" i="32"/>
  <c r="AO107" i="32"/>
  <c r="DX92" i="32"/>
  <c r="DX107" i="32"/>
  <c r="AF96" i="32"/>
  <c r="AZ104" i="32"/>
  <c r="DL85" i="32"/>
  <c r="DG104" i="32"/>
  <c r="P116" i="32"/>
  <c r="BG104" i="32"/>
  <c r="AL92" i="32"/>
  <c r="AL107" i="32"/>
  <c r="BP104" i="32"/>
  <c r="EH109" i="32"/>
  <c r="EH114" i="32"/>
  <c r="EJ104" i="32"/>
  <c r="DR109" i="32"/>
  <c r="DR114" i="32"/>
  <c r="DH96" i="32"/>
  <c r="T92" i="32"/>
  <c r="T107" i="32"/>
  <c r="BI104" i="32"/>
  <c r="BQ92" i="32"/>
  <c r="BQ107" i="32"/>
  <c r="BH96" i="32"/>
  <c r="AB96" i="32"/>
  <c r="BV104" i="32"/>
  <c r="CG104" i="32"/>
  <c r="AN104" i="32"/>
  <c r="DR104" i="32"/>
  <c r="AX96" i="32"/>
  <c r="CU92" i="32"/>
  <c r="CU107" i="32"/>
  <c r="AH96" i="32"/>
  <c r="R96" i="32"/>
  <c r="O104" i="32"/>
  <c r="D78" i="40"/>
  <c r="EP96" i="32"/>
  <c r="EP92" i="32"/>
  <c r="EP107" i="32"/>
  <c r="EP85" i="32"/>
  <c r="EP50" i="32"/>
  <c r="EP104" i="32"/>
  <c r="EP109" i="32"/>
  <c r="EP114" i="32"/>
  <c r="EQ96" i="32"/>
  <c r="EQ87" i="32"/>
  <c r="EQ104" i="32"/>
  <c r="EQ109" i="32"/>
  <c r="EQ114" i="32"/>
  <c r="EQ50" i="32"/>
  <c r="EQ92" i="32"/>
  <c r="EQ107" i="32"/>
  <c r="EQ85" i="32"/>
  <c r="EP7" i="32"/>
  <c r="ER6" i="32"/>
  <c r="EQ7" i="32"/>
  <c r="F59" i="40"/>
  <c r="M59" i="40"/>
  <c r="EQ56" i="32"/>
  <c r="E80" i="40"/>
  <c r="P32" i="40"/>
  <c r="C2" i="40"/>
  <c r="P53" i="40"/>
  <c r="P72" i="40"/>
  <c r="P83" i="40"/>
  <c r="P86" i="40"/>
  <c r="P27" i="40"/>
  <c r="P22" i="40"/>
  <c r="C77" i="40"/>
  <c r="P111" i="57"/>
  <c r="EQ59" i="32"/>
  <c r="O93" i="57"/>
  <c r="O104" i="57"/>
  <c r="O97" i="57"/>
  <c r="P80" i="57"/>
  <c r="P82" i="57"/>
  <c r="Q68" i="57"/>
  <c r="EI93" i="57"/>
  <c r="EJ35" i="57"/>
  <c r="EJ58" i="57"/>
  <c r="EJ59" i="57"/>
  <c r="EJ68" i="57"/>
  <c r="EJ70" i="57"/>
  <c r="EJ61" i="57"/>
  <c r="EJ67" i="57"/>
  <c r="EJ69" i="57"/>
  <c r="EJ63" i="57"/>
  <c r="EJ62" i="57"/>
  <c r="EJ40" i="57"/>
  <c r="EJ65" i="57"/>
  <c r="EJ64" i="57"/>
  <c r="EJ71" i="57"/>
  <c r="EJ54" i="57"/>
  <c r="EJ60" i="57"/>
  <c r="EJ41" i="57"/>
  <c r="EJ52" i="57"/>
  <c r="EJ38" i="57"/>
  <c r="EJ39" i="57"/>
  <c r="EJ13" i="57"/>
  <c r="EH93" i="57"/>
  <c r="EI68" i="57"/>
  <c r="EI65" i="57"/>
  <c r="EI61" i="57"/>
  <c r="EI67" i="57"/>
  <c r="EI62" i="57"/>
  <c r="EI58" i="57"/>
  <c r="EI59" i="57"/>
  <c r="EI35" i="57"/>
  <c r="EI70" i="57"/>
  <c r="EI69" i="57"/>
  <c r="EI63" i="57"/>
  <c r="EI71" i="57"/>
  <c r="EI64" i="57"/>
  <c r="EI60" i="57"/>
  <c r="EI40" i="57"/>
  <c r="EI41" i="57"/>
  <c r="EI54" i="57"/>
  <c r="EI52" i="57"/>
  <c r="EI38" i="57"/>
  <c r="EI39" i="57"/>
  <c r="EI13" i="57"/>
  <c r="EF71" i="57"/>
  <c r="EF67" i="57"/>
  <c r="EF64" i="57"/>
  <c r="EF60" i="57"/>
  <c r="EF65" i="57"/>
  <c r="EF61" i="57"/>
  <c r="EE93" i="57"/>
  <c r="EF69" i="57"/>
  <c r="EF70" i="57"/>
  <c r="EF62" i="57"/>
  <c r="EF68" i="57"/>
  <c r="EF63" i="57"/>
  <c r="EF35" i="57"/>
  <c r="EF58" i="57"/>
  <c r="EF59" i="57"/>
  <c r="EF38" i="57"/>
  <c r="EF39" i="57"/>
  <c r="EF13" i="57"/>
  <c r="EF41" i="57"/>
  <c r="EF54" i="57"/>
  <c r="EF52" i="57"/>
  <c r="EF40" i="57"/>
  <c r="EC93" i="57"/>
  <c r="ED69" i="57"/>
  <c r="ED68" i="57"/>
  <c r="ED62" i="57"/>
  <c r="ED70" i="57"/>
  <c r="ED63" i="57"/>
  <c r="ED58" i="57"/>
  <c r="ED59" i="57"/>
  <c r="ED35" i="57"/>
  <c r="ED71" i="57"/>
  <c r="ED67" i="57"/>
  <c r="ED64" i="57"/>
  <c r="ED60" i="57"/>
  <c r="ED65" i="57"/>
  <c r="ED61" i="57"/>
  <c r="ED38" i="57"/>
  <c r="ED39" i="57"/>
  <c r="ED13" i="57"/>
  <c r="ED41" i="57"/>
  <c r="ED54" i="57"/>
  <c r="ED52" i="57"/>
  <c r="ED40" i="57"/>
  <c r="EB93" i="57"/>
  <c r="EC67" i="57"/>
  <c r="EC69" i="57"/>
  <c r="EC68" i="57"/>
  <c r="EC63" i="57"/>
  <c r="EC62" i="57"/>
  <c r="EC35" i="57"/>
  <c r="EC48" i="57"/>
  <c r="EC60" i="57"/>
  <c r="EC61" i="57"/>
  <c r="EC71" i="57"/>
  <c r="EC70" i="57"/>
  <c r="EC58" i="57"/>
  <c r="EC59" i="57"/>
  <c r="EC64" i="57"/>
  <c r="EC65" i="57"/>
  <c r="EC41" i="57"/>
  <c r="EC40" i="57"/>
  <c r="EC38" i="57"/>
  <c r="EC39" i="57"/>
  <c r="EC13" i="57"/>
  <c r="EC54" i="57"/>
  <c r="EC52" i="57"/>
  <c r="DU93" i="57"/>
  <c r="DV35" i="57"/>
  <c r="DV48" i="57"/>
  <c r="DV61" i="57"/>
  <c r="DV60" i="57"/>
  <c r="DV67" i="57"/>
  <c r="DV52" i="57"/>
  <c r="DV58" i="57"/>
  <c r="DV59" i="57"/>
  <c r="DV70" i="57"/>
  <c r="DV68" i="57"/>
  <c r="DV71" i="57"/>
  <c r="DV65" i="57"/>
  <c r="DV64" i="57"/>
  <c r="DV41" i="57"/>
  <c r="DV38" i="57"/>
  <c r="DV39" i="57"/>
  <c r="DV13" i="57"/>
  <c r="DV63" i="57"/>
  <c r="DV62" i="57"/>
  <c r="DV69" i="57"/>
  <c r="DV54" i="57"/>
  <c r="DV40" i="57"/>
  <c r="DS93" i="57"/>
  <c r="DT35" i="57"/>
  <c r="DT52" i="57"/>
  <c r="DT58" i="57"/>
  <c r="DT59" i="57"/>
  <c r="DT68" i="57"/>
  <c r="DT70" i="57"/>
  <c r="DT54" i="57"/>
  <c r="DT61" i="57"/>
  <c r="DT60" i="57"/>
  <c r="DT67" i="57"/>
  <c r="DT41" i="57"/>
  <c r="DT38" i="57"/>
  <c r="DT39" i="57"/>
  <c r="DT13" i="57"/>
  <c r="DT63" i="57"/>
  <c r="DT62" i="57"/>
  <c r="DT69" i="57"/>
  <c r="DT40" i="57"/>
  <c r="DT65" i="57"/>
  <c r="DT64" i="57"/>
  <c r="DT71" i="57"/>
  <c r="DP71" i="57"/>
  <c r="DP67" i="57"/>
  <c r="DP64" i="57"/>
  <c r="DP60" i="57"/>
  <c r="DP65" i="57"/>
  <c r="DP61" i="57"/>
  <c r="DO93" i="57"/>
  <c r="DP69" i="57"/>
  <c r="DP70" i="57"/>
  <c r="DP62" i="57"/>
  <c r="DP68" i="57"/>
  <c r="DP63" i="57"/>
  <c r="DP58" i="57"/>
  <c r="DP59" i="57"/>
  <c r="DP35" i="57"/>
  <c r="DP38" i="57"/>
  <c r="DP39" i="57"/>
  <c r="DP13" i="57"/>
  <c r="DP41" i="57"/>
  <c r="DP54" i="57"/>
  <c r="DP52" i="57"/>
  <c r="DP40" i="57"/>
  <c r="DN93" i="57"/>
  <c r="DO65" i="57"/>
  <c r="DO67" i="57"/>
  <c r="DO58" i="57"/>
  <c r="DO59" i="57"/>
  <c r="DO35" i="57"/>
  <c r="DO68" i="57"/>
  <c r="DO61" i="57"/>
  <c r="DO62" i="57"/>
  <c r="DO60" i="57"/>
  <c r="DO71" i="57"/>
  <c r="DO69" i="57"/>
  <c r="DO70" i="57"/>
  <c r="DO64" i="57"/>
  <c r="DO63" i="57"/>
  <c r="DO52" i="57"/>
  <c r="DO41" i="57"/>
  <c r="DO54" i="57"/>
  <c r="DO40" i="57"/>
  <c r="DO38" i="57"/>
  <c r="DO39" i="57"/>
  <c r="DO13" i="57"/>
  <c r="DM70" i="57"/>
  <c r="DM71" i="57"/>
  <c r="DM65" i="57"/>
  <c r="DM61" i="57"/>
  <c r="DM64" i="57"/>
  <c r="DM60" i="57"/>
  <c r="DM35" i="57"/>
  <c r="DL93" i="57"/>
  <c r="DM68" i="57"/>
  <c r="DM67" i="57"/>
  <c r="DM63" i="57"/>
  <c r="DM69" i="57"/>
  <c r="DM62" i="57"/>
  <c r="DM58" i="57"/>
  <c r="DM59" i="57"/>
  <c r="DM54" i="57"/>
  <c r="DM41" i="57"/>
  <c r="DM52" i="57"/>
  <c r="DM40" i="57"/>
  <c r="DM38" i="57"/>
  <c r="DM39" i="57"/>
  <c r="DM13" i="57"/>
  <c r="DL71" i="57"/>
  <c r="DL64" i="57"/>
  <c r="DL65" i="57"/>
  <c r="DK93" i="57"/>
  <c r="DL67" i="57"/>
  <c r="DL60" i="57"/>
  <c r="DL61" i="57"/>
  <c r="DL35" i="57"/>
  <c r="DL52" i="57"/>
  <c r="DL63" i="57"/>
  <c r="DL62" i="57"/>
  <c r="DL69" i="57"/>
  <c r="DL58" i="57"/>
  <c r="DL59" i="57"/>
  <c r="DL68" i="57"/>
  <c r="DL70" i="57"/>
  <c r="DL54" i="57"/>
  <c r="DL38" i="57"/>
  <c r="DL39" i="57"/>
  <c r="DL13" i="57"/>
  <c r="DL40" i="57"/>
  <c r="DL41" i="57"/>
  <c r="DJ93" i="57"/>
  <c r="DK68" i="57"/>
  <c r="DK65" i="57"/>
  <c r="DK61" i="57"/>
  <c r="DK67" i="57"/>
  <c r="DK62" i="57"/>
  <c r="DK58" i="57"/>
  <c r="DK59" i="57"/>
  <c r="DK35" i="57"/>
  <c r="DK70" i="57"/>
  <c r="DK69" i="57"/>
  <c r="DK63" i="57"/>
  <c r="DK71" i="57"/>
  <c r="DK64" i="57"/>
  <c r="DK60" i="57"/>
  <c r="DK52" i="57"/>
  <c r="DK40" i="57"/>
  <c r="DK38" i="57"/>
  <c r="DK39" i="57"/>
  <c r="DK13" i="57"/>
  <c r="DK41" i="57"/>
  <c r="DK54" i="57"/>
  <c r="DI93" i="57"/>
  <c r="DJ69" i="57"/>
  <c r="DJ68" i="57"/>
  <c r="DJ62" i="57"/>
  <c r="DJ70" i="57"/>
  <c r="DJ63" i="57"/>
  <c r="DJ58" i="57"/>
  <c r="DJ59" i="57"/>
  <c r="DJ35" i="57"/>
  <c r="DJ71" i="57"/>
  <c r="DJ67" i="57"/>
  <c r="DJ64" i="57"/>
  <c r="DJ60" i="57"/>
  <c r="DJ65" i="57"/>
  <c r="DJ61" i="57"/>
  <c r="DJ52" i="57"/>
  <c r="DJ54" i="57"/>
  <c r="DJ38" i="57"/>
  <c r="DJ39" i="57"/>
  <c r="DJ13" i="57"/>
  <c r="DJ41" i="57"/>
  <c r="DJ40" i="57"/>
  <c r="P110" i="57"/>
  <c r="P108" i="57"/>
  <c r="EQ70" i="57"/>
  <c r="EQ69" i="57"/>
  <c r="EQ63" i="57"/>
  <c r="EQ71" i="57"/>
  <c r="EQ64" i="57"/>
  <c r="EQ60" i="57"/>
  <c r="EP93" i="57"/>
  <c r="EQ68" i="57"/>
  <c r="EQ65" i="57"/>
  <c r="EQ61" i="57"/>
  <c r="EQ67" i="57"/>
  <c r="EQ62" i="57"/>
  <c r="EQ58" i="57"/>
  <c r="EQ59" i="57"/>
  <c r="EQ35" i="57"/>
  <c r="EQ54" i="57"/>
  <c r="EQ52" i="57"/>
  <c r="EQ40" i="57"/>
  <c r="EQ38" i="57"/>
  <c r="EQ39" i="57"/>
  <c r="EQ13" i="57"/>
  <c r="EQ41" i="57"/>
  <c r="EO93" i="57"/>
  <c r="EP68" i="57"/>
  <c r="EP70" i="57"/>
  <c r="EP58" i="57"/>
  <c r="EP59" i="57"/>
  <c r="EP35" i="57"/>
  <c r="EP69" i="57"/>
  <c r="EP62" i="57"/>
  <c r="EP63" i="57"/>
  <c r="EP40" i="57"/>
  <c r="EP65" i="57"/>
  <c r="EP64" i="57"/>
  <c r="EP71" i="57"/>
  <c r="EP54" i="57"/>
  <c r="EP61" i="57"/>
  <c r="EP60" i="57"/>
  <c r="EP67" i="57"/>
  <c r="EP41" i="57"/>
  <c r="EP52" i="57"/>
  <c r="EP38" i="57"/>
  <c r="EP39" i="57"/>
  <c r="EP13" i="57"/>
  <c r="EO70" i="57"/>
  <c r="EO71" i="57"/>
  <c r="EO65" i="57"/>
  <c r="EO61" i="57"/>
  <c r="EO64" i="57"/>
  <c r="EO60" i="57"/>
  <c r="EO35" i="57"/>
  <c r="EN93" i="57"/>
  <c r="EO68" i="57"/>
  <c r="EO67" i="57"/>
  <c r="EO63" i="57"/>
  <c r="EO69" i="57"/>
  <c r="EO62" i="57"/>
  <c r="EO58" i="57"/>
  <c r="EO59" i="57"/>
  <c r="EO41" i="57"/>
  <c r="EO54" i="57"/>
  <c r="EO52" i="57"/>
  <c r="EO38" i="57"/>
  <c r="EO39" i="57"/>
  <c r="EO13" i="57"/>
  <c r="EO40" i="57"/>
  <c r="EM93" i="57"/>
  <c r="EN35" i="57"/>
  <c r="EN54" i="57"/>
  <c r="EN61" i="57"/>
  <c r="EN60" i="57"/>
  <c r="EN67" i="57"/>
  <c r="EN41" i="57"/>
  <c r="EN38" i="57"/>
  <c r="EN39" i="57"/>
  <c r="EN13" i="57"/>
  <c r="EN63" i="57"/>
  <c r="EN62" i="57"/>
  <c r="EN69" i="57"/>
  <c r="EN40" i="57"/>
  <c r="EN65" i="57"/>
  <c r="EN64" i="57"/>
  <c r="EN71" i="57"/>
  <c r="EN52" i="57"/>
  <c r="EN58" i="57"/>
  <c r="EN59" i="57"/>
  <c r="EN68" i="57"/>
  <c r="EN70" i="57"/>
  <c r="EM70" i="57"/>
  <c r="EM69" i="57"/>
  <c r="EM63" i="57"/>
  <c r="EM71" i="57"/>
  <c r="EM64" i="57"/>
  <c r="EM60" i="57"/>
  <c r="EL93" i="57"/>
  <c r="EM68" i="57"/>
  <c r="EM65" i="57"/>
  <c r="EM61" i="57"/>
  <c r="EM67" i="57"/>
  <c r="EM62" i="57"/>
  <c r="EM58" i="57"/>
  <c r="EM59" i="57"/>
  <c r="EM35" i="57"/>
  <c r="EM52" i="57"/>
  <c r="EM40" i="57"/>
  <c r="EM38" i="57"/>
  <c r="EM39" i="57"/>
  <c r="EM13" i="57"/>
  <c r="EM41" i="57"/>
  <c r="EM54" i="57"/>
  <c r="EK93" i="57"/>
  <c r="EL35" i="57"/>
  <c r="EL58" i="57"/>
  <c r="EL59" i="57"/>
  <c r="EL70" i="57"/>
  <c r="EL68" i="57"/>
  <c r="EL54" i="57"/>
  <c r="EL61" i="57"/>
  <c r="EL60" i="57"/>
  <c r="EL67" i="57"/>
  <c r="EL69" i="57"/>
  <c r="EL63" i="57"/>
  <c r="EL62" i="57"/>
  <c r="EL40" i="57"/>
  <c r="EL65" i="57"/>
  <c r="EL64" i="57"/>
  <c r="EL71" i="57"/>
  <c r="EL52" i="57"/>
  <c r="EL41" i="57"/>
  <c r="EL38" i="57"/>
  <c r="EL39" i="57"/>
  <c r="EL13" i="57"/>
  <c r="EK70" i="57"/>
  <c r="EK71" i="57"/>
  <c r="EK61" i="57"/>
  <c r="EK60" i="57"/>
  <c r="EJ93" i="57"/>
  <c r="EK68" i="57"/>
  <c r="EK67" i="57"/>
  <c r="EK63" i="57"/>
  <c r="EK69" i="57"/>
  <c r="EK62" i="57"/>
  <c r="EK58" i="57"/>
  <c r="EK59" i="57"/>
  <c r="EK65" i="57"/>
  <c r="EK64" i="57"/>
  <c r="EK35" i="57"/>
  <c r="EK41" i="57"/>
  <c r="EK54" i="57"/>
  <c r="EK52" i="57"/>
  <c r="EK38" i="57"/>
  <c r="EK39" i="57"/>
  <c r="EK13" i="57"/>
  <c r="EK40" i="57"/>
  <c r="EG93" i="57"/>
  <c r="EH35" i="57"/>
  <c r="EH63" i="57"/>
  <c r="EH62" i="57"/>
  <c r="EH54" i="57"/>
  <c r="EH61" i="57"/>
  <c r="EH60" i="57"/>
  <c r="EH67" i="57"/>
  <c r="EH69" i="57"/>
  <c r="EH58" i="57"/>
  <c r="EH59" i="57"/>
  <c r="EH70" i="57"/>
  <c r="EH68" i="57"/>
  <c r="EH40" i="57"/>
  <c r="EH65" i="57"/>
  <c r="EH64" i="57"/>
  <c r="EH71" i="57"/>
  <c r="EH52" i="57"/>
  <c r="EH38" i="57"/>
  <c r="EH39" i="57"/>
  <c r="EH13" i="57"/>
  <c r="EH41" i="57"/>
  <c r="EG70" i="57"/>
  <c r="EG71" i="57"/>
  <c r="EG65" i="57"/>
  <c r="EG61" i="57"/>
  <c r="EG64" i="57"/>
  <c r="EG60" i="57"/>
  <c r="EG35" i="57"/>
  <c r="EF93" i="57"/>
  <c r="EG68" i="57"/>
  <c r="EG67" i="57"/>
  <c r="EG63" i="57"/>
  <c r="EG69" i="57"/>
  <c r="EG62" i="57"/>
  <c r="EG58" i="57"/>
  <c r="EG59" i="57"/>
  <c r="EG54" i="57"/>
  <c r="EG52" i="57"/>
  <c r="EG38" i="57"/>
  <c r="EG39" i="57"/>
  <c r="EG13" i="57"/>
  <c r="EG40" i="57"/>
  <c r="EG41" i="57"/>
  <c r="EE70" i="57"/>
  <c r="EE69" i="57"/>
  <c r="EE63" i="57"/>
  <c r="EE71" i="57"/>
  <c r="EE64" i="57"/>
  <c r="EE60" i="57"/>
  <c r="ED93" i="57"/>
  <c r="EE68" i="57"/>
  <c r="EE65" i="57"/>
  <c r="EE61" i="57"/>
  <c r="EE67" i="57"/>
  <c r="EE62" i="57"/>
  <c r="EE58" i="57"/>
  <c r="EE59" i="57"/>
  <c r="EE35" i="57"/>
  <c r="EE41" i="57"/>
  <c r="EE54" i="57"/>
  <c r="EE52" i="57"/>
  <c r="EE40" i="57"/>
  <c r="EE38" i="57"/>
  <c r="EE39" i="57"/>
  <c r="EE13" i="57"/>
  <c r="EA93" i="57"/>
  <c r="EB69" i="57"/>
  <c r="EB70" i="57"/>
  <c r="EB62" i="57"/>
  <c r="EB68" i="57"/>
  <c r="EB63" i="57"/>
  <c r="EB58" i="57"/>
  <c r="EB59" i="57"/>
  <c r="EB35" i="57"/>
  <c r="EB71" i="57"/>
  <c r="EB67" i="57"/>
  <c r="EB64" i="57"/>
  <c r="EB60" i="57"/>
  <c r="EB65" i="57"/>
  <c r="EB61" i="57"/>
  <c r="EB52" i="57"/>
  <c r="EB40" i="57"/>
  <c r="EB38" i="57"/>
  <c r="EB39" i="57"/>
  <c r="EB13" i="57"/>
  <c r="EB41" i="57"/>
  <c r="EB54" i="57"/>
  <c r="EA70" i="57"/>
  <c r="EA69" i="57"/>
  <c r="EA63" i="57"/>
  <c r="EA71" i="57"/>
  <c r="EA64" i="57"/>
  <c r="EA60" i="57"/>
  <c r="DZ93" i="57"/>
  <c r="EA68" i="57"/>
  <c r="EA65" i="57"/>
  <c r="EA61" i="57"/>
  <c r="EA67" i="57"/>
  <c r="EA62" i="57"/>
  <c r="EA58" i="57"/>
  <c r="EA59" i="57"/>
  <c r="EA35" i="57"/>
  <c r="EA52" i="57"/>
  <c r="EA40" i="57"/>
  <c r="EA38" i="57"/>
  <c r="EA39" i="57"/>
  <c r="EA13" i="57"/>
  <c r="EA41" i="57"/>
  <c r="EA54" i="57"/>
  <c r="DY93" i="57"/>
  <c r="DZ35" i="57"/>
  <c r="DZ48" i="57"/>
  <c r="DZ65" i="57"/>
  <c r="DZ64" i="57"/>
  <c r="DZ41" i="57"/>
  <c r="DZ38" i="57"/>
  <c r="DZ39" i="57"/>
  <c r="DZ13" i="57"/>
  <c r="DZ63" i="57"/>
  <c r="DZ62" i="57"/>
  <c r="DZ69" i="57"/>
  <c r="DZ71" i="57"/>
  <c r="DZ61" i="57"/>
  <c r="DZ60" i="57"/>
  <c r="DZ67" i="57"/>
  <c r="DZ52" i="57"/>
  <c r="DZ58" i="57"/>
  <c r="DZ59" i="57"/>
  <c r="DZ70" i="57"/>
  <c r="DZ68" i="57"/>
  <c r="DZ54" i="57"/>
  <c r="DZ40" i="57"/>
  <c r="DY70" i="57"/>
  <c r="DY71" i="57"/>
  <c r="DY65" i="57"/>
  <c r="DY61" i="57"/>
  <c r="DY64" i="57"/>
  <c r="DY60" i="57"/>
  <c r="DY35" i="57"/>
  <c r="DX93" i="57"/>
  <c r="DY68" i="57"/>
  <c r="DY67" i="57"/>
  <c r="DY63" i="57"/>
  <c r="DY69" i="57"/>
  <c r="DY62" i="57"/>
  <c r="DY58" i="57"/>
  <c r="DY59" i="57"/>
  <c r="DY38" i="57"/>
  <c r="DY39" i="57"/>
  <c r="DY13" i="57"/>
  <c r="DY40" i="57"/>
  <c r="DY41" i="57"/>
  <c r="DY54" i="57"/>
  <c r="DY52" i="57"/>
  <c r="DX71" i="57"/>
  <c r="DX67" i="57"/>
  <c r="DX64" i="57"/>
  <c r="DX60" i="57"/>
  <c r="DX65" i="57"/>
  <c r="DX61" i="57"/>
  <c r="DW93" i="57"/>
  <c r="DX69" i="57"/>
  <c r="DX70" i="57"/>
  <c r="DX62" i="57"/>
  <c r="DX68" i="57"/>
  <c r="DX63" i="57"/>
  <c r="DX58" i="57"/>
  <c r="DX59" i="57"/>
  <c r="DX35" i="57"/>
  <c r="DX38" i="57"/>
  <c r="DX39" i="57"/>
  <c r="DX13" i="57"/>
  <c r="DX41" i="57"/>
  <c r="DX54" i="57"/>
  <c r="DX52" i="57"/>
  <c r="DX40" i="57"/>
  <c r="DV93" i="57"/>
  <c r="DW68" i="57"/>
  <c r="DW65" i="57"/>
  <c r="DW61" i="57"/>
  <c r="DW67" i="57"/>
  <c r="DW62" i="57"/>
  <c r="DW58" i="57"/>
  <c r="DW59" i="57"/>
  <c r="DW35" i="57"/>
  <c r="DW70" i="57"/>
  <c r="DW69" i="57"/>
  <c r="DW63" i="57"/>
  <c r="DW71" i="57"/>
  <c r="DW64" i="57"/>
  <c r="DW60" i="57"/>
  <c r="DW41" i="57"/>
  <c r="DW54" i="57"/>
  <c r="DW52" i="57"/>
  <c r="DW40" i="57"/>
  <c r="DW38" i="57"/>
  <c r="DW39" i="57"/>
  <c r="DW13" i="57"/>
  <c r="DT93" i="57"/>
  <c r="DU68" i="57"/>
  <c r="DU67" i="57"/>
  <c r="DU63" i="57"/>
  <c r="DU69" i="57"/>
  <c r="DU62" i="57"/>
  <c r="DU58" i="57"/>
  <c r="DU59" i="57"/>
  <c r="DU70" i="57"/>
  <c r="DU71" i="57"/>
  <c r="DU65" i="57"/>
  <c r="DU61" i="57"/>
  <c r="DU64" i="57"/>
  <c r="DU60" i="57"/>
  <c r="DU35" i="57"/>
  <c r="DU41" i="57"/>
  <c r="DU54" i="57"/>
  <c r="DU52" i="57"/>
  <c r="DU38" i="57"/>
  <c r="DU39" i="57"/>
  <c r="DU13" i="57"/>
  <c r="DU40" i="57"/>
  <c r="DR93" i="57"/>
  <c r="DS65" i="57"/>
  <c r="DS67" i="57"/>
  <c r="DS58" i="57"/>
  <c r="DS59" i="57"/>
  <c r="DS35" i="57"/>
  <c r="DS48" i="57"/>
  <c r="DS68" i="57"/>
  <c r="DS61" i="57"/>
  <c r="DS62" i="57"/>
  <c r="DS38" i="57"/>
  <c r="DS39" i="57"/>
  <c r="DS13" i="57"/>
  <c r="DS54" i="57"/>
  <c r="DS64" i="57"/>
  <c r="DS63" i="57"/>
  <c r="DS70" i="57"/>
  <c r="DS60" i="57"/>
  <c r="DS71" i="57"/>
  <c r="DS69" i="57"/>
  <c r="DS41" i="57"/>
  <c r="DS40" i="57"/>
  <c r="DS52" i="57"/>
  <c r="DR71" i="57"/>
  <c r="DR67" i="57"/>
  <c r="DR64" i="57"/>
  <c r="DR60" i="57"/>
  <c r="DR65" i="57"/>
  <c r="DR61" i="57"/>
  <c r="DQ93" i="57"/>
  <c r="DR69" i="57"/>
  <c r="DR68" i="57"/>
  <c r="DR62" i="57"/>
  <c r="DR70" i="57"/>
  <c r="DR63" i="57"/>
  <c r="DR58" i="57"/>
  <c r="DR59" i="57"/>
  <c r="DR35" i="57"/>
  <c r="DR41" i="57"/>
  <c r="DR54" i="57"/>
  <c r="DR52" i="57"/>
  <c r="DR40" i="57"/>
  <c r="DR38" i="57"/>
  <c r="DR39" i="57"/>
  <c r="DR13" i="57"/>
  <c r="DQ70" i="57"/>
  <c r="DQ71" i="57"/>
  <c r="DQ65" i="57"/>
  <c r="DQ61" i="57"/>
  <c r="DQ64" i="57"/>
  <c r="DQ60" i="57"/>
  <c r="DQ35" i="57"/>
  <c r="DP93" i="57"/>
  <c r="DQ68" i="57"/>
  <c r="DQ67" i="57"/>
  <c r="DQ63" i="57"/>
  <c r="DQ69" i="57"/>
  <c r="DQ62" i="57"/>
  <c r="DQ58" i="57"/>
  <c r="DQ59" i="57"/>
  <c r="DQ40" i="57"/>
  <c r="DQ41" i="57"/>
  <c r="DQ54" i="57"/>
  <c r="DQ52" i="57"/>
  <c r="DQ38" i="57"/>
  <c r="DQ39" i="57"/>
  <c r="DQ13" i="57"/>
  <c r="DN71" i="57"/>
  <c r="DN67" i="57"/>
  <c r="DN64" i="57"/>
  <c r="DN60" i="57"/>
  <c r="DN65" i="57"/>
  <c r="DN61" i="57"/>
  <c r="DM93" i="57"/>
  <c r="DN69" i="57"/>
  <c r="DN68" i="57"/>
  <c r="DN62" i="57"/>
  <c r="DN70" i="57"/>
  <c r="DN63" i="57"/>
  <c r="DN58" i="57"/>
  <c r="DN59" i="57"/>
  <c r="DN35" i="57"/>
  <c r="DN52" i="57"/>
  <c r="DN40" i="57"/>
  <c r="DN38" i="57"/>
  <c r="DN39" i="57"/>
  <c r="DN13" i="57"/>
  <c r="DN41" i="57"/>
  <c r="DN54" i="57"/>
  <c r="EQ93" i="57"/>
  <c r="N99" i="57"/>
  <c r="G78" i="40"/>
  <c r="F78" i="40"/>
  <c r="M70" i="40"/>
  <c r="P35" i="40"/>
  <c r="P55" i="40"/>
  <c r="P87" i="40"/>
  <c r="P113" i="32"/>
  <c r="D62" i="40"/>
  <c r="D72" i="40"/>
  <c r="D83" i="40"/>
  <c r="O98" i="32"/>
  <c r="EQ52" i="32"/>
  <c r="EQ63" i="32"/>
  <c r="EQ64" i="32"/>
  <c r="EQ74" i="32"/>
  <c r="EQ66" i="32"/>
  <c r="EQ70" i="32"/>
  <c r="EQ71" i="32"/>
  <c r="EQ72" i="32"/>
  <c r="EQ75" i="32"/>
  <c r="EQ73" i="32"/>
  <c r="EQ67" i="32"/>
  <c r="EQ51" i="32"/>
  <c r="EQ76" i="32"/>
  <c r="EQ68" i="32"/>
  <c r="EQ65" i="32"/>
  <c r="EQ69" i="32"/>
  <c r="EC68" i="32"/>
  <c r="EC67" i="32"/>
  <c r="EC65" i="32"/>
  <c r="EC73" i="32"/>
  <c r="EC74" i="32"/>
  <c r="EC75" i="32"/>
  <c r="EC66" i="32"/>
  <c r="EC72" i="32"/>
  <c r="EC59" i="32"/>
  <c r="EC70" i="32"/>
  <c r="EC71" i="32"/>
  <c r="EC69" i="32"/>
  <c r="EC76" i="32"/>
  <c r="EC63" i="32"/>
  <c r="EC64" i="32"/>
  <c r="EC51" i="32"/>
  <c r="EC56" i="32"/>
  <c r="DW69" i="32"/>
  <c r="DW70" i="32"/>
  <c r="DW71" i="32"/>
  <c r="DW66" i="32"/>
  <c r="DW56" i="32"/>
  <c r="DW65" i="32"/>
  <c r="DW51" i="32"/>
  <c r="DW73" i="32"/>
  <c r="DW74" i="32"/>
  <c r="DW72" i="32"/>
  <c r="DW76" i="32"/>
  <c r="DW59" i="32"/>
  <c r="DW67" i="32"/>
  <c r="DW75" i="32"/>
  <c r="DW63" i="32"/>
  <c r="DW64" i="32"/>
  <c r="DW68" i="32"/>
  <c r="O116" i="32"/>
  <c r="DP51" i="32"/>
  <c r="DP75" i="32"/>
  <c r="DP74" i="32"/>
  <c r="DP63" i="32"/>
  <c r="DP64" i="32"/>
  <c r="DP68" i="32"/>
  <c r="DP66" i="32"/>
  <c r="DP56" i="32"/>
  <c r="DP65" i="32"/>
  <c r="DP76" i="32"/>
  <c r="DP69" i="32"/>
  <c r="DP70" i="32"/>
  <c r="DP71" i="32"/>
  <c r="DP72" i="32"/>
  <c r="DP67" i="32"/>
  <c r="DP73" i="32"/>
  <c r="DP59" i="32"/>
  <c r="EI72" i="32"/>
  <c r="EI66" i="32"/>
  <c r="EI76" i="32"/>
  <c r="EI73" i="32"/>
  <c r="EI69" i="32"/>
  <c r="EI65" i="32"/>
  <c r="EI67" i="32"/>
  <c r="EI51" i="32"/>
  <c r="EI75" i="32"/>
  <c r="EI70" i="32"/>
  <c r="EI71" i="32"/>
  <c r="EI63" i="32"/>
  <c r="EI64" i="32"/>
  <c r="EI59" i="32"/>
  <c r="EI74" i="32"/>
  <c r="EI68" i="32"/>
  <c r="EI56" i="32"/>
  <c r="DZ74" i="32"/>
  <c r="DZ73" i="32"/>
  <c r="DZ65" i="32"/>
  <c r="DZ75" i="32"/>
  <c r="DZ59" i="32"/>
  <c r="DZ68" i="32"/>
  <c r="DZ76" i="32"/>
  <c r="DZ69" i="32"/>
  <c r="DZ56" i="32"/>
  <c r="DZ70" i="32"/>
  <c r="DZ71" i="32"/>
  <c r="DZ66" i="32"/>
  <c r="DZ63" i="32"/>
  <c r="DZ64" i="32"/>
  <c r="DZ67" i="32"/>
  <c r="DZ51" i="32"/>
  <c r="DZ72" i="32"/>
  <c r="DQ68" i="32"/>
  <c r="DQ51" i="32"/>
  <c r="DQ67" i="32"/>
  <c r="DQ73" i="32"/>
  <c r="DQ75" i="32"/>
  <c r="DQ72" i="32"/>
  <c r="DQ59" i="32"/>
  <c r="DQ70" i="32"/>
  <c r="DQ71" i="32"/>
  <c r="DQ65" i="32"/>
  <c r="DQ56" i="32"/>
  <c r="DQ76" i="32"/>
  <c r="DQ63" i="32"/>
  <c r="DQ64" i="32"/>
  <c r="DQ69" i="32"/>
  <c r="DQ74" i="32"/>
  <c r="DQ66" i="32"/>
  <c r="ED76" i="32"/>
  <c r="ED73" i="32"/>
  <c r="ED65" i="32"/>
  <c r="ED72" i="32"/>
  <c r="ED59" i="32"/>
  <c r="ED51" i="32"/>
  <c r="ED70" i="32"/>
  <c r="ED71" i="32"/>
  <c r="ED66" i="32"/>
  <c r="ED56" i="32"/>
  <c r="ED75" i="32"/>
  <c r="ED68" i="32"/>
  <c r="ED69" i="32"/>
  <c r="ED67" i="32"/>
  <c r="ED63" i="32"/>
  <c r="ED64" i="32"/>
  <c r="ED74" i="32"/>
  <c r="EN76" i="32"/>
  <c r="EN74" i="32"/>
  <c r="EN65" i="32"/>
  <c r="EN59" i="32"/>
  <c r="EN51" i="32"/>
  <c r="EN72" i="32"/>
  <c r="EN52" i="32"/>
  <c r="EN69" i="32"/>
  <c r="EN75" i="32"/>
  <c r="EN66" i="32"/>
  <c r="EN70" i="32"/>
  <c r="EN71" i="32"/>
  <c r="EN56" i="32"/>
  <c r="EN73" i="32"/>
  <c r="EN63" i="32"/>
  <c r="EN64" i="32"/>
  <c r="EN67" i="32"/>
  <c r="EN68" i="32"/>
  <c r="DJ67" i="32"/>
  <c r="DJ51" i="32"/>
  <c r="DJ76" i="32"/>
  <c r="DJ75" i="32"/>
  <c r="DJ74" i="32"/>
  <c r="DJ73" i="32"/>
  <c r="DJ56" i="32"/>
  <c r="DJ72" i="32"/>
  <c r="DJ70" i="32"/>
  <c r="DJ71" i="32"/>
  <c r="DJ59" i="32"/>
  <c r="DJ69" i="32"/>
  <c r="DJ68" i="32"/>
  <c r="DJ63" i="32"/>
  <c r="DJ64" i="32"/>
  <c r="DJ66" i="32"/>
  <c r="DJ65" i="32"/>
  <c r="DY75" i="32"/>
  <c r="DY67" i="32"/>
  <c r="DY68" i="32"/>
  <c r="DY65" i="32"/>
  <c r="DY73" i="32"/>
  <c r="DY74" i="32"/>
  <c r="DY59" i="32"/>
  <c r="DY70" i="32"/>
  <c r="DY71" i="32"/>
  <c r="DY76" i="32"/>
  <c r="DY66" i="32"/>
  <c r="DY56" i="32"/>
  <c r="DY63" i="32"/>
  <c r="DY64" i="32"/>
  <c r="DY69" i="32"/>
  <c r="DY72" i="32"/>
  <c r="DY51" i="32"/>
  <c r="DL73" i="32"/>
  <c r="DL65" i="32"/>
  <c r="DL63" i="32"/>
  <c r="DL64" i="32"/>
  <c r="DL70" i="32"/>
  <c r="DL71" i="32"/>
  <c r="DL74" i="32"/>
  <c r="DL72" i="32"/>
  <c r="DL69" i="32"/>
  <c r="DL75" i="32"/>
  <c r="DL66" i="32"/>
  <c r="DL56" i="32"/>
  <c r="DL51" i="32"/>
  <c r="DL59" i="32"/>
  <c r="DL68" i="32"/>
  <c r="DL67" i="32"/>
  <c r="DL76" i="32"/>
  <c r="DN76" i="32"/>
  <c r="DN69" i="32"/>
  <c r="DN66" i="32"/>
  <c r="DN68" i="32"/>
  <c r="DN75" i="32"/>
  <c r="DN51" i="32"/>
  <c r="DN74" i="32"/>
  <c r="DN59" i="32"/>
  <c r="DN72" i="32"/>
  <c r="DN65" i="32"/>
  <c r="DN63" i="32"/>
  <c r="DN64" i="32"/>
  <c r="DN73" i="32"/>
  <c r="DN67" i="32"/>
  <c r="DN70" i="32"/>
  <c r="DN71" i="32"/>
  <c r="DN56" i="32"/>
  <c r="DR73" i="32"/>
  <c r="DR66" i="32"/>
  <c r="DR67" i="32"/>
  <c r="DR56" i="32"/>
  <c r="DR74" i="32"/>
  <c r="DR68" i="32"/>
  <c r="DR69" i="32"/>
  <c r="DR63" i="32"/>
  <c r="DR64" i="32"/>
  <c r="DR51" i="32"/>
  <c r="DR72" i="32"/>
  <c r="DR76" i="32"/>
  <c r="DR65" i="32"/>
  <c r="DR70" i="32"/>
  <c r="DR71" i="32"/>
  <c r="DR75" i="32"/>
  <c r="DR59" i="32"/>
  <c r="DM51" i="32"/>
  <c r="DM63" i="32"/>
  <c r="DM64" i="32"/>
  <c r="DM69" i="32"/>
  <c r="DM67" i="32"/>
  <c r="DM74" i="32"/>
  <c r="DM70" i="32"/>
  <c r="DM71" i="32"/>
  <c r="DM65" i="32"/>
  <c r="DM59" i="32"/>
  <c r="DM68" i="32"/>
  <c r="DM66" i="32"/>
  <c r="DM56" i="32"/>
  <c r="DM75" i="32"/>
  <c r="DM76" i="32"/>
  <c r="DM72" i="32"/>
  <c r="DM73" i="32"/>
  <c r="EO75" i="32"/>
  <c r="EO66" i="32"/>
  <c r="EO51" i="32"/>
  <c r="EO63" i="32"/>
  <c r="EO64" i="32"/>
  <c r="EO73" i="32"/>
  <c r="EO69" i="32"/>
  <c r="EO70" i="32"/>
  <c r="EO71" i="32"/>
  <c r="EO67" i="32"/>
  <c r="EO68" i="32"/>
  <c r="EO65" i="32"/>
  <c r="EO76" i="32"/>
  <c r="EO52" i="32"/>
  <c r="EO72" i="32"/>
  <c r="EO74" i="32"/>
  <c r="EO56" i="32"/>
  <c r="EO59" i="32"/>
  <c r="EB67" i="32"/>
  <c r="EB65" i="32"/>
  <c r="EB69" i="32"/>
  <c r="EB76" i="32"/>
  <c r="EB51" i="32"/>
  <c r="EB68" i="32"/>
  <c r="EB74" i="32"/>
  <c r="EB59" i="32"/>
  <c r="EB66" i="32"/>
  <c r="EB73" i="32"/>
  <c r="EB63" i="32"/>
  <c r="EB64" i="32"/>
  <c r="EB56" i="32"/>
  <c r="EB70" i="32"/>
  <c r="EB71" i="32"/>
  <c r="EB75" i="32"/>
  <c r="EB72" i="32"/>
  <c r="BH95" i="32"/>
  <c r="H78" i="40"/>
  <c r="E81" i="40"/>
  <c r="M78" i="40"/>
  <c r="M81" i="40"/>
  <c r="K81" i="40"/>
  <c r="O81" i="40"/>
  <c r="N70" i="40"/>
  <c r="E70" i="40"/>
  <c r="N81" i="40"/>
  <c r="N20" i="40"/>
  <c r="K78" i="40"/>
  <c r="I81" i="40"/>
  <c r="EK70" i="32"/>
  <c r="EK71" i="32"/>
  <c r="EK73" i="32"/>
  <c r="EK69" i="32"/>
  <c r="EK72" i="32"/>
  <c r="EK75" i="32"/>
  <c r="EK63" i="32"/>
  <c r="EK64" i="32"/>
  <c r="EK59" i="32"/>
  <c r="EK67" i="32"/>
  <c r="EK66" i="32"/>
  <c r="EK68" i="32"/>
  <c r="EK51" i="32"/>
  <c r="EK56" i="32"/>
  <c r="EK76" i="32"/>
  <c r="EK74" i="32"/>
  <c r="EK65" i="32"/>
  <c r="EP52" i="32"/>
  <c r="EP51" i="32"/>
  <c r="EP70" i="32"/>
  <c r="EP71" i="32"/>
  <c r="EP66" i="32"/>
  <c r="EP75" i="32"/>
  <c r="EP63" i="32"/>
  <c r="EP64" i="32"/>
  <c r="EP69" i="32"/>
  <c r="EP68" i="32"/>
  <c r="EP73" i="32"/>
  <c r="EP74" i="32"/>
  <c r="EP59" i="32"/>
  <c r="EP67" i="32"/>
  <c r="EP72" i="32"/>
  <c r="EP56" i="32"/>
  <c r="EP65" i="32"/>
  <c r="EP76" i="32"/>
  <c r="EL73" i="32"/>
  <c r="EL51" i="32"/>
  <c r="EL72" i="32"/>
  <c r="EL65" i="32"/>
  <c r="EL76" i="32"/>
  <c r="EL70" i="32"/>
  <c r="EL71" i="32"/>
  <c r="EL63" i="32"/>
  <c r="EL64" i="32"/>
  <c r="EL59" i="32"/>
  <c r="EL74" i="32"/>
  <c r="EL68" i="32"/>
  <c r="EL75" i="32"/>
  <c r="EL67" i="32"/>
  <c r="EL69" i="32"/>
  <c r="EL66" i="32"/>
  <c r="EL56" i="32"/>
  <c r="DU73" i="32"/>
  <c r="DU66" i="32"/>
  <c r="DU65" i="32"/>
  <c r="DU75" i="32"/>
  <c r="DU76" i="32"/>
  <c r="DU63" i="32"/>
  <c r="DU64" i="32"/>
  <c r="DU68" i="32"/>
  <c r="DU69" i="32"/>
  <c r="DU56" i="32"/>
  <c r="DU67" i="32"/>
  <c r="DU51" i="32"/>
  <c r="DU72" i="32"/>
  <c r="DU59" i="32"/>
  <c r="DU70" i="32"/>
  <c r="DU71" i="32"/>
  <c r="DU74" i="32"/>
  <c r="DX76" i="32"/>
  <c r="DX72" i="32"/>
  <c r="DX56" i="32"/>
  <c r="DX63" i="32"/>
  <c r="DX64" i="32"/>
  <c r="DX75" i="32"/>
  <c r="DX67" i="32"/>
  <c r="DX74" i="32"/>
  <c r="DX69" i="32"/>
  <c r="DX70" i="32"/>
  <c r="DX71" i="32"/>
  <c r="DX59" i="32"/>
  <c r="DX51" i="32"/>
  <c r="DX68" i="32"/>
  <c r="DX73" i="32"/>
  <c r="DX66" i="32"/>
  <c r="DX65" i="32"/>
  <c r="EM76" i="32"/>
  <c r="EM74" i="32"/>
  <c r="EM75" i="32"/>
  <c r="EM65" i="32"/>
  <c r="EM56" i="32"/>
  <c r="EM63" i="32"/>
  <c r="EM64" i="32"/>
  <c r="EM66" i="32"/>
  <c r="EM67" i="32"/>
  <c r="EM68" i="32"/>
  <c r="EM69" i="32"/>
  <c r="EM72" i="32"/>
  <c r="EM52" i="32"/>
  <c r="EM70" i="32"/>
  <c r="EM71" i="32"/>
  <c r="EM73" i="32"/>
  <c r="EM51" i="32"/>
  <c r="EM59" i="32"/>
  <c r="EE72" i="32"/>
  <c r="EE51" i="32"/>
  <c r="EE68" i="32"/>
  <c r="EE69" i="32"/>
  <c r="EE59" i="32"/>
  <c r="EE74" i="32"/>
  <c r="EE66" i="32"/>
  <c r="EE56" i="32"/>
  <c r="EE63" i="32"/>
  <c r="EE64" i="32"/>
  <c r="EE73" i="32"/>
  <c r="EE67" i="32"/>
  <c r="EE75" i="32"/>
  <c r="EE76" i="32"/>
  <c r="EE70" i="32"/>
  <c r="EE71" i="32"/>
  <c r="EE65" i="32"/>
  <c r="DO51" i="32"/>
  <c r="DO67" i="32"/>
  <c r="DO72" i="32"/>
  <c r="DO63" i="32"/>
  <c r="DO64" i="32"/>
  <c r="DO68" i="32"/>
  <c r="DO75" i="32"/>
  <c r="DO70" i="32"/>
  <c r="DO71" i="32"/>
  <c r="DO56" i="32"/>
  <c r="DO65" i="32"/>
  <c r="DO73" i="32"/>
  <c r="DO69" i="32"/>
  <c r="DO74" i="32"/>
  <c r="DO76" i="32"/>
  <c r="DO66" i="32"/>
  <c r="DO59" i="32"/>
  <c r="EJ66" i="32"/>
  <c r="EJ74" i="32"/>
  <c r="EJ67" i="32"/>
  <c r="EJ56" i="32"/>
  <c r="EJ68" i="32"/>
  <c r="EJ63" i="32"/>
  <c r="EJ64" i="32"/>
  <c r="EJ69" i="32"/>
  <c r="EJ72" i="32"/>
  <c r="EJ76" i="32"/>
  <c r="EJ75" i="32"/>
  <c r="EJ73" i="32"/>
  <c r="EJ51" i="32"/>
  <c r="EJ70" i="32"/>
  <c r="EJ71" i="32"/>
  <c r="EJ65" i="32"/>
  <c r="EJ59" i="32"/>
  <c r="DS70" i="32"/>
  <c r="DS71" i="32"/>
  <c r="DS63" i="32"/>
  <c r="DS64" i="32"/>
  <c r="DS76" i="32"/>
  <c r="DS67" i="32"/>
  <c r="DS73" i="32"/>
  <c r="DS68" i="32"/>
  <c r="DS51" i="32"/>
  <c r="DS56" i="32"/>
  <c r="DS75" i="32"/>
  <c r="DS72" i="32"/>
  <c r="DS65" i="32"/>
  <c r="DS66" i="32"/>
  <c r="DS69" i="32"/>
  <c r="DS74" i="32"/>
  <c r="DS59" i="32"/>
  <c r="EF76" i="32"/>
  <c r="EF65" i="32"/>
  <c r="EF51" i="32"/>
  <c r="EF56" i="32"/>
  <c r="EF72" i="32"/>
  <c r="EF73" i="32"/>
  <c r="EF68" i="32"/>
  <c r="EF59" i="32"/>
  <c r="EF67" i="32"/>
  <c r="EF69" i="32"/>
  <c r="EF70" i="32"/>
  <c r="EF71" i="32"/>
  <c r="EF74" i="32"/>
  <c r="EF63" i="32"/>
  <c r="EF64" i="32"/>
  <c r="EF66" i="32"/>
  <c r="EF75" i="32"/>
  <c r="BD95" i="32"/>
  <c r="AN95" i="32"/>
  <c r="AF95" i="32"/>
  <c r="AA95" i="32"/>
  <c r="AI95" i="32"/>
  <c r="AB95" i="32"/>
  <c r="T95" i="32"/>
  <c r="AL95" i="32"/>
  <c r="EM95" i="32"/>
  <c r="EM98" i="32"/>
  <c r="BL95" i="32"/>
  <c r="CN95" i="32"/>
  <c r="AP95" i="32"/>
  <c r="AG95" i="32"/>
  <c r="X95" i="32"/>
  <c r="AC95" i="32"/>
  <c r="U95" i="32"/>
  <c r="AE95" i="32"/>
  <c r="AH95" i="32"/>
  <c r="ED95" i="32"/>
  <c r="ED98" i="32"/>
  <c r="EO95" i="32"/>
  <c r="EO98" i="32"/>
  <c r="CO95" i="32"/>
  <c r="EN95" i="32"/>
  <c r="EN98" i="32"/>
  <c r="CJ95" i="32"/>
  <c r="DP95" i="32"/>
  <c r="DP98" i="32"/>
  <c r="EH95" i="32"/>
  <c r="EH98" i="32"/>
  <c r="EC95" i="32"/>
  <c r="EC98" i="32"/>
  <c r="CU95" i="32"/>
  <c r="DB95" i="32"/>
  <c r="CY95" i="32"/>
  <c r="CH95" i="32"/>
  <c r="BJ95" i="32"/>
  <c r="DI95" i="32"/>
  <c r="DI98" i="32"/>
  <c r="BB95" i="32"/>
  <c r="BE95" i="32"/>
  <c r="AQ95" i="32"/>
  <c r="DZ95" i="32"/>
  <c r="DZ98" i="32"/>
  <c r="CT95" i="32"/>
  <c r="DA95" i="32"/>
  <c r="BV95" i="32"/>
  <c r="DE95" i="32"/>
  <c r="P95" i="32"/>
  <c r="DY95" i="32"/>
  <c r="DY98" i="32"/>
  <c r="EK95" i="32"/>
  <c r="EK98" i="32"/>
  <c r="DK95" i="32"/>
  <c r="DK98" i="32"/>
  <c r="DG95" i="32"/>
  <c r="W95" i="32"/>
  <c r="R95" i="32"/>
  <c r="BX95" i="32"/>
  <c r="DD95" i="32"/>
  <c r="CV95" i="32"/>
  <c r="BT95" i="32"/>
  <c r="CL95" i="32"/>
  <c r="CI95" i="32"/>
  <c r="CD95" i="32"/>
  <c r="CW95" i="32"/>
  <c r="DT95" i="32"/>
  <c r="DO95" i="32"/>
  <c r="DO98" i="32"/>
  <c r="AM95" i="32"/>
  <c r="Q95" i="32"/>
  <c r="CC95" i="32"/>
  <c r="AS95" i="32"/>
  <c r="AX95" i="32"/>
  <c r="EJ95" i="32"/>
  <c r="EJ98" i="32"/>
  <c r="DW95" i="32"/>
  <c r="DW98" i="32"/>
  <c r="DL95" i="32"/>
  <c r="DL98" i="32"/>
  <c r="CX95" i="32"/>
  <c r="CG95" i="32"/>
  <c r="BZ95" i="32"/>
  <c r="BN95" i="32"/>
  <c r="DN95" i="32"/>
  <c r="DN98" i="32"/>
  <c r="DR95" i="32"/>
  <c r="DR98" i="32"/>
  <c r="Y95" i="32"/>
  <c r="BG95" i="32"/>
  <c r="CP95" i="32"/>
  <c r="BA95" i="32"/>
  <c r="BU95" i="32"/>
  <c r="CZ95" i="32"/>
  <c r="EG95" i="32"/>
  <c r="EG98" i="32"/>
  <c r="DM95" i="32"/>
  <c r="DM98" i="32"/>
  <c r="S95" i="32"/>
  <c r="BW95" i="32"/>
  <c r="CB95" i="32"/>
  <c r="BI95" i="32"/>
  <c r="AY95" i="32"/>
  <c r="EB95" i="32"/>
  <c r="EB98" i="32"/>
  <c r="EE95" i="32"/>
  <c r="EE98" i="32"/>
  <c r="EF95" i="32"/>
  <c r="EI95" i="32"/>
  <c r="EI98" i="32"/>
  <c r="AW95" i="32"/>
  <c r="BR95" i="32"/>
  <c r="AR95" i="32"/>
  <c r="BC95" i="32"/>
  <c r="CQ95" i="32"/>
  <c r="AU95" i="32"/>
  <c r="BS95" i="32"/>
  <c r="AV95" i="32"/>
  <c r="BK95" i="32"/>
  <c r="DX95" i="32"/>
  <c r="DX98" i="32"/>
  <c r="DH95" i="32"/>
  <c r="EL95" i="32"/>
  <c r="EL98" i="32"/>
  <c r="DV95" i="32"/>
  <c r="DV98" i="32"/>
  <c r="DJ95" i="32"/>
  <c r="DJ98" i="32"/>
  <c r="Z95" i="32"/>
  <c r="AJ95" i="32"/>
  <c r="V95" i="32"/>
  <c r="DF95" i="32"/>
  <c r="CS95" i="32"/>
  <c r="BO95" i="32"/>
  <c r="BP95" i="32"/>
  <c r="BQ95" i="32"/>
  <c r="AT95" i="32"/>
  <c r="AZ95" i="32"/>
  <c r="BF95" i="32"/>
  <c r="CM95" i="32"/>
  <c r="EA95" i="32"/>
  <c r="EA98" i="32"/>
  <c r="DQ95" i="32"/>
  <c r="DQ98" i="32"/>
  <c r="BY95" i="32"/>
  <c r="CF95" i="32"/>
  <c r="CR95" i="32"/>
  <c r="CK95" i="32"/>
  <c r="DC95" i="32"/>
  <c r="DU95" i="32"/>
  <c r="DU98" i="32"/>
  <c r="DS95" i="32"/>
  <c r="DS98" i="32"/>
  <c r="AK95" i="32"/>
  <c r="AD95" i="32"/>
  <c r="BM95" i="32"/>
  <c r="CE95" i="32"/>
  <c r="AO95" i="32"/>
  <c r="CA95" i="32"/>
  <c r="EP95" i="32"/>
  <c r="EP98" i="32"/>
  <c r="EQ95" i="32"/>
  <c r="EQ98" i="32"/>
  <c r="E78" i="40"/>
  <c r="EA51" i="32"/>
  <c r="EA76" i="32"/>
  <c r="EA66" i="32"/>
  <c r="EA56" i="32"/>
  <c r="EA65" i="32"/>
  <c r="EA73" i="32"/>
  <c r="EA68" i="32"/>
  <c r="EA72" i="32"/>
  <c r="EA67" i="32"/>
  <c r="EA70" i="32"/>
  <c r="EA71" i="32"/>
  <c r="EA74" i="32"/>
  <c r="EA69" i="32"/>
  <c r="EA59" i="32"/>
  <c r="EA75" i="32"/>
  <c r="EA63" i="32"/>
  <c r="EA64" i="32"/>
  <c r="EH73" i="32"/>
  <c r="EH75" i="32"/>
  <c r="EH68" i="32"/>
  <c r="EH56" i="32"/>
  <c r="EH70" i="32"/>
  <c r="EH71" i="32"/>
  <c r="EH51" i="32"/>
  <c r="EH65" i="32"/>
  <c r="EH67" i="32"/>
  <c r="EH66" i="32"/>
  <c r="EH69" i="32"/>
  <c r="EH63" i="32"/>
  <c r="EH64" i="32"/>
  <c r="EH59" i="32"/>
  <c r="EH72" i="32"/>
  <c r="EH76" i="32"/>
  <c r="EH74" i="32"/>
  <c r="DK51" i="32"/>
  <c r="DK68" i="32"/>
  <c r="DK74" i="32"/>
  <c r="DK63" i="32"/>
  <c r="DK64" i="32"/>
  <c r="DK66" i="32"/>
  <c r="DK73" i="32"/>
  <c r="DK67" i="32"/>
  <c r="DK72" i="32"/>
  <c r="DK65" i="32"/>
  <c r="DK69" i="32"/>
  <c r="DK56" i="32"/>
  <c r="DK75" i="32"/>
  <c r="DK70" i="32"/>
  <c r="DK71" i="32"/>
  <c r="DK76" i="32"/>
  <c r="DK59" i="32"/>
  <c r="DV69" i="32"/>
  <c r="DV66" i="32"/>
  <c r="DV72" i="32"/>
  <c r="DV51" i="32"/>
  <c r="DV76" i="32"/>
  <c r="DV56" i="32"/>
  <c r="DV67" i="32"/>
  <c r="DV70" i="32"/>
  <c r="DV71" i="32"/>
  <c r="DV73" i="32"/>
  <c r="DV65" i="32"/>
  <c r="DV68" i="32"/>
  <c r="DV74" i="32"/>
  <c r="DV63" i="32"/>
  <c r="DV64" i="32"/>
  <c r="DV59" i="32"/>
  <c r="DV75" i="32"/>
  <c r="EG74" i="32"/>
  <c r="EG70" i="32"/>
  <c r="EG71" i="32"/>
  <c r="EG75" i="32"/>
  <c r="EG68" i="32"/>
  <c r="EG72" i="32"/>
  <c r="EG69" i="32"/>
  <c r="EG63" i="32"/>
  <c r="EG64" i="32"/>
  <c r="EG56" i="32"/>
  <c r="EG65" i="32"/>
  <c r="EG51" i="32"/>
  <c r="EG76" i="32"/>
  <c r="EG67" i="32"/>
  <c r="EG73" i="32"/>
  <c r="EG59" i="32"/>
  <c r="EG66" i="32"/>
  <c r="DT76" i="32"/>
  <c r="DT56" i="32"/>
  <c r="DT68" i="32"/>
  <c r="DT59" i="32"/>
  <c r="DT74" i="32"/>
  <c r="DT67" i="32"/>
  <c r="DT66" i="32"/>
  <c r="DT69" i="32"/>
  <c r="DT70" i="32"/>
  <c r="DT71" i="32"/>
  <c r="DT63" i="32"/>
  <c r="DT64" i="32"/>
  <c r="DT73" i="32"/>
  <c r="DT65" i="32"/>
  <c r="DT51" i="32"/>
  <c r="DT75" i="32"/>
  <c r="DT72" i="32"/>
  <c r="N104" i="32"/>
  <c r="F70" i="40"/>
  <c r="O70" i="40"/>
  <c r="F81" i="40"/>
  <c r="G81" i="40"/>
  <c r="N60" i="40"/>
  <c r="O20" i="40"/>
  <c r="O24" i="40"/>
  <c r="G70" i="40"/>
  <c r="J81" i="40"/>
  <c r="J78" i="40"/>
  <c r="N78" i="40"/>
  <c r="I78" i="40"/>
  <c r="N24" i="40"/>
  <c r="O78" i="40"/>
  <c r="O60" i="40"/>
  <c r="H81" i="40"/>
  <c r="L78" i="40"/>
  <c r="P13" i="40"/>
  <c r="P85" i="40"/>
  <c r="Q70" i="57"/>
  <c r="Q60" i="57"/>
  <c r="Q58" i="57"/>
  <c r="Q59" i="57"/>
  <c r="Q67" i="57"/>
  <c r="Q64" i="57"/>
  <c r="Q54" i="57"/>
  <c r="Q38" i="57"/>
  <c r="Q39" i="57"/>
  <c r="Q13" i="57"/>
  <c r="Q71" i="57"/>
  <c r="Q63" i="57"/>
  <c r="Q52" i="57"/>
  <c r="Q65" i="57"/>
  <c r="Q35" i="57"/>
  <c r="Q48" i="57"/>
  <c r="Q69" i="57"/>
  <c r="P93" i="57"/>
  <c r="P97" i="57"/>
  <c r="Q41" i="57"/>
  <c r="Q61" i="57"/>
  <c r="Q40" i="57"/>
  <c r="Q62" i="57"/>
  <c r="DN73" i="57"/>
  <c r="DR73" i="57"/>
  <c r="DX73" i="57"/>
  <c r="EA73" i="57"/>
  <c r="N48" i="40"/>
  <c r="O18" i="40"/>
  <c r="EE73" i="57"/>
  <c r="EM73" i="57"/>
  <c r="EQ73" i="57"/>
  <c r="DP73" i="57"/>
  <c r="DV44" i="57"/>
  <c r="DV50" i="57"/>
  <c r="DV53" i="57"/>
  <c r="DV55" i="57"/>
  <c r="DZ44" i="57"/>
  <c r="DZ50" i="57"/>
  <c r="DZ53" i="57"/>
  <c r="DZ55" i="57"/>
  <c r="EQ97" i="57"/>
  <c r="EQ96" i="57"/>
  <c r="DN48" i="57"/>
  <c r="DN44" i="57"/>
  <c r="DQ48" i="57"/>
  <c r="DQ44" i="57"/>
  <c r="DR48" i="57"/>
  <c r="DR44" i="57"/>
  <c r="DR96" i="57"/>
  <c r="DR97" i="57"/>
  <c r="DU48" i="57"/>
  <c r="DU44" i="57"/>
  <c r="DT96" i="57"/>
  <c r="DT97" i="57"/>
  <c r="DV96" i="57"/>
  <c r="DV97" i="57"/>
  <c r="DX48" i="57"/>
  <c r="DX44" i="57"/>
  <c r="DY48" i="57"/>
  <c r="DY44" i="57"/>
  <c r="DY96" i="57"/>
  <c r="DY97" i="57"/>
  <c r="EA48" i="57"/>
  <c r="EA44" i="57"/>
  <c r="EA96" i="57"/>
  <c r="EA97" i="57"/>
  <c r="EE48" i="57"/>
  <c r="EE44" i="57"/>
  <c r="EG48" i="57"/>
  <c r="EG44" i="57"/>
  <c r="EG96" i="57"/>
  <c r="EG97" i="57"/>
  <c r="EK48" i="57"/>
  <c r="EK44" i="57"/>
  <c r="EJ96" i="57"/>
  <c r="EJ97" i="57"/>
  <c r="EK96" i="57"/>
  <c r="EK97" i="57"/>
  <c r="EM48" i="57"/>
  <c r="EM44" i="57"/>
  <c r="EM96" i="57"/>
  <c r="EM97" i="57"/>
  <c r="EO48" i="57"/>
  <c r="EO44" i="57"/>
  <c r="EP48" i="57"/>
  <c r="EP44" i="57"/>
  <c r="EO96" i="57"/>
  <c r="EO97" i="57"/>
  <c r="EQ48" i="57"/>
  <c r="EQ44" i="57"/>
  <c r="DI96" i="57"/>
  <c r="DI97" i="57"/>
  <c r="DJ96" i="57"/>
  <c r="DJ97" i="57"/>
  <c r="DL48" i="57"/>
  <c r="DL44" i="57"/>
  <c r="DK96" i="57"/>
  <c r="DK97" i="57"/>
  <c r="DM48" i="57"/>
  <c r="DM44" i="57"/>
  <c r="DO48" i="57"/>
  <c r="DO44" i="57"/>
  <c r="DN96" i="57"/>
  <c r="DN97" i="57"/>
  <c r="DP48" i="57"/>
  <c r="DP44" i="57"/>
  <c r="DT48" i="57"/>
  <c r="DT44" i="57"/>
  <c r="DU96" i="57"/>
  <c r="DU97" i="57"/>
  <c r="EB96" i="57"/>
  <c r="EB97" i="57"/>
  <c r="EC96" i="57"/>
  <c r="EC97" i="57"/>
  <c r="EH96" i="57"/>
  <c r="EH97" i="57"/>
  <c r="EJ48" i="57"/>
  <c r="EJ44" i="57"/>
  <c r="DQ73" i="57"/>
  <c r="DS44" i="57"/>
  <c r="DS50" i="57"/>
  <c r="DS53" i="57"/>
  <c r="DS55" i="57"/>
  <c r="DW73" i="57"/>
  <c r="DY73" i="57"/>
  <c r="EB73" i="57"/>
  <c r="EG73" i="57"/>
  <c r="EH73" i="57"/>
  <c r="EO73" i="57"/>
  <c r="DJ73" i="57"/>
  <c r="DK73" i="57"/>
  <c r="DM73" i="57"/>
  <c r="DT73" i="57"/>
  <c r="EC44" i="57"/>
  <c r="EC50" i="57"/>
  <c r="EC53" i="57"/>
  <c r="EC55" i="57"/>
  <c r="EC73" i="57"/>
  <c r="ED73" i="57"/>
  <c r="EF73" i="57"/>
  <c r="EI73" i="57"/>
  <c r="DM96" i="57"/>
  <c r="DM97" i="57"/>
  <c r="DP96" i="57"/>
  <c r="DP97" i="57"/>
  <c r="DQ96" i="57"/>
  <c r="DQ97" i="57"/>
  <c r="DW48" i="57"/>
  <c r="DW44" i="57"/>
  <c r="DW96" i="57"/>
  <c r="DW97" i="57"/>
  <c r="DX96" i="57"/>
  <c r="DX97" i="57"/>
  <c r="DZ96" i="57"/>
  <c r="DZ97" i="57"/>
  <c r="EB48" i="57"/>
  <c r="EB44" i="57"/>
  <c r="ED96" i="57"/>
  <c r="ED97" i="57"/>
  <c r="EF96" i="57"/>
  <c r="EF97" i="57"/>
  <c r="EH48" i="57"/>
  <c r="EH44" i="57"/>
  <c r="EL48" i="57"/>
  <c r="EL44" i="57"/>
  <c r="EL96" i="57"/>
  <c r="EL97" i="57"/>
  <c r="EN48" i="57"/>
  <c r="EN44" i="57"/>
  <c r="EN96" i="57"/>
  <c r="EN97" i="57"/>
  <c r="EP96" i="57"/>
  <c r="EP97" i="57"/>
  <c r="DJ48" i="57"/>
  <c r="DJ44" i="57"/>
  <c r="DK48" i="57"/>
  <c r="DK44" i="57"/>
  <c r="DL96" i="57"/>
  <c r="DL97" i="57"/>
  <c r="DO96" i="57"/>
  <c r="DO97" i="57"/>
  <c r="DS96" i="57"/>
  <c r="DS97" i="57"/>
  <c r="ED48" i="57"/>
  <c r="ED44" i="57"/>
  <c r="EF48" i="57"/>
  <c r="EF44" i="57"/>
  <c r="EE96" i="57"/>
  <c r="EE97" i="57"/>
  <c r="EI48" i="57"/>
  <c r="EI44" i="57"/>
  <c r="EI96" i="57"/>
  <c r="EI97" i="57"/>
  <c r="DS73" i="57"/>
  <c r="DU73" i="57"/>
  <c r="DZ73" i="57"/>
  <c r="EK73" i="57"/>
  <c r="EL73" i="57"/>
  <c r="EN73" i="57"/>
  <c r="EP73" i="57"/>
  <c r="DL73" i="57"/>
  <c r="DO73" i="57"/>
  <c r="DV73" i="57"/>
  <c r="EJ73" i="57"/>
  <c r="ED78" i="32"/>
  <c r="N50" i="40"/>
  <c r="N40" i="40"/>
  <c r="N18" i="40"/>
  <c r="N44" i="40"/>
  <c r="N41" i="40"/>
  <c r="N49" i="40"/>
  <c r="N43" i="40"/>
  <c r="N51" i="40"/>
  <c r="O19" i="40"/>
  <c r="H69" i="40"/>
  <c r="O34" i="40"/>
  <c r="O33" i="40"/>
  <c r="P88" i="40"/>
  <c r="EN54" i="32"/>
  <c r="EN58" i="32"/>
  <c r="DW78" i="32"/>
  <c r="C78" i="40"/>
  <c r="EA78" i="32"/>
  <c r="O17" i="40"/>
  <c r="EM54" i="32"/>
  <c r="EM58" i="32"/>
  <c r="EM60" i="32"/>
  <c r="N47" i="40"/>
  <c r="N25" i="40"/>
  <c r="N27" i="40"/>
  <c r="EP101" i="32"/>
  <c r="EP102" i="32"/>
  <c r="DY101" i="32"/>
  <c r="DY102" i="32"/>
  <c r="DI102" i="32"/>
  <c r="DI101" i="32"/>
  <c r="EC102" i="32"/>
  <c r="EC101" i="32"/>
  <c r="DP102" i="32"/>
  <c r="DP101" i="32"/>
  <c r="EN102" i="32"/>
  <c r="EN101" i="32"/>
  <c r="EO101" i="32"/>
  <c r="EO102" i="32"/>
  <c r="EQ102" i="32"/>
  <c r="EQ101" i="32"/>
  <c r="DM102" i="32"/>
  <c r="DM101" i="32"/>
  <c r="DO102" i="32"/>
  <c r="DO101" i="32"/>
  <c r="EH102" i="32"/>
  <c r="EH101" i="32"/>
  <c r="ED102" i="32"/>
  <c r="ED101" i="32"/>
  <c r="EM101" i="32"/>
  <c r="EM102" i="32"/>
  <c r="DT52" i="32"/>
  <c r="N15" i="40"/>
  <c r="N46" i="40"/>
  <c r="N45" i="40"/>
  <c r="DV52" i="32"/>
  <c r="EH52" i="32"/>
  <c r="DZ101" i="32"/>
  <c r="DZ102" i="32"/>
  <c r="DS101" i="32"/>
  <c r="DS102" i="32"/>
  <c r="EA102" i="32"/>
  <c r="EA101" i="32"/>
  <c r="DV102" i="32"/>
  <c r="DV101" i="32"/>
  <c r="EF98" i="32"/>
  <c r="O69" i="40"/>
  <c r="O72" i="40"/>
  <c r="O83" i="40"/>
  <c r="O86" i="40"/>
  <c r="EB102" i="32"/>
  <c r="EB101" i="32"/>
  <c r="DR101" i="32"/>
  <c r="DR102" i="32"/>
  <c r="DL101" i="32"/>
  <c r="DL102" i="32"/>
  <c r="EJ101" i="32"/>
  <c r="EJ102" i="32"/>
  <c r="EK102" i="32"/>
  <c r="EK101" i="32"/>
  <c r="E69" i="40"/>
  <c r="N95" i="32"/>
  <c r="P115" i="32"/>
  <c r="O38" i="40"/>
  <c r="EF52" i="32"/>
  <c r="O15" i="40"/>
  <c r="DO52" i="32"/>
  <c r="EE52" i="32"/>
  <c r="EM78" i="32"/>
  <c r="DX52" i="32"/>
  <c r="DU78" i="32"/>
  <c r="EL52" i="32"/>
  <c r="EP78" i="32"/>
  <c r="EK52" i="32"/>
  <c r="EK78" i="32"/>
  <c r="EB78" i="32"/>
  <c r="DM52" i="32"/>
  <c r="DR52" i="32"/>
  <c r="DN52" i="32"/>
  <c r="DY78" i="32"/>
  <c r="DY52" i="32"/>
  <c r="DJ52" i="32"/>
  <c r="ED52" i="32"/>
  <c r="DQ52" i="32"/>
  <c r="DZ78" i="32"/>
  <c r="DZ52" i="32"/>
  <c r="EI78" i="32"/>
  <c r="DP78" i="32"/>
  <c r="DW52" i="32"/>
  <c r="EC52" i="32"/>
  <c r="EC78" i="32"/>
  <c r="N19" i="40"/>
  <c r="N42" i="40"/>
  <c r="N34" i="40"/>
  <c r="N33" i="40"/>
  <c r="DK78" i="32"/>
  <c r="M69" i="40"/>
  <c r="M72" i="40"/>
  <c r="M83" i="40"/>
  <c r="M86" i="40"/>
  <c r="K69" i="40"/>
  <c r="EJ78" i="32"/>
  <c r="DO78" i="32"/>
  <c r="DX78" i="32"/>
  <c r="O40" i="40"/>
  <c r="O47" i="40"/>
  <c r="O48" i="40"/>
  <c r="O41" i="40"/>
  <c r="P98" i="32"/>
  <c r="DR78" i="32"/>
  <c r="DN78" i="32"/>
  <c r="DL78" i="32"/>
  <c r="DQ78" i="32"/>
  <c r="N17" i="40"/>
  <c r="N38" i="40"/>
  <c r="EG52" i="32"/>
  <c r="DK52" i="32"/>
  <c r="EG102" i="32"/>
  <c r="EG101" i="32"/>
  <c r="EH78" i="32"/>
  <c r="EA52" i="32"/>
  <c r="DU101" i="32"/>
  <c r="DU102" i="32"/>
  <c r="DQ102" i="32"/>
  <c r="DQ101" i="32"/>
  <c r="DJ102" i="32"/>
  <c r="DJ101" i="32"/>
  <c r="EL101" i="32"/>
  <c r="EL102" i="32"/>
  <c r="DX102" i="32"/>
  <c r="DX101" i="32"/>
  <c r="EI102" i="32"/>
  <c r="EI101" i="32"/>
  <c r="EE102" i="32"/>
  <c r="EE101" i="32"/>
  <c r="DN101" i="32"/>
  <c r="DN102" i="32"/>
  <c r="DW101" i="32"/>
  <c r="DW102" i="32"/>
  <c r="DT98" i="32"/>
  <c r="N69" i="40"/>
  <c r="N72" i="40"/>
  <c r="N83" i="40"/>
  <c r="N86" i="40"/>
  <c r="DK102" i="32"/>
  <c r="DK101" i="32"/>
  <c r="O46" i="40"/>
  <c r="O45" i="40"/>
  <c r="DS52" i="32"/>
  <c r="DS78" i="32"/>
  <c r="EJ52" i="32"/>
  <c r="DU52" i="32"/>
  <c r="EB52" i="32"/>
  <c r="DM78" i="32"/>
  <c r="DL52" i="32"/>
  <c r="DJ78" i="32"/>
  <c r="EN78" i="32"/>
  <c r="EI52" i="32"/>
  <c r="DP52" i="32"/>
  <c r="EQ78" i="32"/>
  <c r="O102" i="32"/>
  <c r="D76" i="40"/>
  <c r="O109" i="32"/>
  <c r="EG78" i="32"/>
  <c r="DV78" i="32"/>
  <c r="L69" i="40"/>
  <c r="J69" i="40"/>
  <c r="I69" i="40"/>
  <c r="F69" i="40"/>
  <c r="G69" i="40"/>
  <c r="O25" i="40"/>
  <c r="O27" i="40"/>
  <c r="EE78" i="32"/>
  <c r="EL78" i="32"/>
  <c r="O51" i="40"/>
  <c r="O42" i="40"/>
  <c r="O49" i="40"/>
  <c r="O43" i="40"/>
  <c r="O44" i="40"/>
  <c r="O50" i="40"/>
  <c r="EO78" i="32"/>
  <c r="EO54" i="32"/>
  <c r="EO58" i="32"/>
  <c r="EO60" i="32"/>
  <c r="P96" i="57"/>
  <c r="Q42" i="57"/>
  <c r="P104" i="57"/>
  <c r="Q73" i="57"/>
  <c r="DV75" i="57"/>
  <c r="DV111" i="57"/>
  <c r="Q44" i="57"/>
  <c r="Q46" i="57"/>
  <c r="Q50" i="57"/>
  <c r="Q53" i="57"/>
  <c r="Q55" i="57"/>
  <c r="EN60" i="32"/>
  <c r="EN80" i="32"/>
  <c r="EN113" i="32"/>
  <c r="EI50" i="57"/>
  <c r="EI53" i="57"/>
  <c r="EI55" i="57"/>
  <c r="EI75" i="57"/>
  <c r="EI111" i="57"/>
  <c r="EF50" i="57"/>
  <c r="EF53" i="57"/>
  <c r="EF55" i="57"/>
  <c r="EF75" i="57"/>
  <c r="EF110" i="57"/>
  <c r="ED50" i="57"/>
  <c r="ED53" i="57"/>
  <c r="ED55" i="57"/>
  <c r="ED75" i="57"/>
  <c r="ED110" i="57"/>
  <c r="DK50" i="57"/>
  <c r="DK53" i="57"/>
  <c r="DK55" i="57"/>
  <c r="DK75" i="57"/>
  <c r="DK108" i="57"/>
  <c r="DJ50" i="57"/>
  <c r="DJ53" i="57"/>
  <c r="DJ55" i="57"/>
  <c r="DJ75" i="57"/>
  <c r="DJ111" i="57"/>
  <c r="EN50" i="57"/>
  <c r="EN53" i="57"/>
  <c r="EN55" i="57"/>
  <c r="EN75" i="57"/>
  <c r="EL50" i="57"/>
  <c r="EL53" i="57"/>
  <c r="EL55" i="57"/>
  <c r="EL75" i="57"/>
  <c r="EH50" i="57"/>
  <c r="EH53" i="57"/>
  <c r="EH55" i="57"/>
  <c r="EH75" i="57"/>
  <c r="EH111" i="57"/>
  <c r="EB50" i="57"/>
  <c r="EB53" i="57"/>
  <c r="EB55" i="57"/>
  <c r="EB75" i="57"/>
  <c r="EB108" i="57"/>
  <c r="DW50" i="57"/>
  <c r="DW53" i="57"/>
  <c r="DW55" i="57"/>
  <c r="DW75" i="57"/>
  <c r="DW111" i="57"/>
  <c r="EC75" i="57"/>
  <c r="EC111" i="57"/>
  <c r="DZ75" i="57"/>
  <c r="DZ111" i="57"/>
  <c r="DS75" i="57"/>
  <c r="EJ50" i="57"/>
  <c r="EJ53" i="57"/>
  <c r="EJ55" i="57"/>
  <c r="EJ75" i="57"/>
  <c r="DT50" i="57"/>
  <c r="DT53" i="57"/>
  <c r="DT55" i="57"/>
  <c r="DT75" i="57"/>
  <c r="DP50" i="57"/>
  <c r="DP53" i="57"/>
  <c r="DP55" i="57"/>
  <c r="DP75" i="57"/>
  <c r="DO50" i="57"/>
  <c r="DO53" i="57"/>
  <c r="DO55" i="57"/>
  <c r="DO75" i="57"/>
  <c r="DM50" i="57"/>
  <c r="DM53" i="57"/>
  <c r="DM55" i="57"/>
  <c r="DM75" i="57"/>
  <c r="DL50" i="57"/>
  <c r="DL53" i="57"/>
  <c r="DL55" i="57"/>
  <c r="DL75" i="57"/>
  <c r="EQ50" i="57"/>
  <c r="EQ53" i="57"/>
  <c r="EQ55" i="57"/>
  <c r="EQ75" i="57"/>
  <c r="EP50" i="57"/>
  <c r="EP53" i="57"/>
  <c r="EP55" i="57"/>
  <c r="EP75" i="57"/>
  <c r="EO50" i="57"/>
  <c r="EO53" i="57"/>
  <c r="EO55" i="57"/>
  <c r="EO75" i="57"/>
  <c r="EM50" i="57"/>
  <c r="EM53" i="57"/>
  <c r="EM55" i="57"/>
  <c r="EM75" i="57"/>
  <c r="EK50" i="57"/>
  <c r="EK53" i="57"/>
  <c r="EK55" i="57"/>
  <c r="EK75" i="57"/>
  <c r="EG50" i="57"/>
  <c r="EG53" i="57"/>
  <c r="EG55" i="57"/>
  <c r="EG75" i="57"/>
  <c r="EE50" i="57"/>
  <c r="EE53" i="57"/>
  <c r="EE55" i="57"/>
  <c r="EE75" i="57"/>
  <c r="EA50" i="57"/>
  <c r="EA53" i="57"/>
  <c r="EA55" i="57"/>
  <c r="EA75" i="57"/>
  <c r="DY50" i="57"/>
  <c r="DY53" i="57"/>
  <c r="DY55" i="57"/>
  <c r="DY75" i="57"/>
  <c r="DX50" i="57"/>
  <c r="DX53" i="57"/>
  <c r="DX55" i="57"/>
  <c r="DX75" i="57"/>
  <c r="DU50" i="57"/>
  <c r="DU53" i="57"/>
  <c r="DU55" i="57"/>
  <c r="DU75" i="57"/>
  <c r="DR50" i="57"/>
  <c r="DR53" i="57"/>
  <c r="DR55" i="57"/>
  <c r="DR75" i="57"/>
  <c r="DQ50" i="57"/>
  <c r="DQ53" i="57"/>
  <c r="DQ55" i="57"/>
  <c r="DQ75" i="57"/>
  <c r="DN50" i="57"/>
  <c r="DN53" i="57"/>
  <c r="DN55" i="57"/>
  <c r="DN75" i="57"/>
  <c r="EA54" i="32"/>
  <c r="EA58" i="32"/>
  <c r="EA60" i="32"/>
  <c r="EA80" i="32"/>
  <c r="EA116" i="32"/>
  <c r="N39" i="40"/>
  <c r="N53" i="40"/>
  <c r="EM80" i="32"/>
  <c r="EM115" i="32"/>
  <c r="EB54" i="32"/>
  <c r="EB58" i="32"/>
  <c r="EB60" i="32"/>
  <c r="EB80" i="32"/>
  <c r="DU54" i="32"/>
  <c r="DU58" i="32"/>
  <c r="DU60" i="32"/>
  <c r="DU80" i="32"/>
  <c r="EJ54" i="32"/>
  <c r="EJ58" i="32"/>
  <c r="EJ60" i="32"/>
  <c r="EJ80" i="32"/>
  <c r="EJ116" i="32"/>
  <c r="DW54" i="32"/>
  <c r="DW58" i="32"/>
  <c r="DW60" i="32"/>
  <c r="DW80" i="32"/>
  <c r="DW116" i="32"/>
  <c r="DX54" i="32"/>
  <c r="DX58" i="32"/>
  <c r="DX60" i="32"/>
  <c r="DX80" i="32"/>
  <c r="DQ54" i="32"/>
  <c r="DQ58" i="32"/>
  <c r="DQ60" i="32"/>
  <c r="DQ80" i="32"/>
  <c r="DO54" i="32"/>
  <c r="DO58" i="32"/>
  <c r="DO60" i="32"/>
  <c r="DO80" i="32"/>
  <c r="EF54" i="32"/>
  <c r="EF58" i="32"/>
  <c r="EF60" i="32"/>
  <c r="P102" i="32"/>
  <c r="P109" i="32"/>
  <c r="P101" i="32"/>
  <c r="O39" i="40"/>
  <c r="O53" i="40"/>
  <c r="N29" i="40"/>
  <c r="DT102" i="32"/>
  <c r="N76" i="40"/>
  <c r="DT101" i="32"/>
  <c r="N75" i="40"/>
  <c r="EF102" i="32"/>
  <c r="O76" i="40"/>
  <c r="EF101" i="32"/>
  <c r="O75" i="40"/>
  <c r="EO80" i="32"/>
  <c r="EO116" i="32"/>
  <c r="DP54" i="32"/>
  <c r="DP58" i="32"/>
  <c r="DP60" i="32"/>
  <c r="DP80" i="32"/>
  <c r="EI54" i="32"/>
  <c r="EI58" i="32"/>
  <c r="EI60" i="32"/>
  <c r="EI80" i="32"/>
  <c r="DL54" i="32"/>
  <c r="DL58" i="32"/>
  <c r="DL60" i="32"/>
  <c r="DL80" i="32"/>
  <c r="DS54" i="32"/>
  <c r="DS58" i="32"/>
  <c r="DS60" i="32"/>
  <c r="DS80" i="32"/>
  <c r="DK54" i="32"/>
  <c r="DK58" i="32"/>
  <c r="DK60" i="32"/>
  <c r="DK80" i="32"/>
  <c r="EG54" i="32"/>
  <c r="EG58" i="32"/>
  <c r="EG60" i="32"/>
  <c r="EG80" i="32"/>
  <c r="DT78" i="32"/>
  <c r="EC54" i="32"/>
  <c r="EC58" i="32"/>
  <c r="EC60" i="32"/>
  <c r="EC80" i="32"/>
  <c r="DZ54" i="32"/>
  <c r="DZ58" i="32"/>
  <c r="DZ60" i="32"/>
  <c r="DZ80" i="32"/>
  <c r="ED54" i="32"/>
  <c r="ED58" i="32"/>
  <c r="ED60" i="32"/>
  <c r="ED80" i="32"/>
  <c r="DY54" i="32"/>
  <c r="DY58" i="32"/>
  <c r="DY60" i="32"/>
  <c r="DY80" i="32"/>
  <c r="DN54" i="32"/>
  <c r="DN58" i="32"/>
  <c r="DN60" i="32"/>
  <c r="DN80" i="32"/>
  <c r="DR54" i="32"/>
  <c r="DR58" i="32"/>
  <c r="DR60" i="32"/>
  <c r="DR80" i="32"/>
  <c r="DM54" i="32"/>
  <c r="DM58" i="32"/>
  <c r="DM60" i="32"/>
  <c r="DM80" i="32"/>
  <c r="EK54" i="32"/>
  <c r="EK58" i="32"/>
  <c r="EK60" i="32"/>
  <c r="EK80" i="32"/>
  <c r="EL54" i="32"/>
  <c r="EL58" i="32"/>
  <c r="EL60" i="32"/>
  <c r="EL80" i="32"/>
  <c r="EE54" i="32"/>
  <c r="EE58" i="32"/>
  <c r="EE60" i="32"/>
  <c r="EE80" i="32"/>
  <c r="O29" i="40"/>
  <c r="EF78" i="32"/>
  <c r="C69" i="40"/>
  <c r="EH54" i="32"/>
  <c r="EH58" i="32"/>
  <c r="EH60" i="32"/>
  <c r="EH80" i="32"/>
  <c r="DV54" i="32"/>
  <c r="DV58" i="32"/>
  <c r="DV60" i="32"/>
  <c r="DV80" i="32"/>
  <c r="DT54" i="32"/>
  <c r="EP54" i="32"/>
  <c r="EP58" i="32"/>
  <c r="EJ115" i="32"/>
  <c r="EM116" i="32"/>
  <c r="DZ110" i="57"/>
  <c r="DV110" i="57"/>
  <c r="DV108" i="57"/>
  <c r="DJ110" i="57"/>
  <c r="ED111" i="57"/>
  <c r="EB110" i="57"/>
  <c r="ED108" i="57"/>
  <c r="EI110" i="57"/>
  <c r="EC110" i="57"/>
  <c r="EB111" i="57"/>
  <c r="DK110" i="57"/>
  <c r="EF108" i="57"/>
  <c r="DK111" i="57"/>
  <c r="EF111" i="57"/>
  <c r="EC108" i="57"/>
  <c r="DJ108" i="57"/>
  <c r="EI108" i="57"/>
  <c r="DW108" i="57"/>
  <c r="EH108" i="57"/>
  <c r="EN111" i="57"/>
  <c r="EN108" i="57"/>
  <c r="EN110" i="57"/>
  <c r="DW110" i="57"/>
  <c r="EH110" i="57"/>
  <c r="DZ108" i="57"/>
  <c r="Q75" i="57"/>
  <c r="Q80" i="57"/>
  <c r="DN111" i="57"/>
  <c r="DN108" i="57"/>
  <c r="DN110" i="57"/>
  <c r="DR111" i="57"/>
  <c r="DR110" i="57"/>
  <c r="DR108" i="57"/>
  <c r="DX111" i="57"/>
  <c r="DX110" i="57"/>
  <c r="DX108" i="57"/>
  <c r="EA111" i="57"/>
  <c r="EA108" i="57"/>
  <c r="EA110" i="57"/>
  <c r="EG111" i="57"/>
  <c r="EG110" i="57"/>
  <c r="EG108" i="57"/>
  <c r="EM111" i="57"/>
  <c r="EM108" i="57"/>
  <c r="EM110" i="57"/>
  <c r="EP108" i="57"/>
  <c r="EP111" i="57"/>
  <c r="EP110" i="57"/>
  <c r="DL111" i="57"/>
  <c r="DL108" i="57"/>
  <c r="DL110" i="57"/>
  <c r="DO111" i="57"/>
  <c r="DO110" i="57"/>
  <c r="DO108" i="57"/>
  <c r="DT111" i="57"/>
  <c r="DT110" i="57"/>
  <c r="DT108" i="57"/>
  <c r="DS111" i="57"/>
  <c r="DS110" i="57"/>
  <c r="DS108" i="57"/>
  <c r="EL111" i="57"/>
  <c r="EL108" i="57"/>
  <c r="EL110" i="57"/>
  <c r="DQ111" i="57"/>
  <c r="DQ110" i="57"/>
  <c r="DQ108" i="57"/>
  <c r="DU111" i="57"/>
  <c r="DU108" i="57"/>
  <c r="DU110" i="57"/>
  <c r="DY111" i="57"/>
  <c r="DY108" i="57"/>
  <c r="DY110" i="57"/>
  <c r="EE111" i="57"/>
  <c r="EE110" i="57"/>
  <c r="EE108" i="57"/>
  <c r="EK111" i="57"/>
  <c r="EK108" i="57"/>
  <c r="EK110" i="57"/>
  <c r="EO108" i="57"/>
  <c r="EO111" i="57"/>
  <c r="EO110" i="57"/>
  <c r="EQ111" i="57"/>
  <c r="EQ108" i="57"/>
  <c r="EQ110" i="57"/>
  <c r="DM111" i="57"/>
  <c r="DM110" i="57"/>
  <c r="DM108" i="57"/>
  <c r="DP111" i="57"/>
  <c r="DP108" i="57"/>
  <c r="DP110" i="57"/>
  <c r="EJ111" i="57"/>
  <c r="EJ110" i="57"/>
  <c r="EJ108" i="57"/>
  <c r="EA113" i="32"/>
  <c r="EN115" i="32"/>
  <c r="EM113" i="32"/>
  <c r="DW115" i="32"/>
  <c r="EN116" i="32"/>
  <c r="EJ113" i="32"/>
  <c r="EA115" i="32"/>
  <c r="DW113" i="32"/>
  <c r="EO113" i="32"/>
  <c r="EO115" i="32"/>
  <c r="EF80" i="32"/>
  <c r="EF113" i="32"/>
  <c r="DV116" i="32"/>
  <c r="DV115" i="32"/>
  <c r="DV113" i="32"/>
  <c r="EL116" i="32"/>
  <c r="EL113" i="32"/>
  <c r="EL115" i="32"/>
  <c r="DM115" i="32"/>
  <c r="DM116" i="32"/>
  <c r="DM113" i="32"/>
  <c r="DN116" i="32"/>
  <c r="DN113" i="32"/>
  <c r="DN115" i="32"/>
  <c r="ED116" i="32"/>
  <c r="ED113" i="32"/>
  <c r="ED115" i="32"/>
  <c r="EC113" i="32"/>
  <c r="EC116" i="32"/>
  <c r="EC115" i="32"/>
  <c r="EG116" i="32"/>
  <c r="EG113" i="32"/>
  <c r="EG115" i="32"/>
  <c r="DS115" i="32"/>
  <c r="DS116" i="32"/>
  <c r="DS113" i="32"/>
  <c r="EI115" i="32"/>
  <c r="EI116" i="32"/>
  <c r="EI113" i="32"/>
  <c r="EB116" i="32"/>
  <c r="EB113" i="32"/>
  <c r="EB115" i="32"/>
  <c r="DX116" i="32"/>
  <c r="DX115" i="32"/>
  <c r="DX113" i="32"/>
  <c r="DQ113" i="32"/>
  <c r="DQ116" i="32"/>
  <c r="DQ115" i="32"/>
  <c r="DT58" i="32"/>
  <c r="N30" i="40"/>
  <c r="N32" i="40"/>
  <c r="EH116" i="32"/>
  <c r="EH115" i="32"/>
  <c r="EH113" i="32"/>
  <c r="EE116" i="32"/>
  <c r="EE115" i="32"/>
  <c r="EE113" i="32"/>
  <c r="EK115" i="32"/>
  <c r="EK116" i="32"/>
  <c r="EK113" i="32"/>
  <c r="DR115" i="32"/>
  <c r="DR116" i="32"/>
  <c r="DR113" i="32"/>
  <c r="DY115" i="32"/>
  <c r="DY116" i="32"/>
  <c r="DY113" i="32"/>
  <c r="DZ115" i="32"/>
  <c r="DZ116" i="32"/>
  <c r="DZ113" i="32"/>
  <c r="DK116" i="32"/>
  <c r="DK115" i="32"/>
  <c r="DK113" i="32"/>
  <c r="DL116" i="32"/>
  <c r="DL113" i="32"/>
  <c r="DL115" i="32"/>
  <c r="DP116" i="32"/>
  <c r="DP113" i="32"/>
  <c r="DP115" i="32"/>
  <c r="DU113" i="32"/>
  <c r="DU116" i="32"/>
  <c r="DU115" i="32"/>
  <c r="DO116" i="32"/>
  <c r="DO113" i="32"/>
  <c r="DO115" i="32"/>
  <c r="EP60" i="32"/>
  <c r="EP80" i="32"/>
  <c r="E16" i="40"/>
  <c r="F16" i="40"/>
  <c r="G16" i="40"/>
  <c r="H16" i="40"/>
  <c r="I16" i="40"/>
  <c r="J16" i="40"/>
  <c r="K16" i="40"/>
  <c r="L16" i="40"/>
  <c r="M16" i="40"/>
  <c r="N16" i="40"/>
  <c r="N22" i="40"/>
  <c r="O16" i="40"/>
  <c r="O22" i="40"/>
  <c r="O13" i="40"/>
  <c r="EQ54" i="32"/>
  <c r="EQ58" i="32"/>
  <c r="EQ60" i="32"/>
  <c r="EQ80" i="32"/>
  <c r="Q111" i="57"/>
  <c r="Q82" i="57"/>
  <c r="Q110" i="57"/>
  <c r="Q108" i="57"/>
  <c r="EF116" i="32"/>
  <c r="DT60" i="32"/>
  <c r="DT80" i="32"/>
  <c r="DT116" i="32"/>
  <c r="EF115" i="32"/>
  <c r="DT115" i="32"/>
  <c r="EQ116" i="32"/>
  <c r="EQ113" i="32"/>
  <c r="EQ115" i="32"/>
  <c r="N13" i="40"/>
  <c r="N35" i="40"/>
  <c r="N55" i="40"/>
  <c r="EP116" i="32"/>
  <c r="EP115" i="32"/>
  <c r="EP113" i="32"/>
  <c r="O30" i="40"/>
  <c r="O32" i="40"/>
  <c r="O35" i="40"/>
  <c r="O55" i="40"/>
  <c r="Q116" i="32"/>
  <c r="Q115" i="32"/>
  <c r="Q113" i="32"/>
  <c r="R63" i="57"/>
  <c r="Q93" i="57"/>
  <c r="R68" i="57"/>
  <c r="R65" i="57"/>
  <c r="R40" i="57"/>
  <c r="R52" i="57"/>
  <c r="R71" i="57"/>
  <c r="R70" i="57"/>
  <c r="R38" i="57"/>
  <c r="R39" i="57"/>
  <c r="R13" i="57"/>
  <c r="R35" i="57"/>
  <c r="R67" i="57"/>
  <c r="R69" i="57"/>
  <c r="R62" i="57"/>
  <c r="R61" i="57"/>
  <c r="R60" i="57"/>
  <c r="R41" i="57"/>
  <c r="R64" i="57"/>
  <c r="R58" i="57"/>
  <c r="R59" i="57"/>
  <c r="R54" i="57"/>
  <c r="DT113" i="32"/>
  <c r="O85" i="40"/>
  <c r="O88" i="40"/>
  <c r="O87" i="40"/>
  <c r="N85" i="40"/>
  <c r="N88" i="40"/>
  <c r="N87" i="40"/>
  <c r="Q98" i="32"/>
  <c r="R73" i="57"/>
  <c r="R48" i="57"/>
  <c r="R42" i="57"/>
  <c r="R44" i="57"/>
  <c r="Q96" i="57"/>
  <c r="Q97" i="57"/>
  <c r="Q104" i="57"/>
  <c r="Q109" i="57"/>
  <c r="Q101" i="32"/>
  <c r="Q109" i="32"/>
  <c r="Q114" i="32"/>
  <c r="Q102" i="32"/>
  <c r="R46" i="57"/>
  <c r="R50" i="57"/>
  <c r="R53" i="57"/>
  <c r="R55" i="57"/>
  <c r="R75" i="57"/>
  <c r="R80" i="57"/>
  <c r="R111" i="57"/>
  <c r="R82" i="57"/>
  <c r="R110" i="57"/>
  <c r="R108" i="57"/>
  <c r="R115" i="32"/>
  <c r="R116" i="32"/>
  <c r="R113" i="32"/>
  <c r="S70" i="57"/>
  <c r="S69" i="57"/>
  <c r="S63" i="57"/>
  <c r="S71" i="57"/>
  <c r="S64" i="57"/>
  <c r="S60" i="57"/>
  <c r="S54" i="57"/>
  <c r="S35" i="57"/>
  <c r="S38" i="57"/>
  <c r="S39" i="57"/>
  <c r="S13" i="57"/>
  <c r="R93" i="57"/>
  <c r="S68" i="57"/>
  <c r="S65" i="57"/>
  <c r="S61" i="57"/>
  <c r="S67" i="57"/>
  <c r="S62" i="57"/>
  <c r="S58" i="57"/>
  <c r="S59" i="57"/>
  <c r="S52" i="57"/>
  <c r="S41" i="57"/>
  <c r="S40" i="57"/>
  <c r="R98" i="32"/>
  <c r="R102" i="32"/>
  <c r="R96" i="57"/>
  <c r="R97" i="57"/>
  <c r="R104" i="57"/>
  <c r="R109" i="57"/>
  <c r="S48" i="57"/>
  <c r="S42" i="57"/>
  <c r="S44" i="57"/>
  <c r="S46" i="57"/>
  <c r="S73" i="57"/>
  <c r="R101" i="32"/>
  <c r="R109" i="32"/>
  <c r="R114" i="32"/>
  <c r="S50" i="57"/>
  <c r="S53" i="57"/>
  <c r="S55" i="57"/>
  <c r="S75" i="57"/>
  <c r="S80" i="57"/>
  <c r="S111" i="57"/>
  <c r="S110" i="57"/>
  <c r="S108" i="57"/>
  <c r="S82" i="57"/>
  <c r="S116" i="32"/>
  <c r="S115" i="32"/>
  <c r="S113" i="32"/>
  <c r="S93" i="57"/>
  <c r="T69" i="57"/>
  <c r="T70" i="57"/>
  <c r="T62" i="57"/>
  <c r="T65" i="57"/>
  <c r="T61" i="57"/>
  <c r="T60" i="57"/>
  <c r="T38" i="57"/>
  <c r="T39" i="57"/>
  <c r="T13" i="57"/>
  <c r="T52" i="57"/>
  <c r="T41" i="57"/>
  <c r="T71" i="57"/>
  <c r="T67" i="57"/>
  <c r="T64" i="57"/>
  <c r="T68" i="57"/>
  <c r="T63" i="57"/>
  <c r="T58" i="57"/>
  <c r="T59" i="57"/>
  <c r="T40" i="57"/>
  <c r="T54" i="57"/>
  <c r="T35" i="57"/>
  <c r="S98" i="32"/>
  <c r="S102" i="32"/>
  <c r="S101" i="32"/>
  <c r="T73" i="57"/>
  <c r="S96" i="57"/>
  <c r="S97" i="57"/>
  <c r="S104" i="57"/>
  <c r="S109" i="57"/>
  <c r="T48" i="57"/>
  <c r="T42" i="57"/>
  <c r="T44" i="57"/>
  <c r="T46" i="57"/>
  <c r="S109" i="32"/>
  <c r="S114" i="32"/>
  <c r="T50" i="57"/>
  <c r="T53" i="57"/>
  <c r="T55" i="57"/>
  <c r="T75" i="57"/>
  <c r="T80" i="57"/>
  <c r="T82" i="57"/>
  <c r="T111" i="57"/>
  <c r="T110" i="57"/>
  <c r="T108" i="57"/>
  <c r="T115" i="32"/>
  <c r="T116" i="32"/>
  <c r="T113" i="32"/>
  <c r="U70" i="57"/>
  <c r="U71" i="57"/>
  <c r="U65" i="57"/>
  <c r="U61" i="57"/>
  <c r="U64" i="57"/>
  <c r="U60" i="57"/>
  <c r="U52" i="57"/>
  <c r="U41" i="57"/>
  <c r="U58" i="57"/>
  <c r="U59" i="57"/>
  <c r="U38" i="57"/>
  <c r="U39" i="57"/>
  <c r="U13" i="57"/>
  <c r="T93" i="57"/>
  <c r="U68" i="57"/>
  <c r="U67" i="57"/>
  <c r="U63" i="57"/>
  <c r="U69" i="57"/>
  <c r="U62" i="57"/>
  <c r="U54" i="57"/>
  <c r="U35" i="57"/>
  <c r="U40" i="57"/>
  <c r="T98" i="32"/>
  <c r="T109" i="32"/>
  <c r="T114" i="32"/>
  <c r="U48" i="57"/>
  <c r="U42" i="57"/>
  <c r="U44" i="57"/>
  <c r="U46" i="57"/>
  <c r="T96" i="57"/>
  <c r="T97" i="57"/>
  <c r="T104" i="57"/>
  <c r="T109" i="57"/>
  <c r="U73" i="57"/>
  <c r="T102" i="32"/>
  <c r="T101" i="32"/>
  <c r="U50" i="57"/>
  <c r="U53" i="57"/>
  <c r="U55" i="57"/>
  <c r="U75" i="57"/>
  <c r="U80" i="57"/>
  <c r="U82" i="57"/>
  <c r="U111" i="57"/>
  <c r="U108" i="57"/>
  <c r="U110" i="57"/>
  <c r="U116" i="32"/>
  <c r="U115" i="32"/>
  <c r="U113" i="32"/>
  <c r="V71" i="57"/>
  <c r="V67" i="57"/>
  <c r="V64" i="57"/>
  <c r="V70" i="57"/>
  <c r="V63" i="57"/>
  <c r="V58" i="57"/>
  <c r="V59" i="57"/>
  <c r="V38" i="57"/>
  <c r="V39" i="57"/>
  <c r="V13" i="57"/>
  <c r="V54" i="57"/>
  <c r="V35" i="57"/>
  <c r="U93" i="57"/>
  <c r="V69" i="57"/>
  <c r="V68" i="57"/>
  <c r="V62" i="57"/>
  <c r="V65" i="57"/>
  <c r="V61" i="57"/>
  <c r="V40" i="57"/>
  <c r="V60" i="57"/>
  <c r="V52" i="57"/>
  <c r="V41" i="57"/>
  <c r="U98" i="32"/>
  <c r="U101" i="32"/>
  <c r="V48" i="57"/>
  <c r="V42" i="57"/>
  <c r="V44" i="57"/>
  <c r="V46" i="57"/>
  <c r="U96" i="57"/>
  <c r="U97" i="57"/>
  <c r="U104" i="57"/>
  <c r="U109" i="57"/>
  <c r="V73" i="57"/>
  <c r="U102" i="32"/>
  <c r="U109" i="32"/>
  <c r="U114" i="32"/>
  <c r="V50" i="57"/>
  <c r="V53" i="57"/>
  <c r="V55" i="57"/>
  <c r="V75" i="57"/>
  <c r="V80" i="57"/>
  <c r="V111" i="57"/>
  <c r="V82" i="57"/>
  <c r="V110" i="57"/>
  <c r="V108" i="57"/>
  <c r="V116" i="32"/>
  <c r="V115" i="32"/>
  <c r="V113" i="32"/>
  <c r="W70" i="57"/>
  <c r="W69" i="57"/>
  <c r="W63" i="57"/>
  <c r="W71" i="57"/>
  <c r="W64" i="57"/>
  <c r="W60" i="57"/>
  <c r="W54" i="57"/>
  <c r="W35" i="57"/>
  <c r="W38" i="57"/>
  <c r="W39" i="57"/>
  <c r="W13" i="57"/>
  <c r="V93" i="57"/>
  <c r="W68" i="57"/>
  <c r="W65" i="57"/>
  <c r="W61" i="57"/>
  <c r="W67" i="57"/>
  <c r="W62" i="57"/>
  <c r="W58" i="57"/>
  <c r="W59" i="57"/>
  <c r="W52" i="57"/>
  <c r="W41" i="57"/>
  <c r="W40" i="57"/>
  <c r="V98" i="32"/>
  <c r="V101" i="32"/>
  <c r="V96" i="57"/>
  <c r="V97" i="57"/>
  <c r="V104" i="57"/>
  <c r="V109" i="57"/>
  <c r="W48" i="57"/>
  <c r="W42" i="57"/>
  <c r="W44" i="57"/>
  <c r="W46" i="57"/>
  <c r="W73" i="57"/>
  <c r="V102" i="32"/>
  <c r="V109" i="32"/>
  <c r="V114" i="32"/>
  <c r="W50" i="57"/>
  <c r="W53" i="57"/>
  <c r="W55" i="57"/>
  <c r="W75" i="57"/>
  <c r="W80" i="57"/>
  <c r="W111" i="57"/>
  <c r="W110" i="57"/>
  <c r="W108" i="57"/>
  <c r="W82" i="57"/>
  <c r="W115" i="32"/>
  <c r="W116" i="32"/>
  <c r="W113" i="32"/>
  <c r="X71" i="57"/>
  <c r="X67" i="57"/>
  <c r="X64" i="57"/>
  <c r="X68" i="57"/>
  <c r="X63" i="57"/>
  <c r="X58" i="57"/>
  <c r="X59" i="57"/>
  <c r="X40" i="57"/>
  <c r="X54" i="57"/>
  <c r="X35" i="57"/>
  <c r="W93" i="57"/>
  <c r="X69" i="57"/>
  <c r="X70" i="57"/>
  <c r="X62" i="57"/>
  <c r="X65" i="57"/>
  <c r="X61" i="57"/>
  <c r="X60" i="57"/>
  <c r="X38" i="57"/>
  <c r="X39" i="57"/>
  <c r="X13" i="57"/>
  <c r="X52" i="57"/>
  <c r="X41" i="57"/>
  <c r="W98" i="32"/>
  <c r="W109" i="32"/>
  <c r="W114" i="32"/>
  <c r="W96" i="57"/>
  <c r="W97" i="57"/>
  <c r="W104" i="57"/>
  <c r="W109" i="57"/>
  <c r="X48" i="57"/>
  <c r="X42" i="57"/>
  <c r="X44" i="57"/>
  <c r="X46" i="57"/>
  <c r="X73" i="57"/>
  <c r="W102" i="32"/>
  <c r="W101" i="32"/>
  <c r="X50" i="57"/>
  <c r="X53" i="57"/>
  <c r="X55" i="57"/>
  <c r="X75" i="57"/>
  <c r="X80" i="57"/>
  <c r="X82" i="57"/>
  <c r="X111" i="57"/>
  <c r="X110" i="57"/>
  <c r="X108" i="57"/>
  <c r="X116" i="32"/>
  <c r="X115" i="32"/>
  <c r="X113" i="32"/>
  <c r="Y70" i="57"/>
  <c r="Y71" i="57"/>
  <c r="Y65" i="57"/>
  <c r="Y61" i="57"/>
  <c r="Y64" i="57"/>
  <c r="Y60" i="57"/>
  <c r="Y52" i="57"/>
  <c r="Y41" i="57"/>
  <c r="Y58" i="57"/>
  <c r="Y59" i="57"/>
  <c r="Y38" i="57"/>
  <c r="Y39" i="57"/>
  <c r="Y13" i="57"/>
  <c r="X93" i="57"/>
  <c r="Y68" i="57"/>
  <c r="Y67" i="57"/>
  <c r="Y63" i="57"/>
  <c r="Y69" i="57"/>
  <c r="Y62" i="57"/>
  <c r="Y54" i="57"/>
  <c r="Y35" i="57"/>
  <c r="Y40" i="57"/>
  <c r="X98" i="32"/>
  <c r="X102" i="32"/>
  <c r="X101" i="32"/>
  <c r="Y48" i="57"/>
  <c r="Y42" i="57"/>
  <c r="Y44" i="57"/>
  <c r="Y46" i="57"/>
  <c r="X96" i="57"/>
  <c r="X97" i="57"/>
  <c r="X104" i="57"/>
  <c r="X109" i="57"/>
  <c r="Y73" i="57"/>
  <c r="X109" i="32"/>
  <c r="X114" i="32"/>
  <c r="Y50" i="57"/>
  <c r="Y53" i="57"/>
  <c r="Y55" i="57"/>
  <c r="Y75" i="57"/>
  <c r="Y80" i="57"/>
  <c r="Y111" i="57"/>
  <c r="Y110" i="57"/>
  <c r="Y108" i="57"/>
  <c r="Y82" i="57"/>
  <c r="Y115" i="32"/>
  <c r="Y116" i="32"/>
  <c r="Y113" i="32"/>
  <c r="Y93" i="57"/>
  <c r="Z69" i="57"/>
  <c r="Z68" i="57"/>
  <c r="Z62" i="57"/>
  <c r="Z65" i="57"/>
  <c r="Z61" i="57"/>
  <c r="Z40" i="57"/>
  <c r="Z60" i="57"/>
  <c r="Z52" i="57"/>
  <c r="Z41" i="57"/>
  <c r="Z71" i="57"/>
  <c r="Z67" i="57"/>
  <c r="Z64" i="57"/>
  <c r="Z70" i="57"/>
  <c r="Z63" i="57"/>
  <c r="Z58" i="57"/>
  <c r="Z59" i="57"/>
  <c r="Z38" i="57"/>
  <c r="Z39" i="57"/>
  <c r="Z13" i="57"/>
  <c r="Z54" i="57"/>
  <c r="Z35" i="57"/>
  <c r="Y98" i="32"/>
  <c r="Y101" i="32"/>
  <c r="Y102" i="32"/>
  <c r="Z73" i="57"/>
  <c r="Y96" i="57"/>
  <c r="Y97" i="57"/>
  <c r="Y104" i="57"/>
  <c r="Y109" i="57"/>
  <c r="Z48" i="57"/>
  <c r="Z42" i="57"/>
  <c r="Z44" i="57"/>
  <c r="Z46" i="57"/>
  <c r="Y109" i="32"/>
  <c r="Y114" i="32"/>
  <c r="Z50" i="57"/>
  <c r="Z53" i="57"/>
  <c r="Z55" i="57"/>
  <c r="Z75" i="57"/>
  <c r="Z80" i="57"/>
  <c r="Z82" i="57"/>
  <c r="Z111" i="57"/>
  <c r="Z110" i="57"/>
  <c r="Z108" i="57"/>
  <c r="Z116" i="32"/>
  <c r="Z115" i="32"/>
  <c r="Z113" i="32"/>
  <c r="AA70" i="57"/>
  <c r="AA69" i="57"/>
  <c r="AA63" i="57"/>
  <c r="AA71" i="57"/>
  <c r="AA64" i="57"/>
  <c r="AA60" i="57"/>
  <c r="AA54" i="57"/>
  <c r="AA35" i="57"/>
  <c r="AA38" i="57"/>
  <c r="AA39" i="57"/>
  <c r="AA13" i="57"/>
  <c r="Z93" i="57"/>
  <c r="AA68" i="57"/>
  <c r="AA65" i="57"/>
  <c r="AA61" i="57"/>
  <c r="AA67" i="57"/>
  <c r="AA62" i="57"/>
  <c r="AA58" i="57"/>
  <c r="AA59" i="57"/>
  <c r="AA52" i="57"/>
  <c r="AA41" i="57"/>
  <c r="AA40" i="57"/>
  <c r="Z98" i="32"/>
  <c r="Z101" i="32"/>
  <c r="AA73" i="57"/>
  <c r="Z96" i="57"/>
  <c r="Z97" i="57"/>
  <c r="Z104" i="57"/>
  <c r="Z109" i="57"/>
  <c r="AA48" i="57"/>
  <c r="AA42" i="57"/>
  <c r="AA44" i="57"/>
  <c r="AA46" i="57"/>
  <c r="Z102" i="32"/>
  <c r="Z109" i="32"/>
  <c r="Z114" i="32"/>
  <c r="AA50" i="57"/>
  <c r="AA53" i="57"/>
  <c r="AA55" i="57"/>
  <c r="AA75" i="57"/>
  <c r="AA80" i="57"/>
  <c r="AA82" i="57"/>
  <c r="AA111" i="57"/>
  <c r="AA108" i="57"/>
  <c r="AA110" i="57"/>
  <c r="AA116" i="32"/>
  <c r="AA115" i="32"/>
  <c r="AA113" i="32"/>
  <c r="AA93" i="57"/>
  <c r="AB69" i="57"/>
  <c r="AB70" i="57"/>
  <c r="AB62" i="57"/>
  <c r="AB65" i="57"/>
  <c r="AB61" i="57"/>
  <c r="AB60" i="57"/>
  <c r="AB38" i="57"/>
  <c r="AB39" i="57"/>
  <c r="AB13" i="57"/>
  <c r="AB52" i="57"/>
  <c r="AB41" i="57"/>
  <c r="AB71" i="57"/>
  <c r="AB67" i="57"/>
  <c r="AB64" i="57"/>
  <c r="AB68" i="57"/>
  <c r="AB63" i="57"/>
  <c r="AB58" i="57"/>
  <c r="AB59" i="57"/>
  <c r="AB40" i="57"/>
  <c r="AB54" i="57"/>
  <c r="AB35" i="57"/>
  <c r="AA98" i="32"/>
  <c r="AA101" i="32"/>
  <c r="AB73" i="57"/>
  <c r="AB48" i="57"/>
  <c r="AB42" i="57"/>
  <c r="AB44" i="57"/>
  <c r="AB46" i="57"/>
  <c r="AA96" i="57"/>
  <c r="AA97" i="57"/>
  <c r="AA104" i="57"/>
  <c r="AA109" i="57"/>
  <c r="AA102" i="32"/>
  <c r="AA109" i="32"/>
  <c r="AA114" i="32"/>
  <c r="AB50" i="57"/>
  <c r="AB53" i="57"/>
  <c r="AB55" i="57"/>
  <c r="AB75" i="57"/>
  <c r="AB80" i="57"/>
  <c r="AB82" i="57"/>
  <c r="AB111" i="57"/>
  <c r="AB108" i="57"/>
  <c r="AB110" i="57"/>
  <c r="AB116" i="32"/>
  <c r="AB115" i="32"/>
  <c r="AB113" i="32"/>
  <c r="AC70" i="57"/>
  <c r="AC71" i="57"/>
  <c r="AC65" i="57"/>
  <c r="AC61" i="57"/>
  <c r="AC64" i="57"/>
  <c r="AC60" i="57"/>
  <c r="AC52" i="57"/>
  <c r="AC41" i="57"/>
  <c r="AC58" i="57"/>
  <c r="AC59" i="57"/>
  <c r="AC38" i="57"/>
  <c r="AC39" i="57"/>
  <c r="AC13" i="57"/>
  <c r="AB93" i="57"/>
  <c r="AC68" i="57"/>
  <c r="AC67" i="57"/>
  <c r="AC63" i="57"/>
  <c r="AC69" i="57"/>
  <c r="AC62" i="57"/>
  <c r="AC54" i="57"/>
  <c r="AC35" i="57"/>
  <c r="AC40" i="57"/>
  <c r="AB98" i="32"/>
  <c r="AC48" i="57"/>
  <c r="AC42" i="57"/>
  <c r="AC44" i="57"/>
  <c r="AC46" i="57"/>
  <c r="AB96" i="57"/>
  <c r="AB97" i="57"/>
  <c r="AB104" i="57"/>
  <c r="AB109" i="57"/>
  <c r="AC73" i="57"/>
  <c r="AB101" i="32"/>
  <c r="AB102" i="32"/>
  <c r="AB109" i="32"/>
  <c r="AB114" i="32"/>
  <c r="AC50" i="57"/>
  <c r="AC53" i="57"/>
  <c r="AC55" i="57"/>
  <c r="AC75" i="57"/>
  <c r="AC80" i="57"/>
  <c r="AC82" i="57"/>
  <c r="AC111" i="57"/>
  <c r="AC110" i="57"/>
  <c r="AC108" i="57"/>
  <c r="AC93" i="57"/>
  <c r="AD69" i="57"/>
  <c r="AD68" i="57"/>
  <c r="AD62" i="57"/>
  <c r="AD65" i="57"/>
  <c r="AD61" i="57"/>
  <c r="AD40" i="57"/>
  <c r="AD60" i="57"/>
  <c r="AD52" i="57"/>
  <c r="AD41" i="57"/>
  <c r="AD71" i="57"/>
  <c r="AD67" i="57"/>
  <c r="AD64" i="57"/>
  <c r="AD70" i="57"/>
  <c r="AD63" i="57"/>
  <c r="AD58" i="57"/>
  <c r="AD59" i="57"/>
  <c r="AD38" i="57"/>
  <c r="AD39" i="57"/>
  <c r="AD13" i="57"/>
  <c r="AD54" i="57"/>
  <c r="AD35" i="57"/>
  <c r="AC115" i="32"/>
  <c r="AC113" i="32"/>
  <c r="AC116" i="32"/>
  <c r="AD73" i="57"/>
  <c r="AD48" i="57"/>
  <c r="AD42" i="57"/>
  <c r="AD44" i="57"/>
  <c r="AD46" i="57"/>
  <c r="AC96" i="57"/>
  <c r="AC97" i="57"/>
  <c r="AC104" i="57"/>
  <c r="AC109" i="57"/>
  <c r="AC98" i="32"/>
  <c r="AD50" i="57"/>
  <c r="AD53" i="57"/>
  <c r="AD55" i="57"/>
  <c r="AD75" i="57"/>
  <c r="AC102" i="32"/>
  <c r="AC101" i="32"/>
  <c r="AC109" i="32"/>
  <c r="AC114" i="32"/>
  <c r="AD80" i="57"/>
  <c r="AD82" i="57"/>
  <c r="AD111" i="57"/>
  <c r="AD108" i="57"/>
  <c r="AD110" i="57"/>
  <c r="AE70" i="57"/>
  <c r="AE69" i="57"/>
  <c r="AE63" i="57"/>
  <c r="AE71" i="57"/>
  <c r="AE64" i="57"/>
  <c r="AE60" i="57"/>
  <c r="AE54" i="57"/>
  <c r="AE35" i="57"/>
  <c r="AE38" i="57"/>
  <c r="AE39" i="57"/>
  <c r="AE13" i="57"/>
  <c r="AD93" i="57"/>
  <c r="AE68" i="57"/>
  <c r="AE65" i="57"/>
  <c r="AE61" i="57"/>
  <c r="AE67" i="57"/>
  <c r="AE62" i="57"/>
  <c r="AE58" i="57"/>
  <c r="AE59" i="57"/>
  <c r="AE52" i="57"/>
  <c r="AE41" i="57"/>
  <c r="AE40" i="57"/>
  <c r="AE73" i="57"/>
  <c r="AD96" i="57"/>
  <c r="AD97" i="57"/>
  <c r="AD104" i="57"/>
  <c r="AD109" i="57"/>
  <c r="AE48" i="57"/>
  <c r="AE42" i="57"/>
  <c r="AE44" i="57"/>
  <c r="AE46" i="57"/>
  <c r="AD113" i="32"/>
  <c r="AD116" i="32"/>
  <c r="AD115" i="32"/>
  <c r="AE50" i="57"/>
  <c r="AE53" i="57"/>
  <c r="AE55" i="57"/>
  <c r="AE75" i="57"/>
  <c r="AD98" i="32"/>
  <c r="AE80" i="57"/>
  <c r="AE82" i="57"/>
  <c r="AE111" i="57"/>
  <c r="AE110" i="57"/>
  <c r="AE108" i="57"/>
  <c r="AD101" i="32"/>
  <c r="AD109" i="32"/>
  <c r="AD114" i="32"/>
  <c r="AD102" i="32"/>
  <c r="AF71" i="57"/>
  <c r="AF67" i="57"/>
  <c r="AF64" i="57"/>
  <c r="AF68" i="57"/>
  <c r="AF63" i="57"/>
  <c r="AF58" i="57"/>
  <c r="AF59" i="57"/>
  <c r="AF40" i="57"/>
  <c r="AF54" i="57"/>
  <c r="AF35" i="57"/>
  <c r="AE93" i="57"/>
  <c r="AF69" i="57"/>
  <c r="AF70" i="57"/>
  <c r="AF62" i="57"/>
  <c r="AF65" i="57"/>
  <c r="AF61" i="57"/>
  <c r="AF60" i="57"/>
  <c r="AF38" i="57"/>
  <c r="AF39" i="57"/>
  <c r="AF13" i="57"/>
  <c r="AF52" i="57"/>
  <c r="AF41" i="57"/>
  <c r="AE96" i="57"/>
  <c r="AE97" i="57"/>
  <c r="AE104" i="57"/>
  <c r="AE109" i="57"/>
  <c r="AF48" i="57"/>
  <c r="AF42" i="57"/>
  <c r="AF44" i="57"/>
  <c r="AF46" i="57"/>
  <c r="AF73" i="57"/>
  <c r="AF50" i="57"/>
  <c r="AF53" i="57"/>
  <c r="AF55" i="57"/>
  <c r="AE113" i="32"/>
  <c r="AE115" i="32"/>
  <c r="AE116" i="32"/>
  <c r="AF75" i="57"/>
  <c r="AF80" i="57"/>
  <c r="AE98" i="32"/>
  <c r="AE109" i="32"/>
  <c r="AE114" i="32"/>
  <c r="AF111" i="57"/>
  <c r="AF110" i="57"/>
  <c r="AF108" i="57"/>
  <c r="AF82" i="57"/>
  <c r="AE102" i="32"/>
  <c r="AE101" i="32"/>
  <c r="AF93" i="57"/>
  <c r="AG68" i="57"/>
  <c r="AG67" i="57"/>
  <c r="AG63" i="57"/>
  <c r="AG69" i="57"/>
  <c r="AG62" i="57"/>
  <c r="AG54" i="57"/>
  <c r="AG35" i="57"/>
  <c r="AG40" i="57"/>
  <c r="AG70" i="57"/>
  <c r="AG71" i="57"/>
  <c r="AG65" i="57"/>
  <c r="AG61" i="57"/>
  <c r="AG64" i="57"/>
  <c r="AG60" i="57"/>
  <c r="AG52" i="57"/>
  <c r="AG41" i="57"/>
  <c r="AG58" i="57"/>
  <c r="AG59" i="57"/>
  <c r="AG38" i="57"/>
  <c r="AG39" i="57"/>
  <c r="AG13" i="57"/>
  <c r="AG73" i="57"/>
  <c r="AG48" i="57"/>
  <c r="AG42" i="57"/>
  <c r="AG44" i="57"/>
  <c r="AG46" i="57"/>
  <c r="AF96" i="57"/>
  <c r="AF97" i="57"/>
  <c r="AF104" i="57"/>
  <c r="AF109" i="57"/>
  <c r="AF115" i="32"/>
  <c r="AF113" i="32"/>
  <c r="AF116" i="32"/>
  <c r="AG50" i="57"/>
  <c r="AG53" i="57"/>
  <c r="AG55" i="57"/>
  <c r="AG75" i="57"/>
  <c r="AF98" i="32"/>
  <c r="AG80" i="57"/>
  <c r="AG111" i="57"/>
  <c r="AG108" i="57"/>
  <c r="AG110" i="57"/>
  <c r="AG82" i="57"/>
  <c r="AF102" i="32"/>
  <c r="AF109" i="32"/>
  <c r="AF114" i="32"/>
  <c r="AF101" i="32"/>
  <c r="AH71" i="57"/>
  <c r="AH67" i="57"/>
  <c r="AH64" i="57"/>
  <c r="AH70" i="57"/>
  <c r="AH63" i="57"/>
  <c r="AH58" i="57"/>
  <c r="AH59" i="57"/>
  <c r="AH38" i="57"/>
  <c r="AH39" i="57"/>
  <c r="AH13" i="57"/>
  <c r="AH54" i="57"/>
  <c r="AH35" i="57"/>
  <c r="AG93" i="57"/>
  <c r="AH69" i="57"/>
  <c r="AH68" i="57"/>
  <c r="AH62" i="57"/>
  <c r="AH65" i="57"/>
  <c r="AH61" i="57"/>
  <c r="AH40" i="57"/>
  <c r="AH60" i="57"/>
  <c r="AH52" i="57"/>
  <c r="AH41" i="57"/>
  <c r="AG96" i="57"/>
  <c r="AG97" i="57"/>
  <c r="AG104" i="57"/>
  <c r="AG109" i="57"/>
  <c r="AH48" i="57"/>
  <c r="AH42" i="57"/>
  <c r="AH44" i="57"/>
  <c r="AH46" i="57"/>
  <c r="AH73" i="57"/>
  <c r="AH50" i="57"/>
  <c r="AH53" i="57"/>
  <c r="AH55" i="57"/>
  <c r="AH75" i="57"/>
  <c r="AG116" i="32"/>
  <c r="AG113" i="32"/>
  <c r="AG115" i="32"/>
  <c r="AH80" i="57"/>
  <c r="AH82" i="57"/>
  <c r="AH111" i="57"/>
  <c r="AH110" i="57"/>
  <c r="AH108" i="57"/>
  <c r="AG98" i="32"/>
  <c r="AG101" i="32"/>
  <c r="AG102" i="32"/>
  <c r="AI70" i="57"/>
  <c r="AI69" i="57"/>
  <c r="AI63" i="57"/>
  <c r="AI71" i="57"/>
  <c r="AI64" i="57"/>
  <c r="AI60" i="57"/>
  <c r="AI54" i="57"/>
  <c r="AI35" i="57"/>
  <c r="AI38" i="57"/>
  <c r="AI39" i="57"/>
  <c r="AI13" i="57"/>
  <c r="AH93" i="57"/>
  <c r="AI68" i="57"/>
  <c r="AI65" i="57"/>
  <c r="AI61" i="57"/>
  <c r="AI67" i="57"/>
  <c r="AI62" i="57"/>
  <c r="AI58" i="57"/>
  <c r="AI59" i="57"/>
  <c r="AI52" i="57"/>
  <c r="AI41" i="57"/>
  <c r="AI40" i="57"/>
  <c r="AG109" i="32"/>
  <c r="AG114" i="32"/>
  <c r="AI73" i="57"/>
  <c r="AH96" i="57"/>
  <c r="AH97" i="57"/>
  <c r="AH104" i="57"/>
  <c r="AH109" i="57"/>
  <c r="AI48" i="57"/>
  <c r="AI42" i="57"/>
  <c r="AI44" i="57"/>
  <c r="AI46" i="57"/>
  <c r="AI50" i="57"/>
  <c r="AI53" i="57"/>
  <c r="AI55" i="57"/>
  <c r="AI75" i="57"/>
  <c r="AH116" i="32"/>
  <c r="AH115" i="32"/>
  <c r="AH113" i="32"/>
  <c r="AI80" i="57"/>
  <c r="AI82" i="57"/>
  <c r="AI111" i="57"/>
  <c r="AI108" i="57"/>
  <c r="AI110" i="57"/>
  <c r="AH98" i="32"/>
  <c r="AJ71" i="57"/>
  <c r="AJ67" i="57"/>
  <c r="AJ64" i="57"/>
  <c r="AJ68" i="57"/>
  <c r="AJ63" i="57"/>
  <c r="AJ58" i="57"/>
  <c r="AJ59" i="57"/>
  <c r="AJ40" i="57"/>
  <c r="AJ54" i="57"/>
  <c r="AJ35" i="57"/>
  <c r="AI93" i="57"/>
  <c r="AJ69" i="57"/>
  <c r="AJ70" i="57"/>
  <c r="AJ62" i="57"/>
  <c r="AJ65" i="57"/>
  <c r="AJ61" i="57"/>
  <c r="AJ60" i="57"/>
  <c r="AJ38" i="57"/>
  <c r="AJ39" i="57"/>
  <c r="AJ13" i="57"/>
  <c r="AJ52" i="57"/>
  <c r="AJ41" i="57"/>
  <c r="AH101" i="32"/>
  <c r="AH102" i="32"/>
  <c r="AH109" i="32"/>
  <c r="AH114" i="32"/>
  <c r="AI96" i="57"/>
  <c r="AI97" i="57"/>
  <c r="AI104" i="57"/>
  <c r="AI109" i="57"/>
  <c r="AJ48" i="57"/>
  <c r="AJ42" i="57"/>
  <c r="AJ44" i="57"/>
  <c r="AJ46" i="57"/>
  <c r="AJ73" i="57"/>
  <c r="AJ50" i="57"/>
  <c r="AJ53" i="57"/>
  <c r="AJ55" i="57"/>
  <c r="AJ75" i="57"/>
  <c r="AJ80" i="57"/>
  <c r="AJ82" i="57"/>
  <c r="AJ111" i="57"/>
  <c r="AJ110" i="57"/>
  <c r="AJ108" i="57"/>
  <c r="AI115" i="32"/>
  <c r="AI113" i="32"/>
  <c r="AI116" i="32"/>
  <c r="AJ93" i="57"/>
  <c r="AK68" i="57"/>
  <c r="AK67" i="57"/>
  <c r="AK63" i="57"/>
  <c r="AK69" i="57"/>
  <c r="AK62" i="57"/>
  <c r="AK54" i="57"/>
  <c r="AK35" i="57"/>
  <c r="AK40" i="57"/>
  <c r="AK70" i="57"/>
  <c r="AK71" i="57"/>
  <c r="AK65" i="57"/>
  <c r="AK61" i="57"/>
  <c r="AK64" i="57"/>
  <c r="AK60" i="57"/>
  <c r="AK52" i="57"/>
  <c r="AK41" i="57"/>
  <c r="AK58" i="57"/>
  <c r="AK59" i="57"/>
  <c r="AK38" i="57"/>
  <c r="AK39" i="57"/>
  <c r="AK13" i="57"/>
  <c r="AI98" i="32"/>
  <c r="AK73" i="57"/>
  <c r="AK48" i="57"/>
  <c r="AK42" i="57"/>
  <c r="AK44" i="57"/>
  <c r="AK46" i="57"/>
  <c r="AJ96" i="57"/>
  <c r="AJ97" i="57"/>
  <c r="AJ104" i="57"/>
  <c r="AJ109" i="57"/>
  <c r="AI109" i="32"/>
  <c r="AI114" i="32"/>
  <c r="AI102" i="32"/>
  <c r="AI101" i="32"/>
  <c r="AK50" i="57"/>
  <c r="AK53" i="57"/>
  <c r="AK55" i="57"/>
  <c r="AK75" i="57"/>
  <c r="AK80" i="57"/>
  <c r="AK82" i="57"/>
  <c r="AK111" i="57"/>
  <c r="AK108" i="57"/>
  <c r="AK110" i="57"/>
  <c r="AL71" i="57"/>
  <c r="AL67" i="57"/>
  <c r="AL64" i="57"/>
  <c r="AL70" i="57"/>
  <c r="AL63" i="57"/>
  <c r="AL58" i="57"/>
  <c r="AL59" i="57"/>
  <c r="AL38" i="57"/>
  <c r="AL39" i="57"/>
  <c r="AL13" i="57"/>
  <c r="AL54" i="57"/>
  <c r="AL35" i="57"/>
  <c r="AK93" i="57"/>
  <c r="AL69" i="57"/>
  <c r="AL68" i="57"/>
  <c r="AL62" i="57"/>
  <c r="AL65" i="57"/>
  <c r="AL61" i="57"/>
  <c r="AL40" i="57"/>
  <c r="AL60" i="57"/>
  <c r="AL52" i="57"/>
  <c r="AL41" i="57"/>
  <c r="AJ116" i="32"/>
  <c r="AJ113" i="32"/>
  <c r="AJ115" i="32"/>
  <c r="AK96" i="57"/>
  <c r="AK104" i="57"/>
  <c r="AK109" i="57"/>
  <c r="AK97" i="57"/>
  <c r="AL42" i="57"/>
  <c r="AL44" i="57"/>
  <c r="AL46" i="57"/>
  <c r="AL48" i="57"/>
  <c r="AL73" i="57"/>
  <c r="AJ98" i="32"/>
  <c r="AJ109" i="32"/>
  <c r="AJ114" i="32"/>
  <c r="AL50" i="57"/>
  <c r="AL53" i="57"/>
  <c r="AL55" i="57"/>
  <c r="AL80" i="57"/>
  <c r="AJ102" i="32"/>
  <c r="AJ101" i="32"/>
  <c r="AL75" i="57"/>
  <c r="AL108" i="57"/>
  <c r="AL110" i="57"/>
  <c r="AL82" i="57"/>
  <c r="AM69" i="57"/>
  <c r="AL111" i="57"/>
  <c r="AK113" i="32"/>
  <c r="AK116" i="32"/>
  <c r="AK115" i="32"/>
  <c r="AM52" i="57"/>
  <c r="AM38" i="57"/>
  <c r="AM39" i="57"/>
  <c r="AM13" i="57"/>
  <c r="AM70" i="57"/>
  <c r="AM61" i="57"/>
  <c r="AM60" i="57"/>
  <c r="AM40" i="57"/>
  <c r="AM62" i="57"/>
  <c r="AM68" i="57"/>
  <c r="AM71" i="57"/>
  <c r="AM41" i="57"/>
  <c r="AM58" i="57"/>
  <c r="AM59" i="57"/>
  <c r="AM67" i="57"/>
  <c r="AM65" i="57"/>
  <c r="AL93" i="57"/>
  <c r="AL96" i="57"/>
  <c r="AM35" i="57"/>
  <c r="AM42" i="57"/>
  <c r="AM54" i="57"/>
  <c r="AM64" i="57"/>
  <c r="AM63" i="57"/>
  <c r="AK98" i="32"/>
  <c r="AK102" i="32"/>
  <c r="AK101" i="32"/>
  <c r="AL104" i="57"/>
  <c r="AL109" i="57"/>
  <c r="AL97" i="57"/>
  <c r="AM44" i="57"/>
  <c r="AM46" i="57"/>
  <c r="AM48" i="57"/>
  <c r="AM73" i="57"/>
  <c r="AK109" i="32"/>
  <c r="AK114" i="32"/>
  <c r="AM50" i="57"/>
  <c r="AM53" i="57"/>
  <c r="AM55" i="57"/>
  <c r="AM80" i="57"/>
  <c r="AM75" i="57"/>
  <c r="AM110" i="57"/>
  <c r="AL113" i="32"/>
  <c r="AL115" i="32"/>
  <c r="AL116" i="32"/>
  <c r="AM82" i="57"/>
  <c r="AN71" i="57"/>
  <c r="AM111" i="57"/>
  <c r="AM108" i="57"/>
  <c r="AN60" i="57"/>
  <c r="AL98" i="32"/>
  <c r="AN70" i="57"/>
  <c r="AN63" i="57"/>
  <c r="AN52" i="57"/>
  <c r="AN65" i="57"/>
  <c r="AM93" i="57"/>
  <c r="AM96" i="57"/>
  <c r="AN40" i="57"/>
  <c r="AN64" i="57"/>
  <c r="AN41" i="57"/>
  <c r="AN38" i="57"/>
  <c r="AN39" i="57"/>
  <c r="AN13" i="57"/>
  <c r="AN61" i="57"/>
  <c r="AN62" i="57"/>
  <c r="AN69" i="57"/>
  <c r="AN35" i="57"/>
  <c r="AN48" i="57"/>
  <c r="AN54" i="57"/>
  <c r="AN58" i="57"/>
  <c r="AN59" i="57"/>
  <c r="AN68" i="57"/>
  <c r="AN67" i="57"/>
  <c r="AL101" i="32"/>
  <c r="AL109" i="32"/>
  <c r="AL114" i="32"/>
  <c r="AL102" i="32"/>
  <c r="AM97" i="57"/>
  <c r="AM104" i="57"/>
  <c r="AM109" i="57"/>
  <c r="AN42" i="57"/>
  <c r="AN44" i="57"/>
  <c r="AN46" i="57"/>
  <c r="AN50" i="57"/>
  <c r="AN53" i="57"/>
  <c r="AN55" i="57"/>
  <c r="AN73" i="57"/>
  <c r="AN75" i="57"/>
  <c r="AN108" i="57"/>
  <c r="AN80" i="57"/>
  <c r="AN110" i="57"/>
  <c r="AN111" i="57"/>
  <c r="AN82" i="57"/>
  <c r="AO70" i="57"/>
  <c r="AM115" i="32"/>
  <c r="AM116" i="32"/>
  <c r="AM113" i="32"/>
  <c r="AO62" i="57"/>
  <c r="AO40" i="57"/>
  <c r="AO41" i="57"/>
  <c r="AO68" i="57"/>
  <c r="AO61" i="57"/>
  <c r="AO63" i="57"/>
  <c r="AO38" i="57"/>
  <c r="AO39" i="57"/>
  <c r="AO13" i="57"/>
  <c r="AO60" i="57"/>
  <c r="AO71" i="57"/>
  <c r="AO35" i="57"/>
  <c r="AO48" i="57"/>
  <c r="AO54" i="57"/>
  <c r="AO69" i="57"/>
  <c r="AO67" i="57"/>
  <c r="AN93" i="57"/>
  <c r="AN96" i="57"/>
  <c r="AO58" i="57"/>
  <c r="AO59" i="57"/>
  <c r="AO52" i="57"/>
  <c r="AO64" i="57"/>
  <c r="AO65" i="57"/>
  <c r="AM98" i="32"/>
  <c r="AM102" i="32"/>
  <c r="AN97" i="57"/>
  <c r="AO73" i="57"/>
  <c r="AO42" i="57"/>
  <c r="AO44" i="57"/>
  <c r="AO46" i="57"/>
  <c r="AN104" i="57"/>
  <c r="AN109" i="57"/>
  <c r="AM101" i="32"/>
  <c r="AM109" i="32"/>
  <c r="AM114" i="32"/>
  <c r="AO50" i="57"/>
  <c r="AO53" i="57"/>
  <c r="AO55" i="57"/>
  <c r="AO80" i="57"/>
  <c r="AN115" i="32"/>
  <c r="AO75" i="57"/>
  <c r="AO111" i="57"/>
  <c r="AO82" i="57"/>
  <c r="AP67" i="57"/>
  <c r="AO110" i="57"/>
  <c r="AO108" i="57"/>
  <c r="AN113" i="32"/>
  <c r="AN116" i="32"/>
  <c r="AP35" i="57"/>
  <c r="AP48" i="57"/>
  <c r="AP63" i="57"/>
  <c r="AP60" i="57"/>
  <c r="AO93" i="57"/>
  <c r="AO104" i="57"/>
  <c r="AO109" i="57"/>
  <c r="AP58" i="57"/>
  <c r="AP59" i="57"/>
  <c r="AP62" i="57"/>
  <c r="AP71" i="57"/>
  <c r="AP68" i="57"/>
  <c r="AP65" i="57"/>
  <c r="AP70" i="57"/>
  <c r="AP54" i="57"/>
  <c r="AP69" i="57"/>
  <c r="AP61" i="57"/>
  <c r="AP41" i="57"/>
  <c r="AP64" i="57"/>
  <c r="AP40" i="57"/>
  <c r="AP52" i="57"/>
  <c r="AP38" i="57"/>
  <c r="AP39" i="57"/>
  <c r="AP13" i="57"/>
  <c r="AN98" i="32"/>
  <c r="AN109" i="32"/>
  <c r="AN114" i="32"/>
  <c r="AN102" i="32"/>
  <c r="AP42" i="57"/>
  <c r="AP44" i="57"/>
  <c r="AP46" i="57"/>
  <c r="AP50" i="57"/>
  <c r="AP53" i="57"/>
  <c r="AP55" i="57"/>
  <c r="AP80" i="57"/>
  <c r="AO97" i="57"/>
  <c r="AO96" i="57"/>
  <c r="AP73" i="57"/>
  <c r="AN101" i="32"/>
  <c r="AP75" i="57"/>
  <c r="AP110" i="57"/>
  <c r="AO113" i="32"/>
  <c r="AO116" i="32"/>
  <c r="AO115" i="32"/>
  <c r="AP111" i="57"/>
  <c r="AP108" i="57"/>
  <c r="AP82" i="57"/>
  <c r="AQ70" i="57"/>
  <c r="AO98" i="32"/>
  <c r="AQ54" i="57"/>
  <c r="AQ63" i="57"/>
  <c r="AP93" i="57"/>
  <c r="AP104" i="57"/>
  <c r="AP109" i="57"/>
  <c r="AQ64" i="57"/>
  <c r="AQ60" i="57"/>
  <c r="AQ52" i="57"/>
  <c r="AQ69" i="57"/>
  <c r="AQ61" i="57"/>
  <c r="AQ65" i="57"/>
  <c r="AQ67" i="57"/>
  <c r="AQ71" i="57"/>
  <c r="AQ35" i="57"/>
  <c r="AQ48" i="57"/>
  <c r="AQ38" i="57"/>
  <c r="AQ39" i="57"/>
  <c r="AQ13" i="57"/>
  <c r="AQ68" i="57"/>
  <c r="AQ62" i="57"/>
  <c r="AQ40" i="57"/>
  <c r="AQ58" i="57"/>
  <c r="AQ59" i="57"/>
  <c r="AQ41" i="57"/>
  <c r="AP97" i="57"/>
  <c r="AO101" i="32"/>
  <c r="AO109" i="32"/>
  <c r="AO114" i="32"/>
  <c r="AO102" i="32"/>
  <c r="AP96" i="57"/>
  <c r="AQ73" i="57"/>
  <c r="AQ42" i="57"/>
  <c r="AQ44" i="57"/>
  <c r="AQ46" i="57"/>
  <c r="AQ50" i="57"/>
  <c r="AQ53" i="57"/>
  <c r="AQ55" i="57"/>
  <c r="AQ80" i="57"/>
  <c r="AQ75" i="57"/>
  <c r="AP115" i="32"/>
  <c r="AP113" i="32"/>
  <c r="AP116" i="32"/>
  <c r="AQ108" i="57"/>
  <c r="AQ111" i="57"/>
  <c r="AQ110" i="57"/>
  <c r="AQ82" i="57"/>
  <c r="AP98" i="32"/>
  <c r="AR71" i="57"/>
  <c r="AR61" i="57"/>
  <c r="AR54" i="57"/>
  <c r="AR38" i="57"/>
  <c r="AR39" i="57"/>
  <c r="AR13" i="57"/>
  <c r="AR68" i="57"/>
  <c r="AR60" i="57"/>
  <c r="AQ93" i="57"/>
  <c r="AR67" i="57"/>
  <c r="AR69" i="57"/>
  <c r="AR40" i="57"/>
  <c r="AR64" i="57"/>
  <c r="AR41" i="57"/>
  <c r="AR70" i="57"/>
  <c r="AR52" i="57"/>
  <c r="AR65" i="57"/>
  <c r="AR58" i="57"/>
  <c r="AR59" i="57"/>
  <c r="AR62" i="57"/>
  <c r="AR35" i="57"/>
  <c r="AR63" i="57"/>
  <c r="AP102" i="32"/>
  <c r="AP109" i="32"/>
  <c r="AP114" i="32"/>
  <c r="AP101" i="32"/>
  <c r="AR48" i="57"/>
  <c r="AR42" i="57"/>
  <c r="AR44" i="57"/>
  <c r="AR73" i="57"/>
  <c r="AQ97" i="57"/>
  <c r="AQ104" i="57"/>
  <c r="AQ109" i="57"/>
  <c r="AQ96" i="57"/>
  <c r="AR46" i="57"/>
  <c r="AR50" i="57"/>
  <c r="AR53" i="57"/>
  <c r="AR55" i="57"/>
  <c r="AR75" i="57"/>
  <c r="AR80" i="57"/>
  <c r="AQ116" i="32"/>
  <c r="AQ115" i="32"/>
  <c r="AQ113" i="32"/>
  <c r="AR108" i="57"/>
  <c r="AR110" i="57"/>
  <c r="AR111" i="57"/>
  <c r="AR82" i="57"/>
  <c r="AQ98" i="32"/>
  <c r="AQ102" i="32"/>
  <c r="AS65" i="57"/>
  <c r="AS52" i="57"/>
  <c r="AR93" i="57"/>
  <c r="AS69" i="57"/>
  <c r="AS35" i="57"/>
  <c r="AS61" i="57"/>
  <c r="AS41" i="57"/>
  <c r="AS68" i="57"/>
  <c r="AS62" i="57"/>
  <c r="AS40" i="57"/>
  <c r="AS70" i="57"/>
  <c r="AS64" i="57"/>
  <c r="AS58" i="57"/>
  <c r="AS59" i="57"/>
  <c r="AS67" i="57"/>
  <c r="AS54" i="57"/>
  <c r="AS71" i="57"/>
  <c r="AS60" i="57"/>
  <c r="AS38" i="57"/>
  <c r="AS39" i="57"/>
  <c r="AS13" i="57"/>
  <c r="AS63" i="57"/>
  <c r="AQ101" i="32"/>
  <c r="AQ109" i="32"/>
  <c r="AQ114" i="32"/>
  <c r="AS73" i="57"/>
  <c r="AS48" i="57"/>
  <c r="AS42" i="57"/>
  <c r="AS44" i="57"/>
  <c r="AR97" i="57"/>
  <c r="AR104" i="57"/>
  <c r="AR109" i="57"/>
  <c r="AR96" i="57"/>
  <c r="AS46" i="57"/>
  <c r="AS50" i="57"/>
  <c r="AS53" i="57"/>
  <c r="AS55" i="57"/>
  <c r="AR115" i="32"/>
  <c r="AR113" i="32"/>
  <c r="AR116" i="32"/>
  <c r="AS80" i="57"/>
  <c r="AS75" i="57"/>
  <c r="AR98" i="32"/>
  <c r="AR109" i="32"/>
  <c r="AR114" i="32"/>
  <c r="AS110" i="57"/>
  <c r="AS108" i="57"/>
  <c r="AS82" i="57"/>
  <c r="AS111" i="57"/>
  <c r="AR102" i="32"/>
  <c r="AR101" i="32"/>
  <c r="AT38" i="57"/>
  <c r="AT39" i="57"/>
  <c r="AT13" i="57"/>
  <c r="AT71" i="57"/>
  <c r="AT65" i="57"/>
  <c r="AT70" i="57"/>
  <c r="AT64" i="57"/>
  <c r="AT63" i="57"/>
  <c r="AS93" i="57"/>
  <c r="AT69" i="57"/>
  <c r="AT67" i="57"/>
  <c r="AT54" i="57"/>
  <c r="AT40" i="57"/>
  <c r="AT60" i="57"/>
  <c r="AT35" i="57"/>
  <c r="AT68" i="57"/>
  <c r="AT58" i="57"/>
  <c r="AT59" i="57"/>
  <c r="AT62" i="57"/>
  <c r="AT52" i="57"/>
  <c r="AT61" i="57"/>
  <c r="AT41" i="57"/>
  <c r="AT73" i="57"/>
  <c r="AT42" i="57"/>
  <c r="AT44" i="57"/>
  <c r="AT46" i="57"/>
  <c r="AT48" i="57"/>
  <c r="AS96" i="57"/>
  <c r="AS97" i="57"/>
  <c r="AS104" i="57"/>
  <c r="AS109" i="57"/>
  <c r="AS115" i="32"/>
  <c r="AS116" i="32"/>
  <c r="AS113" i="32"/>
  <c r="AT50" i="57"/>
  <c r="AT53" i="57"/>
  <c r="AT55" i="57"/>
  <c r="AT75" i="57"/>
  <c r="AS98" i="32"/>
  <c r="AT80" i="57"/>
  <c r="AT82" i="57"/>
  <c r="AT110" i="57"/>
  <c r="AT111" i="57"/>
  <c r="AT108" i="57"/>
  <c r="AS109" i="32"/>
  <c r="AS114" i="32"/>
  <c r="AS101" i="32"/>
  <c r="AS102" i="32"/>
  <c r="AU52" i="57"/>
  <c r="AU69" i="57"/>
  <c r="AU65" i="57"/>
  <c r="AU64" i="57"/>
  <c r="AU40" i="57"/>
  <c r="AU61" i="57"/>
  <c r="AU41" i="57"/>
  <c r="AT93" i="57"/>
  <c r="AU63" i="57"/>
  <c r="AU70" i="57"/>
  <c r="AU68" i="57"/>
  <c r="AU38" i="57"/>
  <c r="AU39" i="57"/>
  <c r="AU13" i="57"/>
  <c r="AU58" i="57"/>
  <c r="AU59" i="57"/>
  <c r="AU35" i="57"/>
  <c r="AU62" i="57"/>
  <c r="AU71" i="57"/>
  <c r="AU60" i="57"/>
  <c r="AU67" i="57"/>
  <c r="AU54" i="57"/>
  <c r="AU42" i="57"/>
  <c r="AU44" i="57"/>
  <c r="AU46" i="57"/>
  <c r="AU48" i="57"/>
  <c r="AT97" i="57"/>
  <c r="AT96" i="57"/>
  <c r="AT104" i="57"/>
  <c r="AT109" i="57"/>
  <c r="AU73" i="57"/>
  <c r="AU50" i="57"/>
  <c r="AU53" i="57"/>
  <c r="AU55" i="57"/>
  <c r="AT115" i="32"/>
  <c r="AT113" i="32"/>
  <c r="AT116" i="32"/>
  <c r="AU80" i="57"/>
  <c r="AU75" i="57"/>
  <c r="AT98" i="32"/>
  <c r="AU110" i="57"/>
  <c r="AU111" i="57"/>
  <c r="AU82" i="57"/>
  <c r="AU108" i="57"/>
  <c r="AT109" i="32"/>
  <c r="AT114" i="32"/>
  <c r="AT102" i="32"/>
  <c r="AT101" i="32"/>
  <c r="AV41" i="57"/>
  <c r="AV64" i="57"/>
  <c r="AV69" i="57"/>
  <c r="AV35" i="57"/>
  <c r="AV68" i="57"/>
  <c r="AV71" i="57"/>
  <c r="AV54" i="57"/>
  <c r="AV40" i="57"/>
  <c r="AV61" i="57"/>
  <c r="AV70" i="57"/>
  <c r="AU93" i="57"/>
  <c r="AV63" i="57"/>
  <c r="AV38" i="57"/>
  <c r="AV39" i="57"/>
  <c r="AV13" i="57"/>
  <c r="AV60" i="57"/>
  <c r="AV52" i="57"/>
  <c r="AV65" i="57"/>
  <c r="AV62" i="57"/>
  <c r="AV67" i="57"/>
  <c r="AV58" i="57"/>
  <c r="AV59" i="57"/>
  <c r="AV73" i="57"/>
  <c r="AU97" i="57"/>
  <c r="AU104" i="57"/>
  <c r="AU109" i="57"/>
  <c r="AU96" i="57"/>
  <c r="AV48" i="57"/>
  <c r="AV42" i="57"/>
  <c r="AV44" i="57"/>
  <c r="AV46" i="57"/>
  <c r="AV50" i="57"/>
  <c r="AV53" i="57"/>
  <c r="AV55" i="57"/>
  <c r="AU115" i="32"/>
  <c r="AU113" i="32"/>
  <c r="AU116" i="32"/>
  <c r="AV75" i="57"/>
  <c r="AV80" i="57"/>
  <c r="AU98" i="32"/>
  <c r="AU101" i="32"/>
  <c r="AV110" i="57"/>
  <c r="AV108" i="57"/>
  <c r="AV111" i="57"/>
  <c r="AV82" i="57"/>
  <c r="AU109" i="32"/>
  <c r="AU114" i="32"/>
  <c r="AU102" i="32"/>
  <c r="AW52" i="57"/>
  <c r="AW35" i="57"/>
  <c r="AW67" i="57"/>
  <c r="AW70" i="57"/>
  <c r="AW68" i="57"/>
  <c r="AW60" i="57"/>
  <c r="AW63" i="57"/>
  <c r="AW54" i="57"/>
  <c r="AW41" i="57"/>
  <c r="AW40" i="57"/>
  <c r="AW65" i="57"/>
  <c r="AW64" i="57"/>
  <c r="AW71" i="57"/>
  <c r="AW62" i="57"/>
  <c r="AW69" i="57"/>
  <c r="AV93" i="57"/>
  <c r="AW58" i="57"/>
  <c r="AW59" i="57"/>
  <c r="AW38" i="57"/>
  <c r="AW39" i="57"/>
  <c r="AW13" i="57"/>
  <c r="AW61" i="57"/>
  <c r="AW73" i="57"/>
  <c r="AV97" i="57"/>
  <c r="AV104" i="57"/>
  <c r="AV109" i="57"/>
  <c r="AV96" i="57"/>
  <c r="AW42" i="57"/>
  <c r="AW44" i="57"/>
  <c r="AW48" i="57"/>
  <c r="AV116" i="32"/>
  <c r="AV113" i="32"/>
  <c r="AV115" i="32"/>
  <c r="AW46" i="57"/>
  <c r="AW50" i="57"/>
  <c r="AW53" i="57"/>
  <c r="AW55" i="57"/>
  <c r="AV98" i="32"/>
  <c r="AW75" i="57"/>
  <c r="AW80" i="57"/>
  <c r="AV109" i="32"/>
  <c r="AV114" i="32"/>
  <c r="AV102" i="32"/>
  <c r="AV101" i="32"/>
  <c r="AW110" i="57"/>
  <c r="AW82" i="57"/>
  <c r="AW108" i="57"/>
  <c r="AW111" i="57"/>
  <c r="AX54" i="57"/>
  <c r="AX63" i="57"/>
  <c r="AX64" i="57"/>
  <c r="AW93" i="57"/>
  <c r="AX52" i="57"/>
  <c r="AX61" i="57"/>
  <c r="AX62" i="57"/>
  <c r="AX71" i="57"/>
  <c r="AX58" i="57"/>
  <c r="AX59" i="57"/>
  <c r="AX60" i="57"/>
  <c r="AX69" i="57"/>
  <c r="AX41" i="57"/>
  <c r="AX40" i="57"/>
  <c r="AX70" i="57"/>
  <c r="AX67" i="57"/>
  <c r="AX35" i="57"/>
  <c r="AX38" i="57"/>
  <c r="AX39" i="57"/>
  <c r="AX13" i="57"/>
  <c r="AX65" i="57"/>
  <c r="AX68" i="57"/>
  <c r="AX42" i="57"/>
  <c r="AX44" i="57"/>
  <c r="AX48" i="57"/>
  <c r="AX73" i="57"/>
  <c r="AW97" i="57"/>
  <c r="AW96" i="57"/>
  <c r="AW104" i="57"/>
  <c r="AW109" i="57"/>
  <c r="AW113" i="32"/>
  <c r="AW116" i="32"/>
  <c r="AW115" i="32"/>
  <c r="AX46" i="57"/>
  <c r="AX50" i="57"/>
  <c r="AX53" i="57"/>
  <c r="AX55" i="57"/>
  <c r="AW98" i="32"/>
  <c r="AW109" i="32"/>
  <c r="AW114" i="32"/>
  <c r="AX75" i="57"/>
  <c r="AX80" i="57"/>
  <c r="AW102" i="32"/>
  <c r="AW101" i="32"/>
  <c r="AX111" i="57"/>
  <c r="AX110" i="57"/>
  <c r="AX82" i="57"/>
  <c r="AX108" i="57"/>
  <c r="AY69" i="57"/>
  <c r="AY38" i="57"/>
  <c r="AY39" i="57"/>
  <c r="AY13" i="57"/>
  <c r="AY63" i="57"/>
  <c r="AX93" i="57"/>
  <c r="AY41" i="57"/>
  <c r="AY68" i="57"/>
  <c r="AY60" i="57"/>
  <c r="AY70" i="57"/>
  <c r="AY35" i="57"/>
  <c r="AY58" i="57"/>
  <c r="AY59" i="57"/>
  <c r="AY40" i="57"/>
  <c r="AY54" i="57"/>
  <c r="AY67" i="57"/>
  <c r="AY71" i="57"/>
  <c r="AY52" i="57"/>
  <c r="AY62" i="57"/>
  <c r="AY64" i="57"/>
  <c r="AY65" i="57"/>
  <c r="AY61" i="57"/>
  <c r="AX113" i="32"/>
  <c r="AX116" i="32"/>
  <c r="AX115" i="32"/>
  <c r="AY42" i="57"/>
  <c r="AY44" i="57"/>
  <c r="AY48" i="57"/>
  <c r="AY73" i="57"/>
  <c r="AX97" i="57"/>
  <c r="AX96" i="57"/>
  <c r="AX104" i="57"/>
  <c r="AX109" i="57"/>
  <c r="AX98" i="32"/>
  <c r="AX101" i="32"/>
  <c r="AY46" i="57"/>
  <c r="AY50" i="57"/>
  <c r="AY53" i="57"/>
  <c r="AY55" i="57"/>
  <c r="AX102" i="32"/>
  <c r="AX109" i="32"/>
  <c r="AX114" i="32"/>
  <c r="AY80" i="57"/>
  <c r="AY75" i="57"/>
  <c r="AY108" i="57"/>
  <c r="AY111" i="57"/>
  <c r="AY82" i="57"/>
  <c r="AY110" i="57"/>
  <c r="AY113" i="32"/>
  <c r="AY116" i="32"/>
  <c r="AY115" i="32"/>
  <c r="AZ41" i="57"/>
  <c r="AZ40" i="57"/>
  <c r="AZ61" i="57"/>
  <c r="AZ64" i="57"/>
  <c r="AZ71" i="57"/>
  <c r="AZ69" i="57"/>
  <c r="AZ35" i="57"/>
  <c r="AZ70" i="57"/>
  <c r="AZ68" i="57"/>
  <c r="AZ62" i="57"/>
  <c r="AZ63" i="57"/>
  <c r="AZ38" i="57"/>
  <c r="AZ39" i="57"/>
  <c r="AZ13" i="57"/>
  <c r="AY93" i="57"/>
  <c r="AZ60" i="57"/>
  <c r="AZ67" i="57"/>
  <c r="AZ65" i="57"/>
  <c r="AZ54" i="57"/>
  <c r="AZ58" i="57"/>
  <c r="AZ59" i="57"/>
  <c r="AZ52" i="57"/>
  <c r="AY98" i="32"/>
  <c r="AZ73" i="57"/>
  <c r="AZ48" i="57"/>
  <c r="AZ42" i="57"/>
  <c r="AZ44" i="57"/>
  <c r="AY104" i="57"/>
  <c r="AY109" i="57"/>
  <c r="AY96" i="57"/>
  <c r="AY97" i="57"/>
  <c r="AY101" i="32"/>
  <c r="AY102" i="32"/>
  <c r="AY109" i="32"/>
  <c r="AY114" i="32"/>
  <c r="AZ46" i="57"/>
  <c r="AZ50" i="57"/>
  <c r="AZ53" i="57"/>
  <c r="AZ55" i="57"/>
  <c r="AZ75" i="57"/>
  <c r="AZ80" i="57"/>
  <c r="AZ111" i="57"/>
  <c r="AZ108" i="57"/>
  <c r="AZ82" i="57"/>
  <c r="AZ110" i="57"/>
  <c r="AZ116" i="32"/>
  <c r="AZ113" i="32"/>
  <c r="AZ115" i="32"/>
  <c r="BA61" i="57"/>
  <c r="AZ93" i="57"/>
  <c r="BA41" i="57"/>
  <c r="BA40" i="57"/>
  <c r="BA52" i="57"/>
  <c r="BA69" i="57"/>
  <c r="BA35" i="57"/>
  <c r="BA60" i="57"/>
  <c r="BA38" i="57"/>
  <c r="BA39" i="57"/>
  <c r="BA13" i="57"/>
  <c r="BA68" i="57"/>
  <c r="BA65" i="57"/>
  <c r="BA54" i="57"/>
  <c r="BA71" i="57"/>
  <c r="BA63" i="57"/>
  <c r="BA67" i="57"/>
  <c r="BA64" i="57"/>
  <c r="BA62" i="57"/>
  <c r="BA58" i="57"/>
  <c r="BA59" i="57"/>
  <c r="BA70" i="57"/>
  <c r="AZ98" i="32"/>
  <c r="BA73" i="57"/>
  <c r="BA42" i="57"/>
  <c r="BA44" i="57"/>
  <c r="BA46" i="57"/>
  <c r="BA48" i="57"/>
  <c r="AZ104" i="57"/>
  <c r="AZ109" i="57"/>
  <c r="AZ96" i="57"/>
  <c r="AZ97" i="57"/>
  <c r="AZ102" i="32"/>
  <c r="AZ109" i="32"/>
  <c r="AZ114" i="32"/>
  <c r="AZ101" i="32"/>
  <c r="BA50" i="57"/>
  <c r="BA53" i="57"/>
  <c r="BA55" i="57"/>
  <c r="BA75" i="57"/>
  <c r="BA80" i="57"/>
  <c r="BA82" i="57"/>
  <c r="BA108" i="57"/>
  <c r="BA110" i="57"/>
  <c r="BA111" i="57"/>
  <c r="BA115" i="32"/>
  <c r="BA113" i="32"/>
  <c r="BA116" i="32"/>
  <c r="BB64" i="57"/>
  <c r="BB40" i="57"/>
  <c r="BB63" i="57"/>
  <c r="BB69" i="57"/>
  <c r="BB58" i="57"/>
  <c r="BB59" i="57"/>
  <c r="BB60" i="57"/>
  <c r="BB54" i="57"/>
  <c r="BB38" i="57"/>
  <c r="BB39" i="57"/>
  <c r="BB13" i="57"/>
  <c r="BB68" i="57"/>
  <c r="BB52" i="57"/>
  <c r="BB71" i="57"/>
  <c r="BB65" i="57"/>
  <c r="BB41" i="57"/>
  <c r="BB62" i="57"/>
  <c r="BB67" i="57"/>
  <c r="BB61" i="57"/>
  <c r="BB35" i="57"/>
  <c r="BA93" i="57"/>
  <c r="BB70" i="57"/>
  <c r="BA98" i="32"/>
  <c r="BA104" i="57"/>
  <c r="BA109" i="57"/>
  <c r="BA97" i="57"/>
  <c r="BA96" i="57"/>
  <c r="BB42" i="57"/>
  <c r="BB44" i="57"/>
  <c r="BB46" i="57"/>
  <c r="BB48" i="57"/>
  <c r="BB73" i="57"/>
  <c r="BA102" i="32"/>
  <c r="BA109" i="32"/>
  <c r="BA114" i="32"/>
  <c r="BA101" i="32"/>
  <c r="BB50" i="57"/>
  <c r="BB53" i="57"/>
  <c r="BB55" i="57"/>
  <c r="BB75" i="57"/>
  <c r="BB80" i="57"/>
  <c r="BB82" i="57"/>
  <c r="BB111" i="57"/>
  <c r="BB110" i="57"/>
  <c r="BB108" i="57"/>
  <c r="BB116" i="32"/>
  <c r="BB113" i="32"/>
  <c r="BB115" i="32"/>
  <c r="BC63" i="57"/>
  <c r="BC54" i="57"/>
  <c r="BB93" i="57"/>
  <c r="BC67" i="57"/>
  <c r="BC69" i="57"/>
  <c r="BC60" i="57"/>
  <c r="BC38" i="57"/>
  <c r="BC39" i="57"/>
  <c r="BC13" i="57"/>
  <c r="BC61" i="57"/>
  <c r="BC52" i="57"/>
  <c r="BC58" i="57"/>
  <c r="BC59" i="57"/>
  <c r="BC70" i="57"/>
  <c r="BC64" i="57"/>
  <c r="BC35" i="57"/>
  <c r="BC65" i="57"/>
  <c r="BC41" i="57"/>
  <c r="BC71" i="57"/>
  <c r="BC68" i="57"/>
  <c r="BC62" i="57"/>
  <c r="BC40" i="57"/>
  <c r="BB98" i="32"/>
  <c r="BB102" i="32"/>
  <c r="BC48" i="57"/>
  <c r="BC42" i="57"/>
  <c r="BC44" i="57"/>
  <c r="BC46" i="57"/>
  <c r="BB96" i="57"/>
  <c r="BB97" i="57"/>
  <c r="BB104" i="57"/>
  <c r="BB109" i="57"/>
  <c r="BC73" i="57"/>
  <c r="BB101" i="32"/>
  <c r="BB109" i="32"/>
  <c r="BB114" i="32"/>
  <c r="BC50" i="57"/>
  <c r="BC53" i="57"/>
  <c r="BC55" i="57"/>
  <c r="BC80" i="57"/>
  <c r="BC75" i="57"/>
  <c r="BC110" i="57"/>
  <c r="BC116" i="32"/>
  <c r="BC108" i="57"/>
  <c r="BC111" i="57"/>
  <c r="BC82" i="57"/>
  <c r="BD60" i="57"/>
  <c r="BC115" i="32"/>
  <c r="BC113" i="32"/>
  <c r="BD70" i="57"/>
  <c r="BD65" i="57"/>
  <c r="BD38" i="57"/>
  <c r="BD39" i="57"/>
  <c r="BD13" i="57"/>
  <c r="BD35" i="57"/>
  <c r="BD48" i="57"/>
  <c r="BD67" i="57"/>
  <c r="BD68" i="57"/>
  <c r="BD40" i="57"/>
  <c r="BD63" i="57"/>
  <c r="BD58" i="57"/>
  <c r="BD59" i="57"/>
  <c r="BD71" i="57"/>
  <c r="BD62" i="57"/>
  <c r="BD61" i="57"/>
  <c r="BD52" i="57"/>
  <c r="BC93" i="57"/>
  <c r="BC96" i="57"/>
  <c r="BD64" i="57"/>
  <c r="BD54" i="57"/>
  <c r="BD41" i="57"/>
  <c r="BD69" i="57"/>
  <c r="BC98" i="32"/>
  <c r="BC102" i="32"/>
  <c r="BD42" i="57"/>
  <c r="BD44" i="57"/>
  <c r="BD46" i="57"/>
  <c r="BD50" i="57"/>
  <c r="BD53" i="57"/>
  <c r="BD55" i="57"/>
  <c r="BC97" i="57"/>
  <c r="BC104" i="57"/>
  <c r="BC109" i="57"/>
  <c r="BD73" i="57"/>
  <c r="BC109" i="32"/>
  <c r="BC114" i="32"/>
  <c r="BC101" i="32"/>
  <c r="BD80" i="57"/>
  <c r="BD75" i="57"/>
  <c r="BD108" i="57"/>
  <c r="BD111" i="57"/>
  <c r="BD110" i="57"/>
  <c r="BD82" i="57"/>
  <c r="BD116" i="32"/>
  <c r="BE71" i="57"/>
  <c r="BE64" i="57"/>
  <c r="BE67" i="57"/>
  <c r="BE63" i="57"/>
  <c r="BE65" i="57"/>
  <c r="BE54" i="57"/>
  <c r="BE60" i="57"/>
  <c r="BE35" i="57"/>
  <c r="BE68" i="57"/>
  <c r="BE70" i="57"/>
  <c r="BE40" i="57"/>
  <c r="BE61" i="57"/>
  <c r="BE69" i="57"/>
  <c r="BD93" i="57"/>
  <c r="BE62" i="57"/>
  <c r="BE38" i="57"/>
  <c r="BE39" i="57"/>
  <c r="BE13" i="57"/>
  <c r="BE58" i="57"/>
  <c r="BE59" i="57"/>
  <c r="BE52" i="57"/>
  <c r="BE41" i="57"/>
  <c r="BD113" i="32"/>
  <c r="BD115" i="32"/>
  <c r="BE73" i="57"/>
  <c r="BD104" i="57"/>
  <c r="BD109" i="57"/>
  <c r="BD96" i="57"/>
  <c r="BD97" i="57"/>
  <c r="BE48" i="57"/>
  <c r="BE42" i="57"/>
  <c r="BE44" i="57"/>
  <c r="BE46" i="57"/>
  <c r="BD98" i="32"/>
  <c r="BD102" i="32"/>
  <c r="BD109" i="32"/>
  <c r="BD114" i="32"/>
  <c r="BE50" i="57"/>
  <c r="BE53" i="57"/>
  <c r="BE55" i="57"/>
  <c r="BD101" i="32"/>
  <c r="BE80" i="57"/>
  <c r="BE75" i="57"/>
  <c r="BE110" i="57"/>
  <c r="BE108" i="57"/>
  <c r="BE82" i="57"/>
  <c r="BE111" i="57"/>
  <c r="BE113" i="32"/>
  <c r="BE116" i="32"/>
  <c r="BE115" i="32"/>
  <c r="BE98" i="32"/>
  <c r="BF71" i="57"/>
  <c r="BF65" i="57"/>
  <c r="BF40" i="57"/>
  <c r="BF63" i="57"/>
  <c r="BF60" i="57"/>
  <c r="BF68" i="57"/>
  <c r="BE93" i="57"/>
  <c r="BF38" i="57"/>
  <c r="BF39" i="57"/>
  <c r="BF13" i="57"/>
  <c r="BF35" i="57"/>
  <c r="BF54" i="57"/>
  <c r="BF67" i="57"/>
  <c r="BF70" i="57"/>
  <c r="BF41" i="57"/>
  <c r="BF69" i="57"/>
  <c r="BF58" i="57"/>
  <c r="BF59" i="57"/>
  <c r="BF52" i="57"/>
  <c r="BF64" i="57"/>
  <c r="BF62" i="57"/>
  <c r="BF61" i="57"/>
  <c r="BE109" i="32"/>
  <c r="BE114" i="32"/>
  <c r="BE101" i="32"/>
  <c r="BE102" i="32"/>
  <c r="BF48" i="57"/>
  <c r="BF42" i="57"/>
  <c r="BF44" i="57"/>
  <c r="BF46" i="57"/>
  <c r="BE97" i="57"/>
  <c r="BE104" i="57"/>
  <c r="BE109" i="57"/>
  <c r="BE96" i="57"/>
  <c r="BF73" i="57"/>
  <c r="BF50" i="57"/>
  <c r="BF53" i="57"/>
  <c r="BF55" i="57"/>
  <c r="BF75" i="57"/>
  <c r="BF80" i="57"/>
  <c r="BF82" i="57"/>
  <c r="BF108" i="57"/>
  <c r="BF111" i="57"/>
  <c r="BF110" i="57"/>
  <c r="BF113" i="32"/>
  <c r="BF115" i="32"/>
  <c r="BF116" i="32"/>
  <c r="BG65" i="57"/>
  <c r="BG69" i="57"/>
  <c r="BG38" i="57"/>
  <c r="BG39" i="57"/>
  <c r="BG13" i="57"/>
  <c r="BG70" i="57"/>
  <c r="BG35" i="57"/>
  <c r="BF93" i="57"/>
  <c r="BG71" i="57"/>
  <c r="BG41" i="57"/>
  <c r="BG63" i="57"/>
  <c r="BG67" i="57"/>
  <c r="BG61" i="57"/>
  <c r="BG60" i="57"/>
  <c r="BG68" i="57"/>
  <c r="BG64" i="57"/>
  <c r="BG40" i="57"/>
  <c r="BG52" i="57"/>
  <c r="BG58" i="57"/>
  <c r="BG59" i="57"/>
  <c r="BG54" i="57"/>
  <c r="BG62" i="57"/>
  <c r="BF98" i="32"/>
  <c r="BG42" i="57"/>
  <c r="BG44" i="57"/>
  <c r="BG48" i="57"/>
  <c r="BG73" i="57"/>
  <c r="BF96" i="57"/>
  <c r="BF104" i="57"/>
  <c r="BF109" i="57"/>
  <c r="BF97" i="57"/>
  <c r="BF102" i="32"/>
  <c r="BF109" i="32"/>
  <c r="BF114" i="32"/>
  <c r="BF101" i="32"/>
  <c r="BG46" i="57"/>
  <c r="BG50" i="57"/>
  <c r="BG53" i="57"/>
  <c r="BG55" i="57"/>
  <c r="BG75" i="57"/>
  <c r="BG80" i="57"/>
  <c r="BG111" i="57"/>
  <c r="BG110" i="57"/>
  <c r="BG108" i="57"/>
  <c r="BG82" i="57"/>
  <c r="BG113" i="32"/>
  <c r="BG116" i="32"/>
  <c r="BG115" i="32"/>
  <c r="BH61" i="57"/>
  <c r="BH62" i="57"/>
  <c r="BH68" i="57"/>
  <c r="BH58" i="57"/>
  <c r="BH59" i="57"/>
  <c r="BH60" i="57"/>
  <c r="BH69" i="57"/>
  <c r="BH41" i="57"/>
  <c r="BH52" i="57"/>
  <c r="BG93" i="57"/>
  <c r="BH67" i="57"/>
  <c r="BH35" i="57"/>
  <c r="BH38" i="57"/>
  <c r="BH39" i="57"/>
  <c r="BH13" i="57"/>
  <c r="BH64" i="57"/>
  <c r="BH71" i="57"/>
  <c r="BH54" i="57"/>
  <c r="BH63" i="57"/>
  <c r="BH70" i="57"/>
  <c r="BH65" i="57"/>
  <c r="BH40" i="57"/>
  <c r="BG98" i="32"/>
  <c r="BG96" i="57"/>
  <c r="BG104" i="57"/>
  <c r="BG109" i="57"/>
  <c r="BG97" i="57"/>
  <c r="BH42" i="57"/>
  <c r="BH44" i="57"/>
  <c r="BH48" i="57"/>
  <c r="BH73" i="57"/>
  <c r="BG101" i="32"/>
  <c r="BG109" i="32"/>
  <c r="BG114" i="32"/>
  <c r="BG102" i="32"/>
  <c r="BH46" i="57"/>
  <c r="BH50" i="57"/>
  <c r="BH53" i="57"/>
  <c r="BH55" i="57"/>
  <c r="BH75" i="57"/>
  <c r="BH80" i="57"/>
  <c r="BH82" i="57"/>
  <c r="BI60" i="57"/>
  <c r="BH111" i="57"/>
  <c r="BH110" i="57"/>
  <c r="BH108" i="57"/>
  <c r="BI52" i="57"/>
  <c r="BI41" i="57"/>
  <c r="BI62" i="57"/>
  <c r="BI70" i="57"/>
  <c r="BH93" i="57"/>
  <c r="BH104" i="57"/>
  <c r="BH109" i="57"/>
  <c r="BI67" i="57"/>
  <c r="BI35" i="57"/>
  <c r="BI48" i="57"/>
  <c r="BI38" i="57"/>
  <c r="BI39" i="57"/>
  <c r="BI13" i="57"/>
  <c r="BI40" i="57"/>
  <c r="BH115" i="32"/>
  <c r="BH116" i="32"/>
  <c r="BH113" i="32"/>
  <c r="BI69" i="57"/>
  <c r="BI58" i="57"/>
  <c r="BI59" i="57"/>
  <c r="BI71" i="57"/>
  <c r="BI54" i="57"/>
  <c r="BI68" i="57"/>
  <c r="BI65" i="57"/>
  <c r="BI61" i="57"/>
  <c r="BI63" i="57"/>
  <c r="BI64" i="57"/>
  <c r="BH96" i="57"/>
  <c r="BH97" i="57"/>
  <c r="BI42" i="57"/>
  <c r="BI44" i="57"/>
  <c r="BH98" i="32"/>
  <c r="BI73" i="57"/>
  <c r="BI46" i="57"/>
  <c r="BI50" i="57"/>
  <c r="BI53" i="57"/>
  <c r="BI55" i="57"/>
  <c r="BH109" i="32"/>
  <c r="BH114" i="32"/>
  <c r="BH102" i="32"/>
  <c r="BH101" i="32"/>
  <c r="BI75" i="57"/>
  <c r="BI80" i="57"/>
  <c r="BI111" i="57"/>
  <c r="BI108" i="57"/>
  <c r="BI110" i="57"/>
  <c r="BI82" i="57"/>
  <c r="BJ52" i="57"/>
  <c r="BJ40" i="57"/>
  <c r="BJ60" i="57"/>
  <c r="BJ70" i="57"/>
  <c r="BJ71" i="57"/>
  <c r="BJ54" i="57"/>
  <c r="BJ61" i="57"/>
  <c r="BJ64" i="57"/>
  <c r="BJ38" i="57"/>
  <c r="BJ39" i="57"/>
  <c r="BJ13" i="57"/>
  <c r="BJ58" i="57"/>
  <c r="BJ59" i="57"/>
  <c r="BJ35" i="57"/>
  <c r="BJ41" i="57"/>
  <c r="BJ67" i="57"/>
  <c r="BI93" i="57"/>
  <c r="BJ63" i="57"/>
  <c r="BJ68" i="57"/>
  <c r="BJ62" i="57"/>
  <c r="BJ65" i="57"/>
  <c r="BJ69" i="57"/>
  <c r="BI113" i="32"/>
  <c r="BI115" i="32"/>
  <c r="BI116" i="32"/>
  <c r="BI96" i="57"/>
  <c r="BI104" i="57"/>
  <c r="BI109" i="57"/>
  <c r="BI97" i="57"/>
  <c r="BJ48" i="57"/>
  <c r="BJ42" i="57"/>
  <c r="BJ44" i="57"/>
  <c r="BJ73" i="57"/>
  <c r="BI98" i="32"/>
  <c r="BJ46" i="57"/>
  <c r="BJ50" i="57"/>
  <c r="BJ53" i="57"/>
  <c r="BJ55" i="57"/>
  <c r="BI102" i="32"/>
  <c r="BI109" i="32"/>
  <c r="BI114" i="32"/>
  <c r="BI101" i="32"/>
  <c r="BJ75" i="57"/>
  <c r="BJ80" i="57"/>
  <c r="BJ108" i="57"/>
  <c r="BJ110" i="57"/>
  <c r="BJ111" i="57"/>
  <c r="BJ82" i="57"/>
  <c r="BK60" i="57"/>
  <c r="BK61" i="57"/>
  <c r="BK70" i="57"/>
  <c r="BK35" i="57"/>
  <c r="BK58" i="57"/>
  <c r="BK59" i="57"/>
  <c r="BK62" i="57"/>
  <c r="BK63" i="57"/>
  <c r="BJ93" i="57"/>
  <c r="BK41" i="57"/>
  <c r="BK69" i="57"/>
  <c r="BK38" i="57"/>
  <c r="BK39" i="57"/>
  <c r="BK13" i="57"/>
  <c r="BK52" i="57"/>
  <c r="BK64" i="57"/>
  <c r="BK65" i="57"/>
  <c r="BK71" i="57"/>
  <c r="BK68" i="57"/>
  <c r="BK40" i="57"/>
  <c r="BK54" i="57"/>
  <c r="BK67" i="57"/>
  <c r="BJ116" i="32"/>
  <c r="BJ113" i="32"/>
  <c r="BJ115" i="32"/>
  <c r="BJ97" i="57"/>
  <c r="BJ96" i="57"/>
  <c r="BJ104" i="57"/>
  <c r="BJ109" i="57"/>
  <c r="BK73" i="57"/>
  <c r="BK48" i="57"/>
  <c r="BK42" i="57"/>
  <c r="BK44" i="57"/>
  <c r="BK46" i="57"/>
  <c r="BJ98" i="32"/>
  <c r="BJ109" i="32"/>
  <c r="BJ114" i="32"/>
  <c r="BK50" i="57"/>
  <c r="BK53" i="57"/>
  <c r="BK55" i="57"/>
  <c r="BJ102" i="32"/>
  <c r="BJ101" i="32"/>
  <c r="BK80" i="57"/>
  <c r="BK75" i="57"/>
  <c r="BK110" i="57"/>
  <c r="BK108" i="57"/>
  <c r="BK82" i="57"/>
  <c r="BK113" i="32"/>
  <c r="BK115" i="32"/>
  <c r="BL67" i="57"/>
  <c r="BL41" i="57"/>
  <c r="BL40" i="57"/>
  <c r="BL58" i="57"/>
  <c r="BL59" i="57"/>
  <c r="BL69" i="57"/>
  <c r="BL61" i="57"/>
  <c r="BL71" i="57"/>
  <c r="BL52" i="57"/>
  <c r="BL62" i="57"/>
  <c r="BL35" i="57"/>
  <c r="BL64" i="57"/>
  <c r="BL70" i="57"/>
  <c r="BL60" i="57"/>
  <c r="BL38" i="57"/>
  <c r="BL39" i="57"/>
  <c r="BL13" i="57"/>
  <c r="BL63" i="57"/>
  <c r="BL65" i="57"/>
  <c r="BL68" i="57"/>
  <c r="BL54" i="57"/>
  <c r="BL42" i="57"/>
  <c r="BL44" i="57"/>
  <c r="BL48" i="57"/>
  <c r="BL73" i="57"/>
  <c r="BL46" i="57"/>
  <c r="BL50" i="57"/>
  <c r="BL53" i="57"/>
  <c r="BL55" i="57"/>
  <c r="BL80" i="57"/>
  <c r="BL75" i="57"/>
  <c r="BL110" i="57"/>
  <c r="BL82" i="57"/>
  <c r="BL108" i="57"/>
  <c r="BL113" i="32"/>
  <c r="BL115" i="32"/>
  <c r="BM67" i="57"/>
  <c r="BM38" i="57"/>
  <c r="BM39" i="57"/>
  <c r="BM13" i="57"/>
  <c r="BM69" i="57"/>
  <c r="BM68" i="57"/>
  <c r="BM52" i="57"/>
  <c r="BM60" i="57"/>
  <c r="BM63" i="57"/>
  <c r="BM61" i="57"/>
  <c r="BM65" i="57"/>
  <c r="BM58" i="57"/>
  <c r="BM59" i="57"/>
  <c r="BM71" i="57"/>
  <c r="BM35" i="57"/>
  <c r="BM40" i="57"/>
  <c r="BM41" i="57"/>
  <c r="BM70" i="57"/>
  <c r="BM54" i="57"/>
  <c r="BM64" i="57"/>
  <c r="BM62" i="57"/>
  <c r="BM48" i="57"/>
  <c r="BM42" i="57"/>
  <c r="BM44" i="57"/>
  <c r="BM73" i="57"/>
  <c r="BM46" i="57"/>
  <c r="BM50" i="57"/>
  <c r="BM53" i="57"/>
  <c r="BM55" i="57"/>
  <c r="BM80" i="57"/>
  <c r="BM75" i="57"/>
  <c r="BM113" i="32"/>
  <c r="BM108" i="57"/>
  <c r="BM110" i="57"/>
  <c r="BM82" i="57"/>
  <c r="BM115" i="32"/>
  <c r="BN71" i="57"/>
  <c r="BN69" i="57"/>
  <c r="BN41" i="57"/>
  <c r="BN61" i="57"/>
  <c r="BN58" i="57"/>
  <c r="BN59" i="57"/>
  <c r="BN64" i="57"/>
  <c r="BN62" i="57"/>
  <c r="BN35" i="57"/>
  <c r="BN52" i="57"/>
  <c r="BN65" i="57"/>
  <c r="BN63" i="57"/>
  <c r="BN67" i="57"/>
  <c r="BN68" i="57"/>
  <c r="BN54" i="57"/>
  <c r="BN40" i="57"/>
  <c r="BN38" i="57"/>
  <c r="BN39" i="57"/>
  <c r="BN13" i="57"/>
  <c r="BN60" i="57"/>
  <c r="BN70" i="57"/>
  <c r="BN73" i="57"/>
  <c r="BN48" i="57"/>
  <c r="BN42" i="57"/>
  <c r="BN44" i="57"/>
  <c r="BN46" i="57"/>
  <c r="BN50" i="57"/>
  <c r="BN53" i="57"/>
  <c r="BN55" i="57"/>
  <c r="BN75" i="57"/>
  <c r="BN80" i="57"/>
  <c r="BN115" i="32"/>
  <c r="BN108" i="57"/>
  <c r="BN110" i="57"/>
  <c r="BN82" i="57"/>
  <c r="BN113" i="32"/>
  <c r="BO70" i="57"/>
  <c r="BO35" i="57"/>
  <c r="BO65" i="57"/>
  <c r="BO71" i="57"/>
  <c r="BO61" i="57"/>
  <c r="BO63" i="57"/>
  <c r="BO68" i="57"/>
  <c r="BO58" i="57"/>
  <c r="BO59" i="57"/>
  <c r="BO60" i="57"/>
  <c r="BO52" i="57"/>
  <c r="BO64" i="57"/>
  <c r="BO62" i="57"/>
  <c r="BO67" i="57"/>
  <c r="BO41" i="57"/>
  <c r="BO54" i="57"/>
  <c r="BO40" i="57"/>
  <c r="BO69" i="57"/>
  <c r="BO38" i="57"/>
  <c r="BO39" i="57"/>
  <c r="BO13" i="57"/>
  <c r="BO73" i="57"/>
  <c r="BO42" i="57"/>
  <c r="BO44" i="57"/>
  <c r="BO48" i="57"/>
  <c r="BO46" i="57"/>
  <c r="BO50" i="57"/>
  <c r="BO53" i="57"/>
  <c r="BO55" i="57"/>
  <c r="BO80" i="57"/>
  <c r="BO75" i="57"/>
  <c r="BO113" i="32"/>
  <c r="BO115" i="32"/>
  <c r="BO82" i="57"/>
  <c r="BO110" i="57"/>
  <c r="BO108" i="57"/>
  <c r="BP60" i="57"/>
  <c r="BP71" i="57"/>
  <c r="BP58" i="57"/>
  <c r="BP59" i="57"/>
  <c r="BP41" i="57"/>
  <c r="BP54" i="57"/>
  <c r="BP64" i="57"/>
  <c r="BP38" i="57"/>
  <c r="BP39" i="57"/>
  <c r="BP13" i="57"/>
  <c r="BP67" i="57"/>
  <c r="BP62" i="57"/>
  <c r="BP69" i="57"/>
  <c r="BP65" i="57"/>
  <c r="BP70" i="57"/>
  <c r="BP61" i="57"/>
  <c r="BP52" i="57"/>
  <c r="BP63" i="57"/>
  <c r="BP40" i="57"/>
  <c r="BP68" i="57"/>
  <c r="BP35" i="57"/>
  <c r="BP48" i="57"/>
  <c r="BP42" i="57"/>
  <c r="BP44" i="57"/>
  <c r="BP73" i="57"/>
  <c r="BP46" i="57"/>
  <c r="BP50" i="57"/>
  <c r="BP53" i="57"/>
  <c r="BP55" i="57"/>
  <c r="BP75" i="57"/>
  <c r="BP80" i="57"/>
  <c r="BP115" i="32"/>
  <c r="BP113" i="32"/>
  <c r="BP110" i="57"/>
  <c r="BP108" i="57"/>
  <c r="BP82" i="57"/>
  <c r="BQ68" i="57"/>
  <c r="BQ40" i="57"/>
  <c r="BQ58" i="57"/>
  <c r="BQ59" i="57"/>
  <c r="BQ35" i="57"/>
  <c r="BQ65" i="57"/>
  <c r="BQ63" i="57"/>
  <c r="BQ60" i="57"/>
  <c r="BQ67" i="57"/>
  <c r="BQ61" i="57"/>
  <c r="BQ52" i="57"/>
  <c r="BQ62" i="57"/>
  <c r="BQ38" i="57"/>
  <c r="BQ39" i="57"/>
  <c r="BQ13" i="57"/>
  <c r="BQ69" i="57"/>
  <c r="BQ41" i="57"/>
  <c r="BQ64" i="57"/>
  <c r="BQ71" i="57"/>
  <c r="BQ54" i="57"/>
  <c r="BQ70" i="57"/>
  <c r="BQ73" i="57"/>
  <c r="BQ42" i="57"/>
  <c r="BQ44" i="57"/>
  <c r="BQ48" i="57"/>
  <c r="BQ46" i="57"/>
  <c r="BQ50" i="57"/>
  <c r="BQ53" i="57"/>
  <c r="BQ55" i="57"/>
  <c r="BQ113" i="32"/>
  <c r="BQ75" i="57"/>
  <c r="BQ80" i="57"/>
  <c r="BQ115" i="32"/>
  <c r="BQ82" i="57"/>
  <c r="BQ108" i="57"/>
  <c r="BQ110" i="57"/>
  <c r="BR62" i="57"/>
  <c r="BR64" i="57"/>
  <c r="BR54" i="57"/>
  <c r="BR52" i="57"/>
  <c r="BR35" i="57"/>
  <c r="BR69" i="57"/>
  <c r="BR41" i="57"/>
  <c r="BR67" i="57"/>
  <c r="BR58" i="57"/>
  <c r="BR59" i="57"/>
  <c r="BR65" i="57"/>
  <c r="BR38" i="57"/>
  <c r="BR39" i="57"/>
  <c r="BR13" i="57"/>
  <c r="BR70" i="57"/>
  <c r="BR60" i="57"/>
  <c r="BR40" i="57"/>
  <c r="BR63" i="57"/>
  <c r="BR61" i="57"/>
  <c r="BR68" i="57"/>
  <c r="BR71" i="57"/>
  <c r="BR73" i="57"/>
  <c r="BR42" i="57"/>
  <c r="BR44" i="57"/>
  <c r="BR48" i="57"/>
  <c r="BR46" i="57"/>
  <c r="BR50" i="57"/>
  <c r="BR53" i="57"/>
  <c r="BR55" i="57"/>
  <c r="BR113" i="32"/>
  <c r="BR75" i="57"/>
  <c r="BR80" i="57"/>
  <c r="BR115" i="32"/>
  <c r="BR82" i="57"/>
  <c r="BS54" i="57"/>
  <c r="BR108" i="57"/>
  <c r="BR110" i="57"/>
  <c r="BS71" i="57"/>
  <c r="BS52" i="57"/>
  <c r="BS60" i="57"/>
  <c r="BS38" i="57"/>
  <c r="BS39" i="57"/>
  <c r="BS13" i="57"/>
  <c r="BS63" i="57"/>
  <c r="BS70" i="57"/>
  <c r="BS61" i="57"/>
  <c r="BS58" i="57"/>
  <c r="BS59" i="57"/>
  <c r="BS62" i="57"/>
  <c r="BS41" i="57"/>
  <c r="BS35" i="57"/>
  <c r="BS68" i="57"/>
  <c r="BS67" i="57"/>
  <c r="BS40" i="57"/>
  <c r="BS65" i="57"/>
  <c r="BS69" i="57"/>
  <c r="BS64" i="57"/>
  <c r="BS48" i="57"/>
  <c r="BS42" i="57"/>
  <c r="BS44" i="57"/>
  <c r="BS46" i="57"/>
  <c r="BS50" i="57"/>
  <c r="BS53" i="57"/>
  <c r="BS55" i="57"/>
  <c r="BS73" i="57"/>
  <c r="BS75" i="57"/>
  <c r="BS80" i="57"/>
  <c r="BS113" i="32"/>
  <c r="BS115" i="32"/>
  <c r="BS108" i="57"/>
  <c r="BS110" i="57"/>
  <c r="BS82" i="57"/>
  <c r="BT62" i="57"/>
  <c r="BT67" i="57"/>
  <c r="BT70" i="57"/>
  <c r="BT71" i="57"/>
  <c r="BT63" i="57"/>
  <c r="BT68" i="57"/>
  <c r="BT35" i="57"/>
  <c r="BT38" i="57"/>
  <c r="BT39" i="57"/>
  <c r="BT13" i="57"/>
  <c r="BT61" i="57"/>
  <c r="BT58" i="57"/>
  <c r="BT59" i="57"/>
  <c r="BT65" i="57"/>
  <c r="BT69" i="57"/>
  <c r="BT41" i="57"/>
  <c r="BT54" i="57"/>
  <c r="BT52" i="57"/>
  <c r="BT40" i="57"/>
  <c r="BT60" i="57"/>
  <c r="BT64" i="57"/>
  <c r="BT73" i="57"/>
  <c r="BT48" i="57"/>
  <c r="BT42" i="57"/>
  <c r="BT44" i="57"/>
  <c r="BT46" i="57"/>
  <c r="BT50" i="57"/>
  <c r="BT53" i="57"/>
  <c r="BT55" i="57"/>
  <c r="BT113" i="32"/>
  <c r="BT115" i="32"/>
  <c r="BT75" i="57"/>
  <c r="BT80" i="57"/>
  <c r="BT82" i="57"/>
  <c r="BT110" i="57"/>
  <c r="BT108" i="57"/>
  <c r="BU70" i="57"/>
  <c r="BU58" i="57"/>
  <c r="BU59" i="57"/>
  <c r="BU67" i="57"/>
  <c r="BU41" i="57"/>
  <c r="BU60" i="57"/>
  <c r="BU65" i="57"/>
  <c r="BU68" i="57"/>
  <c r="BU54" i="57"/>
  <c r="BU63" i="57"/>
  <c r="BU38" i="57"/>
  <c r="BU39" i="57"/>
  <c r="BU13" i="57"/>
  <c r="BU64" i="57"/>
  <c r="BU62" i="57"/>
  <c r="BU71" i="57"/>
  <c r="BU40" i="57"/>
  <c r="BU52" i="57"/>
  <c r="BU35" i="57"/>
  <c r="BU61" i="57"/>
  <c r="BU69" i="57"/>
  <c r="BU115" i="32"/>
  <c r="BU42" i="57"/>
  <c r="BU44" i="57"/>
  <c r="BU48" i="57"/>
  <c r="BU73" i="57"/>
  <c r="BU113" i="32"/>
  <c r="BU46" i="57"/>
  <c r="BU50" i="57"/>
  <c r="BU53" i="57"/>
  <c r="BU55" i="57"/>
  <c r="BU75" i="57"/>
  <c r="BU80" i="57"/>
  <c r="BU82" i="57"/>
  <c r="BV67" i="57"/>
  <c r="BU108" i="57"/>
  <c r="BU110" i="57"/>
  <c r="BV35" i="57"/>
  <c r="BV48" i="57"/>
  <c r="BV52" i="57"/>
  <c r="BV63" i="57"/>
  <c r="BV71" i="57"/>
  <c r="BV65" i="57"/>
  <c r="BV58" i="57"/>
  <c r="BV59" i="57"/>
  <c r="BV60" i="57"/>
  <c r="BV69" i="57"/>
  <c r="BV40" i="57"/>
  <c r="BV38" i="57"/>
  <c r="BV39" i="57"/>
  <c r="BV13" i="57"/>
  <c r="BV54" i="57"/>
  <c r="BV70" i="57"/>
  <c r="BV61" i="57"/>
  <c r="BV64" i="57"/>
  <c r="BV62" i="57"/>
  <c r="BV68" i="57"/>
  <c r="BV41" i="57"/>
  <c r="BV42" i="57"/>
  <c r="BV44" i="57"/>
  <c r="BV46" i="57"/>
  <c r="BV50" i="57"/>
  <c r="BV53" i="57"/>
  <c r="BV55" i="57"/>
  <c r="BV73" i="57"/>
  <c r="BV113" i="32"/>
  <c r="BV115" i="32"/>
  <c r="BV80" i="57"/>
  <c r="BV75" i="57"/>
  <c r="BV82" i="57"/>
  <c r="BV108" i="57"/>
  <c r="BV110" i="57"/>
  <c r="BW61" i="57"/>
  <c r="BW69" i="57"/>
  <c r="BW40" i="57"/>
  <c r="BW64" i="57"/>
  <c r="BW58" i="57"/>
  <c r="BW59" i="57"/>
  <c r="BW68" i="57"/>
  <c r="BW67" i="57"/>
  <c r="BW54" i="57"/>
  <c r="BW71" i="57"/>
  <c r="BW60" i="57"/>
  <c r="BW35" i="57"/>
  <c r="BW65" i="57"/>
  <c r="BW70" i="57"/>
  <c r="BW38" i="57"/>
  <c r="BW39" i="57"/>
  <c r="BW13" i="57"/>
  <c r="BW52" i="57"/>
  <c r="BW62" i="57"/>
  <c r="BW41" i="57"/>
  <c r="BW63" i="57"/>
  <c r="BW113" i="32"/>
  <c r="BW115" i="32"/>
  <c r="BW48" i="57"/>
  <c r="BW42" i="57"/>
  <c r="BW44" i="57"/>
  <c r="BW46" i="57"/>
  <c r="BW73" i="57"/>
  <c r="BW50" i="57"/>
  <c r="BW53" i="57"/>
  <c r="BW55" i="57"/>
  <c r="BW75" i="57"/>
  <c r="BW80" i="57"/>
  <c r="BW82" i="57"/>
  <c r="BW108" i="57"/>
  <c r="BW110" i="57"/>
  <c r="BX67" i="57"/>
  <c r="BX38" i="57"/>
  <c r="BX39" i="57"/>
  <c r="BX13" i="57"/>
  <c r="BX71" i="57"/>
  <c r="BX40" i="57"/>
  <c r="BX68" i="57"/>
  <c r="BX65" i="57"/>
  <c r="BX60" i="57"/>
  <c r="BX69" i="57"/>
  <c r="BX35" i="57"/>
  <c r="BX54" i="57"/>
  <c r="BX52" i="57"/>
  <c r="BX70" i="57"/>
  <c r="BX41" i="57"/>
  <c r="BX61" i="57"/>
  <c r="BX63" i="57"/>
  <c r="BX62" i="57"/>
  <c r="BX58" i="57"/>
  <c r="BX59" i="57"/>
  <c r="BX64" i="57"/>
  <c r="BX113" i="32"/>
  <c r="BX115" i="32"/>
  <c r="BX73" i="57"/>
  <c r="BX42" i="57"/>
  <c r="BX44" i="57"/>
  <c r="BX46" i="57"/>
  <c r="BX48" i="57"/>
  <c r="BX50" i="57"/>
  <c r="BX53" i="57"/>
  <c r="BX55" i="57"/>
  <c r="BX80" i="57"/>
  <c r="BX75" i="57"/>
  <c r="BX110" i="57"/>
  <c r="BX108" i="57"/>
  <c r="BX82" i="57"/>
  <c r="BY63" i="57"/>
  <c r="BY40" i="57"/>
  <c r="BY71" i="57"/>
  <c r="BY41" i="57"/>
  <c r="BY35" i="57"/>
  <c r="BY48" i="57"/>
  <c r="BY54" i="57"/>
  <c r="BY38" i="57"/>
  <c r="BY39" i="57"/>
  <c r="BY13" i="57"/>
  <c r="BY52" i="57"/>
  <c r="BY58" i="57"/>
  <c r="BY59" i="57"/>
  <c r="BY60" i="57"/>
  <c r="BY61" i="57"/>
  <c r="BY68" i="57"/>
  <c r="BY69" i="57"/>
  <c r="BY70" i="57"/>
  <c r="BY65" i="57"/>
  <c r="BY64" i="57"/>
  <c r="BY67" i="57"/>
  <c r="BY62" i="57"/>
  <c r="BY113" i="32"/>
  <c r="BY115" i="32"/>
  <c r="BY42" i="57"/>
  <c r="BY44" i="57"/>
  <c r="BY46" i="57"/>
  <c r="BY50" i="57"/>
  <c r="BY53" i="57"/>
  <c r="BY55" i="57"/>
  <c r="BY73" i="57"/>
  <c r="BY75" i="57"/>
  <c r="BY80" i="57"/>
  <c r="BY82" i="57"/>
  <c r="BZ64" i="57"/>
  <c r="BY108" i="57"/>
  <c r="BY110" i="57"/>
  <c r="BZ67" i="57"/>
  <c r="BZ41" i="57"/>
  <c r="BZ69" i="57"/>
  <c r="BZ68" i="57"/>
  <c r="BZ54" i="57"/>
  <c r="BZ60" i="57"/>
  <c r="BZ63" i="57"/>
  <c r="BZ40" i="57"/>
  <c r="BZ61" i="57"/>
  <c r="BZ58" i="57"/>
  <c r="BZ59" i="57"/>
  <c r="BZ65" i="57"/>
  <c r="BZ38" i="57"/>
  <c r="BZ39" i="57"/>
  <c r="BZ13" i="57"/>
  <c r="BZ62" i="57"/>
  <c r="BZ70" i="57"/>
  <c r="BZ35" i="57"/>
  <c r="BZ71" i="57"/>
  <c r="BZ52" i="57"/>
  <c r="BZ42" i="57"/>
  <c r="BZ44" i="57"/>
  <c r="BZ46" i="57"/>
  <c r="BZ115" i="32"/>
  <c r="BZ113" i="32"/>
  <c r="BZ73" i="57"/>
  <c r="BZ48" i="57"/>
  <c r="BZ50" i="57"/>
  <c r="BZ53" i="57"/>
  <c r="BZ55" i="57"/>
  <c r="BZ80" i="57"/>
  <c r="BZ75" i="57"/>
  <c r="BZ108" i="57"/>
  <c r="CA113" i="32"/>
  <c r="BZ82" i="57"/>
  <c r="CA67" i="57"/>
  <c r="BZ110" i="57"/>
  <c r="CA64" i="57"/>
  <c r="CA70" i="57"/>
  <c r="CA58" i="57"/>
  <c r="CA59" i="57"/>
  <c r="CA68" i="57"/>
  <c r="CA52" i="57"/>
  <c r="CA65" i="57"/>
  <c r="CA54" i="57"/>
  <c r="CA35" i="57"/>
  <c r="CA48" i="57"/>
  <c r="CA41" i="57"/>
  <c r="CA71" i="57"/>
  <c r="CA115" i="32"/>
  <c r="CA61" i="57"/>
  <c r="CA60" i="57"/>
  <c r="CA40" i="57"/>
  <c r="CA38" i="57"/>
  <c r="CA39" i="57"/>
  <c r="CA13" i="57"/>
  <c r="CA69" i="57"/>
  <c r="CA63" i="57"/>
  <c r="CA62" i="57"/>
  <c r="CA42" i="57"/>
  <c r="CA44" i="57"/>
  <c r="CA46" i="57"/>
  <c r="CA50" i="57"/>
  <c r="CA53" i="57"/>
  <c r="CA55" i="57"/>
  <c r="CA73" i="57"/>
  <c r="CA80" i="57"/>
  <c r="CA75" i="57"/>
  <c r="CA82" i="57"/>
  <c r="CA110" i="57"/>
  <c r="CA108" i="57"/>
  <c r="CB69" i="57"/>
  <c r="CB40" i="57"/>
  <c r="CB71" i="57"/>
  <c r="CB60" i="57"/>
  <c r="CB65" i="57"/>
  <c r="CB67" i="57"/>
  <c r="CB64" i="57"/>
  <c r="CB61" i="57"/>
  <c r="CB62" i="57"/>
  <c r="CB58" i="57"/>
  <c r="CB59" i="57"/>
  <c r="CB54" i="57"/>
  <c r="CB41" i="57"/>
  <c r="CB35" i="57"/>
  <c r="CB52" i="57"/>
  <c r="CB68" i="57"/>
  <c r="CB38" i="57"/>
  <c r="CB39" i="57"/>
  <c r="CB13" i="57"/>
  <c r="CB70" i="57"/>
  <c r="CB63" i="57"/>
  <c r="CB73" i="57"/>
  <c r="CB48" i="57"/>
  <c r="CB42" i="57"/>
  <c r="CB44" i="57"/>
  <c r="CB46" i="57"/>
  <c r="CB50" i="57"/>
  <c r="CB53" i="57"/>
  <c r="CB55" i="57"/>
  <c r="CB80" i="57"/>
  <c r="CB115" i="32"/>
  <c r="CB113" i="32"/>
  <c r="CB75" i="57"/>
  <c r="CB82" i="57"/>
  <c r="CB110" i="57"/>
  <c r="CB108" i="57"/>
  <c r="CC61" i="57"/>
  <c r="CC41" i="57"/>
  <c r="CC68" i="57"/>
  <c r="CC62" i="57"/>
  <c r="CC40" i="57"/>
  <c r="CC65" i="57"/>
  <c r="CC52" i="57"/>
  <c r="CC67" i="57"/>
  <c r="CC54" i="57"/>
  <c r="CC71" i="57"/>
  <c r="CC60" i="57"/>
  <c r="CC38" i="57"/>
  <c r="CC39" i="57"/>
  <c r="CC13" i="57"/>
  <c r="CC63" i="57"/>
  <c r="CC70" i="57"/>
  <c r="CC64" i="57"/>
  <c r="CC58" i="57"/>
  <c r="CC59" i="57"/>
  <c r="CC69" i="57"/>
  <c r="CC35" i="57"/>
  <c r="CC48" i="57"/>
  <c r="CC42" i="57"/>
  <c r="CC44" i="57"/>
  <c r="CC73" i="57"/>
  <c r="CC46" i="57"/>
  <c r="CC50" i="57"/>
  <c r="CC53" i="57"/>
  <c r="CC55" i="57"/>
  <c r="CC75" i="57"/>
  <c r="CC80" i="57"/>
  <c r="CC82" i="57"/>
  <c r="CD68" i="57"/>
  <c r="CC108" i="57"/>
  <c r="CC110" i="57"/>
  <c r="CC115" i="32"/>
  <c r="CC113" i="32"/>
  <c r="CD64" i="57"/>
  <c r="CD38" i="57"/>
  <c r="CD39" i="57"/>
  <c r="CD13" i="57"/>
  <c r="CD61" i="57"/>
  <c r="CD54" i="57"/>
  <c r="CD52" i="57"/>
  <c r="CD58" i="57"/>
  <c r="CD59" i="57"/>
  <c r="CD63" i="57"/>
  <c r="CD71" i="57"/>
  <c r="CD70" i="57"/>
  <c r="CD60" i="57"/>
  <c r="CD62" i="57"/>
  <c r="CD40" i="57"/>
  <c r="CD41" i="57"/>
  <c r="CD35" i="57"/>
  <c r="CD48" i="57"/>
  <c r="CD67" i="57"/>
  <c r="CD69" i="57"/>
  <c r="CD65" i="57"/>
  <c r="CD42" i="57"/>
  <c r="CD44" i="57"/>
  <c r="CD46" i="57"/>
  <c r="CD50" i="57"/>
  <c r="CD53" i="57"/>
  <c r="CD55" i="57"/>
  <c r="CD73" i="57"/>
  <c r="CD75" i="57"/>
  <c r="CD108" i="57"/>
  <c r="CD80" i="57"/>
  <c r="CD110" i="57"/>
  <c r="CD82" i="57"/>
  <c r="CE41" i="57"/>
  <c r="CE35" i="57"/>
  <c r="CE68" i="57"/>
  <c r="CE70" i="57"/>
  <c r="CE71" i="57"/>
  <c r="CE67" i="57"/>
  <c r="CE64" i="57"/>
  <c r="CE62" i="57"/>
  <c r="CE40" i="57"/>
  <c r="CE58" i="57"/>
  <c r="CE59" i="57"/>
  <c r="CE65" i="57"/>
  <c r="CE54" i="57"/>
  <c r="CE63" i="57"/>
  <c r="CE52" i="57"/>
  <c r="CE61" i="57"/>
  <c r="CE38" i="57"/>
  <c r="CE39" i="57"/>
  <c r="CE13" i="57"/>
  <c r="CE60" i="57"/>
  <c r="CE69" i="57"/>
  <c r="CE48" i="57"/>
  <c r="CE42" i="57"/>
  <c r="CE44" i="57"/>
  <c r="CE46" i="57"/>
  <c r="CE50" i="57"/>
  <c r="CE53" i="57"/>
  <c r="CE55" i="57"/>
  <c r="CE73" i="57"/>
  <c r="CD113" i="32"/>
  <c r="CD115" i="32"/>
  <c r="CE75" i="57"/>
  <c r="CE80" i="57"/>
  <c r="CE110" i="57"/>
  <c r="CE82" i="57"/>
  <c r="CE108" i="57"/>
  <c r="CF67" i="57"/>
  <c r="CF61" i="57"/>
  <c r="CF69" i="57"/>
  <c r="CF62" i="57"/>
  <c r="CF63" i="57"/>
  <c r="CF41" i="57"/>
  <c r="CF71" i="57"/>
  <c r="CF60" i="57"/>
  <c r="CF54" i="57"/>
  <c r="CF70" i="57"/>
  <c r="CF68" i="57"/>
  <c r="CF58" i="57"/>
  <c r="CF59" i="57"/>
  <c r="CF52" i="57"/>
  <c r="CF64" i="57"/>
  <c r="CF40" i="57"/>
  <c r="CF35" i="57"/>
  <c r="CF38" i="57"/>
  <c r="CF39" i="57"/>
  <c r="CF13" i="57"/>
  <c r="CF65" i="57"/>
  <c r="CF48" i="57"/>
  <c r="CF42" i="57"/>
  <c r="CF44" i="57"/>
  <c r="CF73" i="57"/>
  <c r="CF46" i="57"/>
  <c r="CF50" i="57"/>
  <c r="CF53" i="57"/>
  <c r="CF55" i="57"/>
  <c r="CF75" i="57"/>
  <c r="CF80" i="57"/>
  <c r="CE115" i="32"/>
  <c r="CE113" i="32"/>
  <c r="CF82" i="57"/>
  <c r="CG70" i="57"/>
  <c r="CF108" i="57"/>
  <c r="CF110" i="57"/>
  <c r="CG67" i="57"/>
  <c r="CG62" i="57"/>
  <c r="CG61" i="57"/>
  <c r="CG52" i="57"/>
  <c r="CG54" i="57"/>
  <c r="CG41" i="57"/>
  <c r="CG40" i="57"/>
  <c r="CG68" i="57"/>
  <c r="CG65" i="57"/>
  <c r="CG35" i="57"/>
  <c r="CG48" i="57"/>
  <c r="CG69" i="57"/>
  <c r="CG38" i="57"/>
  <c r="CG39" i="57"/>
  <c r="CG13" i="57"/>
  <c r="CG60" i="57"/>
  <c r="CG71" i="57"/>
  <c r="CG63" i="57"/>
  <c r="CG58" i="57"/>
  <c r="CG59" i="57"/>
  <c r="CG64" i="57"/>
  <c r="CG42" i="57"/>
  <c r="CG44" i="57"/>
  <c r="CG46" i="57"/>
  <c r="CG50" i="57"/>
  <c r="CG53" i="57"/>
  <c r="CG55" i="57"/>
  <c r="CG73" i="57"/>
  <c r="CG80" i="57"/>
  <c r="CG75" i="57"/>
  <c r="CG82" i="57"/>
  <c r="CG110" i="57"/>
  <c r="CG108" i="57"/>
  <c r="CH68" i="57"/>
  <c r="CH70" i="57"/>
  <c r="CH52" i="57"/>
  <c r="CH64" i="57"/>
  <c r="CH69" i="57"/>
  <c r="CH62" i="57"/>
  <c r="CH63" i="57"/>
  <c r="CH38" i="57"/>
  <c r="CH39" i="57"/>
  <c r="CH13" i="57"/>
  <c r="CH41" i="57"/>
  <c r="CH67" i="57"/>
  <c r="CH60" i="57"/>
  <c r="CH61" i="57"/>
  <c r="CH54" i="57"/>
  <c r="CH35" i="57"/>
  <c r="CH58" i="57"/>
  <c r="CH59" i="57"/>
  <c r="CH71" i="57"/>
  <c r="CH65" i="57"/>
  <c r="CH40" i="57"/>
  <c r="CF113" i="32"/>
  <c r="CF115" i="32"/>
  <c r="CH42" i="57"/>
  <c r="CH44" i="57"/>
  <c r="CH48" i="57"/>
  <c r="CH73" i="57"/>
  <c r="CH46" i="57"/>
  <c r="CH50" i="57"/>
  <c r="CH53" i="57"/>
  <c r="CH55" i="57"/>
  <c r="CH75" i="57"/>
  <c r="CH80" i="57"/>
  <c r="CH82" i="57"/>
  <c r="CH108" i="57"/>
  <c r="CH110" i="57"/>
  <c r="CI70" i="57"/>
  <c r="CI63" i="57"/>
  <c r="CI64" i="57"/>
  <c r="CI54" i="57"/>
  <c r="CI35" i="57"/>
  <c r="CI68" i="57"/>
  <c r="CI61" i="57"/>
  <c r="CI62" i="57"/>
  <c r="CI52" i="57"/>
  <c r="CI40" i="57"/>
  <c r="CI69" i="57"/>
  <c r="CI71" i="57"/>
  <c r="CI60" i="57"/>
  <c r="CI38" i="57"/>
  <c r="CI39" i="57"/>
  <c r="CI13" i="57"/>
  <c r="CI65" i="57"/>
  <c r="CI67" i="57"/>
  <c r="CI58" i="57"/>
  <c r="CI59" i="57"/>
  <c r="CI41" i="57"/>
  <c r="CI73" i="57"/>
  <c r="CI42" i="57"/>
  <c r="CI44" i="57"/>
  <c r="CI48" i="57"/>
  <c r="CG115" i="32"/>
  <c r="CG113" i="32"/>
  <c r="CI46" i="57"/>
  <c r="CI50" i="57"/>
  <c r="CI53" i="57"/>
  <c r="CI55" i="57"/>
  <c r="CI75" i="57"/>
  <c r="CI80" i="57"/>
  <c r="CI82" i="57"/>
  <c r="CJ67" i="57"/>
  <c r="CI108" i="57"/>
  <c r="CI110" i="57"/>
  <c r="CJ62" i="57"/>
  <c r="CJ58" i="57"/>
  <c r="CJ59" i="57"/>
  <c r="CJ38" i="57"/>
  <c r="CJ39" i="57"/>
  <c r="CJ13" i="57"/>
  <c r="CJ65" i="57"/>
  <c r="CJ54" i="57"/>
  <c r="CJ71" i="57"/>
  <c r="CJ70" i="57"/>
  <c r="CJ60" i="57"/>
  <c r="CJ41" i="57"/>
  <c r="CJ63" i="57"/>
  <c r="CJ69" i="57"/>
  <c r="CJ40" i="57"/>
  <c r="CJ64" i="57"/>
  <c r="CJ52" i="57"/>
  <c r="CJ68" i="57"/>
  <c r="CJ35" i="57"/>
  <c r="CJ61" i="57"/>
  <c r="CJ42" i="57"/>
  <c r="CJ44" i="57"/>
  <c r="CJ46" i="57"/>
  <c r="CJ48" i="57"/>
  <c r="CJ73" i="57"/>
  <c r="CJ50" i="57"/>
  <c r="CJ53" i="57"/>
  <c r="CJ55" i="57"/>
  <c r="CJ80" i="57"/>
  <c r="CH115" i="32"/>
  <c r="CH113" i="32"/>
  <c r="CJ75" i="57"/>
  <c r="CJ82" i="57"/>
  <c r="CJ110" i="57"/>
  <c r="CJ108" i="57"/>
  <c r="CK70" i="57"/>
  <c r="CK65" i="57"/>
  <c r="CK64" i="57"/>
  <c r="CK52" i="57"/>
  <c r="CK38" i="57"/>
  <c r="CK39" i="57"/>
  <c r="CK13" i="57"/>
  <c r="CK67" i="57"/>
  <c r="CK69" i="57"/>
  <c r="CK54" i="57"/>
  <c r="CK35" i="57"/>
  <c r="CK58" i="57"/>
  <c r="CK59" i="57"/>
  <c r="CK71" i="57"/>
  <c r="CK61" i="57"/>
  <c r="CK60" i="57"/>
  <c r="CK41" i="57"/>
  <c r="CK68" i="57"/>
  <c r="CK63" i="57"/>
  <c r="CK62" i="57"/>
  <c r="CK40" i="57"/>
  <c r="CK73" i="57"/>
  <c r="CK48" i="57"/>
  <c r="CK42" i="57"/>
  <c r="CK44" i="57"/>
  <c r="CK46" i="57"/>
  <c r="CK50" i="57"/>
  <c r="CK53" i="57"/>
  <c r="CK55" i="57"/>
  <c r="CK75" i="57"/>
  <c r="CK80" i="57"/>
  <c r="CK110" i="57"/>
  <c r="CK108" i="57"/>
  <c r="CK82" i="57"/>
  <c r="CI115" i="32"/>
  <c r="CI113" i="32"/>
  <c r="CL38" i="57"/>
  <c r="CL39" i="57"/>
  <c r="CL13" i="57"/>
  <c r="CL60" i="57"/>
  <c r="CL54" i="57"/>
  <c r="CL68" i="57"/>
  <c r="CL70" i="57"/>
  <c r="CL58" i="57"/>
  <c r="CL59" i="57"/>
  <c r="CL52" i="57"/>
  <c r="CL71" i="57"/>
  <c r="CL64" i="57"/>
  <c r="CL65" i="57"/>
  <c r="CL40" i="57"/>
  <c r="CL35" i="57"/>
  <c r="CL69" i="57"/>
  <c r="CL62" i="57"/>
  <c r="CL63" i="57"/>
  <c r="CL41" i="57"/>
  <c r="CL67" i="57"/>
  <c r="CL61" i="57"/>
  <c r="CL42" i="57"/>
  <c r="CL44" i="57"/>
  <c r="CL48" i="57"/>
  <c r="CL73" i="57"/>
  <c r="CL46" i="57"/>
  <c r="CL50" i="57"/>
  <c r="CL53" i="57"/>
  <c r="CL55" i="57"/>
  <c r="CL75" i="57"/>
  <c r="CL80" i="57"/>
  <c r="CL82" i="57"/>
  <c r="CM69" i="57"/>
  <c r="CL108" i="57"/>
  <c r="CL110" i="57"/>
  <c r="CM52" i="57"/>
  <c r="CM70" i="57"/>
  <c r="CM35" i="57"/>
  <c r="CM65" i="57"/>
  <c r="CM61" i="57"/>
  <c r="CM64" i="57"/>
  <c r="CM58" i="57"/>
  <c r="CM59" i="57"/>
  <c r="CM71" i="57"/>
  <c r="CM40" i="57"/>
  <c r="CM62" i="57"/>
  <c r="CM68" i="57"/>
  <c r="CM54" i="57"/>
  <c r="CM63" i="57"/>
  <c r="CM41" i="57"/>
  <c r="CM67" i="57"/>
  <c r="CM38" i="57"/>
  <c r="CM39" i="57"/>
  <c r="CM13" i="57"/>
  <c r="CM60" i="57"/>
  <c r="CM48" i="57"/>
  <c r="CM42" i="57"/>
  <c r="CM44" i="57"/>
  <c r="CM46" i="57"/>
  <c r="CM50" i="57"/>
  <c r="CM53" i="57"/>
  <c r="CM55" i="57"/>
  <c r="CM73" i="57"/>
  <c r="CJ113" i="32"/>
  <c r="CJ115" i="32"/>
  <c r="CM80" i="57"/>
  <c r="CM75" i="57"/>
  <c r="CM110" i="57"/>
  <c r="CM108" i="57"/>
  <c r="CM82" i="57"/>
  <c r="CN67" i="57"/>
  <c r="CN54" i="57"/>
  <c r="CN71" i="57"/>
  <c r="CN58" i="57"/>
  <c r="CN59" i="57"/>
  <c r="CN70" i="57"/>
  <c r="CN60" i="57"/>
  <c r="CN40" i="57"/>
  <c r="CN41" i="57"/>
  <c r="CN63" i="57"/>
  <c r="CN69" i="57"/>
  <c r="CN65" i="57"/>
  <c r="CN52" i="57"/>
  <c r="CN68" i="57"/>
  <c r="CN35" i="57"/>
  <c r="CN64" i="57"/>
  <c r="CN38" i="57"/>
  <c r="CN39" i="57"/>
  <c r="CN13" i="57"/>
  <c r="CN62" i="57"/>
  <c r="CN61" i="57"/>
  <c r="CN48" i="57"/>
  <c r="CN42" i="57"/>
  <c r="CN44" i="57"/>
  <c r="CN73" i="57"/>
  <c r="CN46" i="57"/>
  <c r="CN50" i="57"/>
  <c r="CN53" i="57"/>
  <c r="CN55" i="57"/>
  <c r="CN75" i="57"/>
  <c r="CN80" i="57"/>
  <c r="CN82" i="57"/>
  <c r="CO70" i="57"/>
  <c r="CN108" i="57"/>
  <c r="CN110" i="57"/>
  <c r="CK115" i="32"/>
  <c r="CK113" i="32"/>
  <c r="CO38" i="57"/>
  <c r="CO39" i="57"/>
  <c r="CO13" i="57"/>
  <c r="CO41" i="57"/>
  <c r="CO68" i="57"/>
  <c r="CO69" i="57"/>
  <c r="CO35" i="57"/>
  <c r="CO48" i="57"/>
  <c r="CO60" i="57"/>
  <c r="CO54" i="57"/>
  <c r="CO71" i="57"/>
  <c r="CO64" i="57"/>
  <c r="CO40" i="57"/>
  <c r="CO61" i="57"/>
  <c r="CO63" i="57"/>
  <c r="CO65" i="57"/>
  <c r="CO58" i="57"/>
  <c r="CO59" i="57"/>
  <c r="CO52" i="57"/>
  <c r="CO67" i="57"/>
  <c r="CO62" i="57"/>
  <c r="CO42" i="57"/>
  <c r="CO44" i="57"/>
  <c r="CO46" i="57"/>
  <c r="CO50" i="57"/>
  <c r="CO53" i="57"/>
  <c r="CO55" i="57"/>
  <c r="CO73" i="57"/>
  <c r="CO80" i="57"/>
  <c r="CO75" i="57"/>
  <c r="CO110" i="57"/>
  <c r="CO108" i="57"/>
  <c r="CO82" i="57"/>
  <c r="CP67" i="57"/>
  <c r="CP54" i="57"/>
  <c r="CP62" i="57"/>
  <c r="CP38" i="57"/>
  <c r="CP39" i="57"/>
  <c r="CP13" i="57"/>
  <c r="CP40" i="57"/>
  <c r="CP64" i="57"/>
  <c r="CP35" i="57"/>
  <c r="CP70" i="57"/>
  <c r="CP52" i="57"/>
  <c r="CP60" i="57"/>
  <c r="CP69" i="57"/>
  <c r="CP63" i="57"/>
  <c r="CP41" i="57"/>
  <c r="CP71" i="57"/>
  <c r="CP61" i="57"/>
  <c r="CP68" i="57"/>
  <c r="CP58" i="57"/>
  <c r="CP59" i="57"/>
  <c r="CP65" i="57"/>
  <c r="CP73" i="57"/>
  <c r="CP42" i="57"/>
  <c r="CP44" i="57"/>
  <c r="CP46" i="57"/>
  <c r="CP48" i="57"/>
  <c r="CP50" i="57"/>
  <c r="CP53" i="57"/>
  <c r="CP55" i="57"/>
  <c r="CP75" i="57"/>
  <c r="CL113" i="32"/>
  <c r="CL115" i="32"/>
  <c r="CP80" i="57"/>
  <c r="CP82" i="57"/>
  <c r="CP110" i="57"/>
  <c r="CP108" i="57"/>
  <c r="CQ65" i="57"/>
  <c r="CQ58" i="57"/>
  <c r="CQ59" i="57"/>
  <c r="CQ70" i="57"/>
  <c r="CQ60" i="57"/>
  <c r="CQ64" i="57"/>
  <c r="CQ61" i="57"/>
  <c r="CQ52" i="57"/>
  <c r="CQ69" i="57"/>
  <c r="CQ54" i="57"/>
  <c r="CQ35" i="57"/>
  <c r="CQ67" i="57"/>
  <c r="CQ41" i="57"/>
  <c r="CQ63" i="57"/>
  <c r="CQ68" i="57"/>
  <c r="CQ62" i="57"/>
  <c r="CQ40" i="57"/>
  <c r="CQ71" i="57"/>
  <c r="CQ38" i="57"/>
  <c r="CQ39" i="57"/>
  <c r="CQ13" i="57"/>
  <c r="CQ48" i="57"/>
  <c r="CQ42" i="57"/>
  <c r="CQ44" i="57"/>
  <c r="CQ46" i="57"/>
  <c r="CQ73" i="57"/>
  <c r="CQ50" i="57"/>
  <c r="CQ53" i="57"/>
  <c r="CQ55" i="57"/>
  <c r="CQ75" i="57"/>
  <c r="CQ80" i="57"/>
  <c r="CQ110" i="57"/>
  <c r="CQ82" i="57"/>
  <c r="CQ108" i="57"/>
  <c r="CR67" i="57"/>
  <c r="CR60" i="57"/>
  <c r="CR61" i="57"/>
  <c r="CR54" i="57"/>
  <c r="CR35" i="57"/>
  <c r="CR70" i="57"/>
  <c r="CR68" i="57"/>
  <c r="CR38" i="57"/>
  <c r="CR39" i="57"/>
  <c r="CR13" i="57"/>
  <c r="CR63" i="57"/>
  <c r="CR71" i="57"/>
  <c r="CR64" i="57"/>
  <c r="CR65" i="57"/>
  <c r="CR40" i="57"/>
  <c r="CR69" i="57"/>
  <c r="CR62" i="57"/>
  <c r="CR58" i="57"/>
  <c r="CR59" i="57"/>
  <c r="CR41" i="57"/>
  <c r="CR52" i="57"/>
  <c r="CR73" i="57"/>
  <c r="CR42" i="57"/>
  <c r="CR44" i="57"/>
  <c r="CR48" i="57"/>
  <c r="CM113" i="32"/>
  <c r="CM115" i="32"/>
  <c r="CR46" i="57"/>
  <c r="CR50" i="57"/>
  <c r="CR53" i="57"/>
  <c r="CR55" i="57"/>
  <c r="CR80" i="57"/>
  <c r="CR75" i="57"/>
  <c r="CR82" i="57"/>
  <c r="CR108" i="57"/>
  <c r="CR110" i="57"/>
  <c r="CS69" i="57"/>
  <c r="CS67" i="57"/>
  <c r="CS40" i="57"/>
  <c r="CS58" i="57"/>
  <c r="CS59" i="57"/>
  <c r="CS62" i="57"/>
  <c r="CS68" i="57"/>
  <c r="CS52" i="57"/>
  <c r="CS64" i="57"/>
  <c r="CS65" i="57"/>
  <c r="CS70" i="57"/>
  <c r="CS35" i="57"/>
  <c r="CS54" i="57"/>
  <c r="CS38" i="57"/>
  <c r="CS39" i="57"/>
  <c r="CS13" i="57"/>
  <c r="CS63" i="57"/>
  <c r="CS41" i="57"/>
  <c r="CS60" i="57"/>
  <c r="CS61" i="57"/>
  <c r="CS71" i="57"/>
  <c r="CS73" i="57"/>
  <c r="CS42" i="57"/>
  <c r="CS44" i="57"/>
  <c r="CS46" i="57"/>
  <c r="CS48" i="57"/>
  <c r="CS50" i="57"/>
  <c r="CS53" i="57"/>
  <c r="CS55" i="57"/>
  <c r="CS75" i="57"/>
  <c r="CS80" i="57"/>
  <c r="CS82" i="57"/>
  <c r="CS110" i="57"/>
  <c r="CS108" i="57"/>
  <c r="CN113" i="32"/>
  <c r="CN115" i="32"/>
  <c r="CT69" i="57"/>
  <c r="CT68" i="57"/>
  <c r="CT62" i="57"/>
  <c r="CT70" i="57"/>
  <c r="CT63" i="57"/>
  <c r="CT58" i="57"/>
  <c r="CT59" i="57"/>
  <c r="CT38" i="57"/>
  <c r="CT39" i="57"/>
  <c r="CT13" i="57"/>
  <c r="CT52" i="57"/>
  <c r="CT41" i="57"/>
  <c r="CT71" i="57"/>
  <c r="CT67" i="57"/>
  <c r="CT64" i="57"/>
  <c r="CT60" i="57"/>
  <c r="CT65" i="57"/>
  <c r="CT61" i="57"/>
  <c r="CT40" i="57"/>
  <c r="CT54" i="57"/>
  <c r="CT35" i="57"/>
  <c r="CT42" i="57"/>
  <c r="CT44" i="57"/>
  <c r="CT46" i="57"/>
  <c r="CT48" i="57"/>
  <c r="CT73" i="57"/>
  <c r="CT50" i="57"/>
  <c r="CT53" i="57"/>
  <c r="CT55" i="57"/>
  <c r="CT75" i="57"/>
  <c r="CT80" i="57"/>
  <c r="CT110" i="57"/>
  <c r="CT108" i="57"/>
  <c r="CT82" i="57"/>
  <c r="CU69" i="57"/>
  <c r="CU64" i="57"/>
  <c r="CU38" i="57"/>
  <c r="CU39" i="57"/>
  <c r="CU13" i="57"/>
  <c r="CU68" i="57"/>
  <c r="CU65" i="57"/>
  <c r="CU61" i="57"/>
  <c r="CU67" i="57"/>
  <c r="CU62" i="57"/>
  <c r="CU58" i="57"/>
  <c r="CU59" i="57"/>
  <c r="CU52" i="57"/>
  <c r="CU41" i="57"/>
  <c r="CU40" i="57"/>
  <c r="CU70" i="57"/>
  <c r="CU63" i="57"/>
  <c r="CU71" i="57"/>
  <c r="CU60" i="57"/>
  <c r="CU54" i="57"/>
  <c r="CU35" i="57"/>
  <c r="CO115" i="32"/>
  <c r="CO113" i="32"/>
  <c r="CU73" i="57"/>
  <c r="CU48" i="57"/>
  <c r="CU42" i="57"/>
  <c r="CU44" i="57"/>
  <c r="CU46" i="57"/>
  <c r="CU50" i="57"/>
  <c r="CU53" i="57"/>
  <c r="CU55" i="57"/>
  <c r="CU80" i="57"/>
  <c r="CU75" i="57"/>
  <c r="CU110" i="57"/>
  <c r="CU82" i="57"/>
  <c r="CV69" i="57"/>
  <c r="CU108" i="57"/>
  <c r="CV35" i="57"/>
  <c r="CV65" i="57"/>
  <c r="CV71" i="57"/>
  <c r="CV40" i="57"/>
  <c r="CV64" i="57"/>
  <c r="CV58" i="57"/>
  <c r="CV59" i="57"/>
  <c r="CV52" i="57"/>
  <c r="CV68" i="57"/>
  <c r="CV70" i="57"/>
  <c r="CV54" i="57"/>
  <c r="CV61" i="57"/>
  <c r="CV60" i="57"/>
  <c r="CV67" i="57"/>
  <c r="CV41" i="57"/>
  <c r="CV38" i="57"/>
  <c r="CV39" i="57"/>
  <c r="CV13" i="57"/>
  <c r="CV63" i="57"/>
  <c r="CV62" i="57"/>
  <c r="CV48" i="57"/>
  <c r="CV73" i="57"/>
  <c r="CV42" i="57"/>
  <c r="CV44" i="57"/>
  <c r="CV46" i="57"/>
  <c r="CP113" i="32"/>
  <c r="CP115" i="32"/>
  <c r="CV50" i="57"/>
  <c r="CV53" i="57"/>
  <c r="CV55" i="57"/>
  <c r="CV75" i="57"/>
  <c r="CV80" i="57"/>
  <c r="CV82" i="57"/>
  <c r="CV108" i="57"/>
  <c r="CV110" i="57"/>
  <c r="CW70" i="57"/>
  <c r="CW71" i="57"/>
  <c r="CW65" i="57"/>
  <c r="CW61" i="57"/>
  <c r="CW64" i="57"/>
  <c r="CW60" i="57"/>
  <c r="CW52" i="57"/>
  <c r="CW41" i="57"/>
  <c r="CW58" i="57"/>
  <c r="CW59" i="57"/>
  <c r="CW38" i="57"/>
  <c r="CW39" i="57"/>
  <c r="CW13" i="57"/>
  <c r="CW68" i="57"/>
  <c r="CW67" i="57"/>
  <c r="CW63" i="57"/>
  <c r="CW69" i="57"/>
  <c r="CW62" i="57"/>
  <c r="CW54" i="57"/>
  <c r="CW35" i="57"/>
  <c r="CW40" i="57"/>
  <c r="CW73" i="57"/>
  <c r="CW48" i="57"/>
  <c r="CW42" i="57"/>
  <c r="CW44" i="57"/>
  <c r="CW46" i="57"/>
  <c r="CW50" i="57"/>
  <c r="CW53" i="57"/>
  <c r="CW55" i="57"/>
  <c r="CW80" i="57"/>
  <c r="CW75" i="57"/>
  <c r="CQ113" i="32"/>
  <c r="CQ115" i="32"/>
  <c r="CW110" i="57"/>
  <c r="CW82" i="57"/>
  <c r="CW108" i="57"/>
  <c r="CX52" i="57"/>
  <c r="CX71" i="57"/>
  <c r="CX67" i="57"/>
  <c r="CX64" i="57"/>
  <c r="CX60" i="57"/>
  <c r="CX65" i="57"/>
  <c r="CX61" i="57"/>
  <c r="CX40" i="57"/>
  <c r="CX54" i="57"/>
  <c r="CX35" i="57"/>
  <c r="CX69" i="57"/>
  <c r="CX68" i="57"/>
  <c r="CX62" i="57"/>
  <c r="CX70" i="57"/>
  <c r="CX63" i="57"/>
  <c r="CX58" i="57"/>
  <c r="CX59" i="57"/>
  <c r="CX38" i="57"/>
  <c r="CX39" i="57"/>
  <c r="CX13" i="57"/>
  <c r="CX41" i="57"/>
  <c r="CX48" i="57"/>
  <c r="CX42" i="57"/>
  <c r="CX44" i="57"/>
  <c r="CX46" i="57"/>
  <c r="CX73" i="57"/>
  <c r="CX50" i="57"/>
  <c r="CX53" i="57"/>
  <c r="CX55" i="57"/>
  <c r="CX75" i="57"/>
  <c r="CX80" i="57"/>
  <c r="CX82" i="57"/>
  <c r="CX110" i="57"/>
  <c r="CX108" i="57"/>
  <c r="CY70" i="57"/>
  <c r="CY68" i="57"/>
  <c r="CY69" i="57"/>
  <c r="CY65" i="57"/>
  <c r="CY63" i="57"/>
  <c r="CY61" i="57"/>
  <c r="CY71" i="57"/>
  <c r="CY67" i="57"/>
  <c r="CY64" i="57"/>
  <c r="CY62" i="57"/>
  <c r="CY60" i="57"/>
  <c r="CY58" i="57"/>
  <c r="CY59" i="57"/>
  <c r="CY54" i="57"/>
  <c r="CY52" i="57"/>
  <c r="CY41" i="57"/>
  <c r="CY35" i="57"/>
  <c r="CY40" i="57"/>
  <c r="CY38" i="57"/>
  <c r="CY39" i="57"/>
  <c r="CY13" i="57"/>
  <c r="CR113" i="32"/>
  <c r="CR115" i="32"/>
  <c r="CY48" i="57"/>
  <c r="CY42" i="57"/>
  <c r="CY44" i="57"/>
  <c r="CY73" i="57"/>
  <c r="CY46" i="57"/>
  <c r="CY50" i="57"/>
  <c r="CY53" i="57"/>
  <c r="CY55" i="57"/>
  <c r="CY75" i="57"/>
  <c r="CY80" i="57"/>
  <c r="CY110" i="57"/>
  <c r="CY82" i="57"/>
  <c r="CY108" i="57"/>
  <c r="CZ71" i="57"/>
  <c r="CZ69" i="57"/>
  <c r="CZ67" i="57"/>
  <c r="CZ70" i="57"/>
  <c r="CZ64" i="57"/>
  <c r="CZ62" i="57"/>
  <c r="CZ60" i="57"/>
  <c r="CZ68" i="57"/>
  <c r="CZ65" i="57"/>
  <c r="CZ63" i="57"/>
  <c r="CZ61" i="57"/>
  <c r="CZ58" i="57"/>
  <c r="CZ59" i="57"/>
  <c r="CZ40" i="57"/>
  <c r="CZ38" i="57"/>
  <c r="CZ39" i="57"/>
  <c r="CZ13" i="57"/>
  <c r="CZ54" i="57"/>
  <c r="CZ52" i="57"/>
  <c r="CZ41" i="57"/>
  <c r="CZ35" i="57"/>
  <c r="CS115" i="32"/>
  <c r="CS113" i="32"/>
  <c r="CZ48" i="57"/>
  <c r="CZ42" i="57"/>
  <c r="CZ44" i="57"/>
  <c r="CZ73" i="57"/>
  <c r="CZ46" i="57"/>
  <c r="CZ50" i="57"/>
  <c r="CZ53" i="57"/>
  <c r="CZ55" i="57"/>
  <c r="CZ75" i="57"/>
  <c r="CZ80" i="57"/>
  <c r="CZ110" i="57"/>
  <c r="CZ82" i="57"/>
  <c r="CZ108" i="57"/>
  <c r="DA70" i="57"/>
  <c r="DA68" i="57"/>
  <c r="DA71" i="57"/>
  <c r="DA67" i="57"/>
  <c r="DA65" i="57"/>
  <c r="DA63" i="57"/>
  <c r="DA61" i="57"/>
  <c r="DA69" i="57"/>
  <c r="DA64" i="57"/>
  <c r="DA62" i="57"/>
  <c r="DA60" i="57"/>
  <c r="DA54" i="57"/>
  <c r="DA52" i="57"/>
  <c r="DA41" i="57"/>
  <c r="DA35" i="57"/>
  <c r="DA58" i="57"/>
  <c r="DA59" i="57"/>
  <c r="DA40" i="57"/>
  <c r="DA38" i="57"/>
  <c r="DA39" i="57"/>
  <c r="DA13" i="57"/>
  <c r="CT113" i="32"/>
  <c r="CT115" i="32"/>
  <c r="DA73" i="57"/>
  <c r="DA48" i="57"/>
  <c r="DA42" i="57"/>
  <c r="DA44" i="57"/>
  <c r="DA46" i="57"/>
  <c r="DA50" i="57"/>
  <c r="DA53" i="57"/>
  <c r="DA55" i="57"/>
  <c r="DA75" i="57"/>
  <c r="DA80" i="57"/>
  <c r="DA110" i="57"/>
  <c r="DA82" i="57"/>
  <c r="DA108" i="57"/>
  <c r="DB71" i="57"/>
  <c r="DB69" i="57"/>
  <c r="DB67" i="57"/>
  <c r="DB68" i="57"/>
  <c r="DB64" i="57"/>
  <c r="DB62" i="57"/>
  <c r="DB60" i="57"/>
  <c r="DB70" i="57"/>
  <c r="DB65" i="57"/>
  <c r="DB63" i="57"/>
  <c r="DB61" i="57"/>
  <c r="DB58" i="57"/>
  <c r="DB59" i="57"/>
  <c r="DB40" i="57"/>
  <c r="DB38" i="57"/>
  <c r="DB39" i="57"/>
  <c r="DB13" i="57"/>
  <c r="DB54" i="57"/>
  <c r="DB52" i="57"/>
  <c r="DB41" i="57"/>
  <c r="DB35" i="57"/>
  <c r="CU115" i="32"/>
  <c r="CU113" i="32"/>
  <c r="DB48" i="57"/>
  <c r="DB42" i="57"/>
  <c r="DB44" i="57"/>
  <c r="DB73" i="57"/>
  <c r="DB46" i="57"/>
  <c r="DB50" i="57"/>
  <c r="DB53" i="57"/>
  <c r="DB55" i="57"/>
  <c r="DB75" i="57"/>
  <c r="DB80" i="57"/>
  <c r="DB110" i="57"/>
  <c r="DB82" i="57"/>
  <c r="DB108" i="57"/>
  <c r="DC70" i="57"/>
  <c r="DC68" i="57"/>
  <c r="DC69" i="57"/>
  <c r="DC65" i="57"/>
  <c r="DC63" i="57"/>
  <c r="DC61" i="57"/>
  <c r="DC71" i="57"/>
  <c r="DC67" i="57"/>
  <c r="DC64" i="57"/>
  <c r="DC62" i="57"/>
  <c r="DC60" i="57"/>
  <c r="DC58" i="57"/>
  <c r="DC59" i="57"/>
  <c r="DC54" i="57"/>
  <c r="DC52" i="57"/>
  <c r="DC41" i="57"/>
  <c r="DC35" i="57"/>
  <c r="DC40" i="57"/>
  <c r="DC38" i="57"/>
  <c r="DC39" i="57"/>
  <c r="DC13" i="57"/>
  <c r="DC48" i="57"/>
  <c r="DC42" i="57"/>
  <c r="DC44" i="57"/>
  <c r="DC73" i="57"/>
  <c r="DC46" i="57"/>
  <c r="DC50" i="57"/>
  <c r="DC53" i="57"/>
  <c r="DC55" i="57"/>
  <c r="CV113" i="32"/>
  <c r="CV115" i="32"/>
  <c r="DC75" i="57"/>
  <c r="DC80" i="57"/>
  <c r="DC110" i="57"/>
  <c r="DC82" i="57"/>
  <c r="DC108" i="57"/>
  <c r="DD71" i="57"/>
  <c r="DD69" i="57"/>
  <c r="DD67" i="57"/>
  <c r="DD70" i="57"/>
  <c r="DD64" i="57"/>
  <c r="DD62" i="57"/>
  <c r="DD60" i="57"/>
  <c r="DD68" i="57"/>
  <c r="DD65" i="57"/>
  <c r="DD63" i="57"/>
  <c r="DD61" i="57"/>
  <c r="DD58" i="57"/>
  <c r="DD59" i="57"/>
  <c r="DD40" i="57"/>
  <c r="DD38" i="57"/>
  <c r="DD39" i="57"/>
  <c r="DD13" i="57"/>
  <c r="DD54" i="57"/>
  <c r="DD52" i="57"/>
  <c r="DD41" i="57"/>
  <c r="DD35" i="57"/>
  <c r="DD48" i="57"/>
  <c r="DD42" i="57"/>
  <c r="DD44" i="57"/>
  <c r="DD73" i="57"/>
  <c r="DD46" i="57"/>
  <c r="DD50" i="57"/>
  <c r="DD53" i="57"/>
  <c r="DD55" i="57"/>
  <c r="DD75" i="57"/>
  <c r="DD80" i="57"/>
  <c r="DD110" i="57"/>
  <c r="DD82" i="57"/>
  <c r="DD108" i="57"/>
  <c r="DE70" i="57"/>
  <c r="DE68" i="57"/>
  <c r="DE71" i="57"/>
  <c r="DE67" i="57"/>
  <c r="DE65" i="57"/>
  <c r="DE63" i="57"/>
  <c r="DE61" i="57"/>
  <c r="DE69" i="57"/>
  <c r="DE64" i="57"/>
  <c r="DE62" i="57"/>
  <c r="DE60" i="57"/>
  <c r="DE54" i="57"/>
  <c r="DE52" i="57"/>
  <c r="DE41" i="57"/>
  <c r="DE35" i="57"/>
  <c r="DE58" i="57"/>
  <c r="DE59" i="57"/>
  <c r="DE40" i="57"/>
  <c r="DE38" i="57"/>
  <c r="DE39" i="57"/>
  <c r="DE13" i="57"/>
  <c r="CW113" i="32"/>
  <c r="CW115" i="32"/>
  <c r="DE73" i="57"/>
  <c r="DE48" i="57"/>
  <c r="DE42" i="57"/>
  <c r="DE44" i="57"/>
  <c r="DE46" i="57"/>
  <c r="DE50" i="57"/>
  <c r="DE53" i="57"/>
  <c r="DE55" i="57"/>
  <c r="DE75" i="57"/>
  <c r="DE80" i="57"/>
  <c r="DE108" i="57"/>
  <c r="DE110" i="57"/>
  <c r="DE82" i="57"/>
  <c r="DF71" i="57"/>
  <c r="DF69" i="57"/>
  <c r="DF67" i="57"/>
  <c r="DF68" i="57"/>
  <c r="DF64" i="57"/>
  <c r="DF62" i="57"/>
  <c r="DF60" i="57"/>
  <c r="DF70" i="57"/>
  <c r="DF65" i="57"/>
  <c r="DF63" i="57"/>
  <c r="DF61" i="57"/>
  <c r="DF58" i="57"/>
  <c r="DF59" i="57"/>
  <c r="DF40" i="57"/>
  <c r="DF38" i="57"/>
  <c r="DF39" i="57"/>
  <c r="DF13" i="57"/>
  <c r="DF54" i="57"/>
  <c r="DF52" i="57"/>
  <c r="DF41" i="57"/>
  <c r="DF35" i="57"/>
  <c r="CX113" i="32"/>
  <c r="CX115" i="32"/>
  <c r="DF48" i="57"/>
  <c r="DF42" i="57"/>
  <c r="DF44" i="57"/>
  <c r="DF73" i="57"/>
  <c r="DF46" i="57"/>
  <c r="DF50" i="57"/>
  <c r="DF53" i="57"/>
  <c r="DF55" i="57"/>
  <c r="DF75" i="57"/>
  <c r="DF80" i="57"/>
  <c r="DF108" i="57"/>
  <c r="DF110" i="57"/>
  <c r="DF82" i="57"/>
  <c r="DG70" i="57"/>
  <c r="DG68" i="57"/>
  <c r="DG69" i="57"/>
  <c r="DG65" i="57"/>
  <c r="DG63" i="57"/>
  <c r="DG61" i="57"/>
  <c r="DG71" i="57"/>
  <c r="DG67" i="57"/>
  <c r="DG64" i="57"/>
  <c r="DG62" i="57"/>
  <c r="DG60" i="57"/>
  <c r="DG58" i="57"/>
  <c r="DG59" i="57"/>
  <c r="DG54" i="57"/>
  <c r="DG52" i="57"/>
  <c r="DG41" i="57"/>
  <c r="DG35" i="57"/>
  <c r="DG40" i="57"/>
  <c r="DG38" i="57"/>
  <c r="DG39" i="57"/>
  <c r="DG13" i="57"/>
  <c r="CY113" i="32"/>
  <c r="CY115" i="32"/>
  <c r="DG48" i="57"/>
  <c r="DG42" i="57"/>
  <c r="DG44" i="57"/>
  <c r="DG73" i="57"/>
  <c r="DG46" i="57"/>
  <c r="DG50" i="57"/>
  <c r="DG53" i="57"/>
  <c r="DG55" i="57"/>
  <c r="DG75" i="57"/>
  <c r="DG80" i="57"/>
  <c r="DG110" i="57"/>
  <c r="DG82" i="57"/>
  <c r="DG108" i="57"/>
  <c r="DH71" i="57"/>
  <c r="DH69" i="57"/>
  <c r="DH67" i="57"/>
  <c r="DH70" i="57"/>
  <c r="DH64" i="57"/>
  <c r="DH62" i="57"/>
  <c r="DH60" i="57"/>
  <c r="DH68" i="57"/>
  <c r="DH65" i="57"/>
  <c r="DH63" i="57"/>
  <c r="DH61" i="57"/>
  <c r="DH58" i="57"/>
  <c r="DH59" i="57"/>
  <c r="DH40" i="57"/>
  <c r="DH38" i="57"/>
  <c r="DH39" i="57"/>
  <c r="DH13" i="57"/>
  <c r="DH54" i="57"/>
  <c r="DH52" i="57"/>
  <c r="DH41" i="57"/>
  <c r="DH35" i="57"/>
  <c r="CZ115" i="32"/>
  <c r="CZ113" i="32"/>
  <c r="DH48" i="57"/>
  <c r="DH42" i="57"/>
  <c r="DH44" i="57"/>
  <c r="DH73" i="57"/>
  <c r="DH46" i="57"/>
  <c r="DH50" i="57"/>
  <c r="DH53" i="57"/>
  <c r="DH55" i="57"/>
  <c r="DH75" i="57"/>
  <c r="DH80" i="57"/>
  <c r="DH111" i="57"/>
  <c r="DH108" i="57"/>
  <c r="DH110" i="57"/>
  <c r="DH82" i="57"/>
  <c r="DH93" i="57"/>
  <c r="DH96" i="57"/>
  <c r="DI70" i="57"/>
  <c r="DI68" i="57"/>
  <c r="DI71" i="57"/>
  <c r="DI67" i="57"/>
  <c r="DI65" i="57"/>
  <c r="DI63" i="57"/>
  <c r="DI61" i="57"/>
  <c r="DI69" i="57"/>
  <c r="DI64" i="57"/>
  <c r="DI62" i="57"/>
  <c r="DI60" i="57"/>
  <c r="DI54" i="57"/>
  <c r="DI52" i="57"/>
  <c r="DI41" i="57"/>
  <c r="DI35" i="57"/>
  <c r="DI58" i="57"/>
  <c r="DI59" i="57"/>
  <c r="DI40" i="57"/>
  <c r="DI38" i="57"/>
  <c r="DI39" i="57"/>
  <c r="DI13" i="57"/>
  <c r="DA115" i="32"/>
  <c r="DA113" i="32"/>
  <c r="DI73" i="57"/>
  <c r="DI44" i="57"/>
  <c r="DI48" i="57"/>
  <c r="DH97" i="57"/>
  <c r="DI50" i="57"/>
  <c r="DI53" i="57"/>
  <c r="DI55" i="57"/>
  <c r="DI75" i="57"/>
  <c r="DI111" i="57"/>
  <c r="DI110" i="57"/>
  <c r="DI108" i="57"/>
  <c r="DB113" i="32"/>
  <c r="DB115" i="32"/>
  <c r="DC115" i="32"/>
  <c r="DC113" i="32"/>
  <c r="DD113" i="32"/>
  <c r="DD115" i="32"/>
  <c r="DE113" i="32"/>
  <c r="DE115" i="32"/>
  <c r="DF113" i="32"/>
  <c r="DF115" i="32"/>
  <c r="DG115" i="32"/>
  <c r="DG113" i="32"/>
  <c r="E20" i="40"/>
  <c r="F20" i="40"/>
  <c r="G20" i="40"/>
  <c r="H20" i="40"/>
  <c r="I20" i="40"/>
  <c r="J20" i="40"/>
  <c r="K20" i="40"/>
  <c r="L20" i="40"/>
  <c r="M20" i="40"/>
  <c r="E24" i="40"/>
  <c r="F24" i="40"/>
  <c r="G24" i="40"/>
  <c r="H24" i="40"/>
  <c r="I24" i="40"/>
  <c r="J24" i="40"/>
  <c r="K24" i="40"/>
  <c r="L24" i="40"/>
  <c r="M24" i="40"/>
  <c r="DH116" i="32"/>
  <c r="DH113" i="32"/>
  <c r="DH115" i="32"/>
  <c r="E60" i="40"/>
  <c r="F60" i="40"/>
  <c r="G60" i="40"/>
  <c r="H60" i="40"/>
  <c r="I60" i="40"/>
  <c r="J60" i="40"/>
  <c r="K60" i="40"/>
  <c r="L60" i="40"/>
  <c r="M60" i="40"/>
  <c r="DI65" i="32"/>
  <c r="DI67" i="32"/>
  <c r="DI63" i="32"/>
  <c r="DI64" i="32"/>
  <c r="DI74" i="32"/>
  <c r="DI68" i="32"/>
  <c r="DI75" i="32"/>
  <c r="DI51" i="32"/>
  <c r="DI66" i="32"/>
  <c r="DI76" i="32"/>
  <c r="DI59" i="32"/>
  <c r="DI70" i="32"/>
  <c r="DI71" i="32"/>
  <c r="DI72" i="32"/>
  <c r="DI73" i="32"/>
  <c r="DH98" i="32"/>
  <c r="DI56" i="32"/>
  <c r="DI69" i="32"/>
  <c r="DJ54" i="32"/>
  <c r="DJ58" i="32"/>
  <c r="DJ60" i="32"/>
  <c r="DJ80" i="32"/>
  <c r="DJ116" i="32"/>
  <c r="DJ115" i="32"/>
  <c r="E19" i="40"/>
  <c r="F19" i="40"/>
  <c r="G19" i="40"/>
  <c r="H19" i="40"/>
  <c r="I19" i="40"/>
  <c r="J19" i="40"/>
  <c r="K19" i="40"/>
  <c r="L19" i="40"/>
  <c r="M19" i="40"/>
  <c r="E18" i="40"/>
  <c r="F18" i="40"/>
  <c r="G18" i="40"/>
  <c r="H18" i="40"/>
  <c r="I18" i="40"/>
  <c r="J18" i="40"/>
  <c r="K18" i="40"/>
  <c r="L18" i="40"/>
  <c r="M18" i="40"/>
  <c r="E33" i="40"/>
  <c r="F33" i="40"/>
  <c r="G33" i="40"/>
  <c r="H33" i="40"/>
  <c r="I33" i="40"/>
  <c r="J33" i="40"/>
  <c r="K33" i="40"/>
  <c r="L33" i="40"/>
  <c r="M33" i="40"/>
  <c r="E48" i="40"/>
  <c r="F48" i="40"/>
  <c r="G48" i="40"/>
  <c r="H48" i="40"/>
  <c r="I48" i="40"/>
  <c r="J48" i="40"/>
  <c r="K48" i="40"/>
  <c r="L48" i="40"/>
  <c r="M48" i="40"/>
  <c r="E45" i="40"/>
  <c r="F45" i="40"/>
  <c r="G45" i="40"/>
  <c r="H45" i="40"/>
  <c r="I45" i="40"/>
  <c r="J45" i="40"/>
  <c r="K45" i="40"/>
  <c r="L45" i="40"/>
  <c r="M45" i="40"/>
  <c r="E51" i="40"/>
  <c r="F51" i="40"/>
  <c r="G51" i="40"/>
  <c r="H51" i="40"/>
  <c r="I51" i="40"/>
  <c r="J51" i="40"/>
  <c r="K51" i="40"/>
  <c r="L51" i="40"/>
  <c r="M51" i="40"/>
  <c r="E25" i="40"/>
  <c r="E27" i="40"/>
  <c r="F25" i="40"/>
  <c r="F27" i="40"/>
  <c r="G25" i="40"/>
  <c r="G27" i="40"/>
  <c r="H25" i="40"/>
  <c r="H27" i="40"/>
  <c r="I25" i="40"/>
  <c r="I27" i="40"/>
  <c r="J25" i="40"/>
  <c r="J27" i="40"/>
  <c r="K25" i="40"/>
  <c r="K27" i="40"/>
  <c r="L25" i="40"/>
  <c r="E43" i="40"/>
  <c r="F43" i="40"/>
  <c r="G43" i="40"/>
  <c r="H43" i="40"/>
  <c r="I43" i="40"/>
  <c r="J43" i="40"/>
  <c r="K43" i="40"/>
  <c r="L43" i="40"/>
  <c r="M43" i="40"/>
  <c r="E17" i="40"/>
  <c r="F17" i="40"/>
  <c r="G17" i="40"/>
  <c r="H17" i="40"/>
  <c r="I17" i="40"/>
  <c r="J17" i="40"/>
  <c r="K17" i="40"/>
  <c r="L17" i="40"/>
  <c r="M17" i="40"/>
  <c r="DI78" i="32"/>
  <c r="E38" i="40"/>
  <c r="F38" i="40"/>
  <c r="G38" i="40"/>
  <c r="H38" i="40"/>
  <c r="I38" i="40"/>
  <c r="J38" i="40"/>
  <c r="K38" i="40"/>
  <c r="L38" i="40"/>
  <c r="E40" i="40"/>
  <c r="F40" i="40"/>
  <c r="G40" i="40"/>
  <c r="H40" i="40"/>
  <c r="I40" i="40"/>
  <c r="J40" i="40"/>
  <c r="K40" i="40"/>
  <c r="L40" i="40"/>
  <c r="M40" i="40"/>
  <c r="E44" i="40"/>
  <c r="F44" i="40"/>
  <c r="G44" i="40"/>
  <c r="H44" i="40"/>
  <c r="I44" i="40"/>
  <c r="J44" i="40"/>
  <c r="K44" i="40"/>
  <c r="L44" i="40"/>
  <c r="M44" i="40"/>
  <c r="DH102" i="32"/>
  <c r="DH101" i="32"/>
  <c r="E47" i="40"/>
  <c r="F47" i="40"/>
  <c r="G47" i="40"/>
  <c r="H47" i="40"/>
  <c r="I47" i="40"/>
  <c r="J47" i="40"/>
  <c r="K47" i="40"/>
  <c r="L47" i="40"/>
  <c r="M47" i="40"/>
  <c r="E34" i="40"/>
  <c r="F34" i="40"/>
  <c r="G34" i="40"/>
  <c r="H34" i="40"/>
  <c r="I34" i="40"/>
  <c r="J34" i="40"/>
  <c r="K34" i="40"/>
  <c r="L34" i="40"/>
  <c r="M34" i="40"/>
  <c r="E41" i="40"/>
  <c r="F41" i="40"/>
  <c r="G41" i="40"/>
  <c r="H41" i="40"/>
  <c r="I41" i="40"/>
  <c r="J41" i="40"/>
  <c r="K41" i="40"/>
  <c r="L41" i="40"/>
  <c r="M41" i="40"/>
  <c r="E50" i="40"/>
  <c r="F50" i="40"/>
  <c r="G50" i="40"/>
  <c r="H50" i="40"/>
  <c r="I50" i="40"/>
  <c r="J50" i="40"/>
  <c r="K50" i="40"/>
  <c r="L50" i="40"/>
  <c r="M50" i="40"/>
  <c r="DI52" i="32"/>
  <c r="E15" i="40"/>
  <c r="F15" i="40"/>
  <c r="G15" i="40"/>
  <c r="H15" i="40"/>
  <c r="I15" i="40"/>
  <c r="J15" i="40"/>
  <c r="K15" i="40"/>
  <c r="L15" i="40"/>
  <c r="E49" i="40"/>
  <c r="F49" i="40"/>
  <c r="G49" i="40"/>
  <c r="H49" i="40"/>
  <c r="I49" i="40"/>
  <c r="J49" i="40"/>
  <c r="K49" i="40"/>
  <c r="L49" i="40"/>
  <c r="M49" i="40"/>
  <c r="E42" i="40"/>
  <c r="F42" i="40"/>
  <c r="G42" i="40"/>
  <c r="H42" i="40"/>
  <c r="I42" i="40"/>
  <c r="J42" i="40"/>
  <c r="K42" i="40"/>
  <c r="L42" i="40"/>
  <c r="M42" i="40"/>
  <c r="DJ113" i="32"/>
  <c r="K22" i="40"/>
  <c r="K13" i="40"/>
  <c r="I22" i="40"/>
  <c r="I13" i="40"/>
  <c r="G22" i="40"/>
  <c r="G13" i="40"/>
  <c r="E22" i="40"/>
  <c r="E13" i="40"/>
  <c r="J22" i="40"/>
  <c r="J13" i="40"/>
  <c r="H22" i="40"/>
  <c r="H13" i="40"/>
  <c r="F22" i="40"/>
  <c r="F13" i="40"/>
  <c r="M15" i="40"/>
  <c r="M22" i="40"/>
  <c r="L22" i="40"/>
  <c r="E29" i="40"/>
  <c r="F29" i="40"/>
  <c r="G29" i="40"/>
  <c r="H29" i="40"/>
  <c r="I29" i="40"/>
  <c r="J29" i="40"/>
  <c r="K29" i="40"/>
  <c r="L29" i="40"/>
  <c r="M76" i="40"/>
  <c r="E76" i="40"/>
  <c r="F76" i="40"/>
  <c r="G76" i="40"/>
  <c r="E39" i="40"/>
  <c r="F39" i="40"/>
  <c r="G39" i="40"/>
  <c r="H39" i="40"/>
  <c r="I39" i="40"/>
  <c r="J39" i="40"/>
  <c r="K39" i="40"/>
  <c r="L39" i="40"/>
  <c r="M39" i="40"/>
  <c r="M25" i="40"/>
  <c r="M27" i="40"/>
  <c r="M13" i="40"/>
  <c r="L27" i="40"/>
  <c r="L13" i="40"/>
  <c r="E46" i="40"/>
  <c r="E53" i="40"/>
  <c r="F46" i="40"/>
  <c r="G46" i="40"/>
  <c r="H46" i="40"/>
  <c r="H53" i="40"/>
  <c r="I46" i="40"/>
  <c r="J46" i="40"/>
  <c r="K46" i="40"/>
  <c r="L46" i="40"/>
  <c r="M46" i="40"/>
  <c r="M75" i="40"/>
  <c r="E75" i="40"/>
  <c r="F75" i="40"/>
  <c r="G75" i="40"/>
  <c r="M38" i="40"/>
  <c r="DI54" i="32"/>
  <c r="J53" i="40"/>
  <c r="K53" i="40"/>
  <c r="G53" i="40"/>
  <c r="L53" i="40"/>
  <c r="F53" i="40"/>
  <c r="M53" i="40"/>
  <c r="I53" i="40"/>
  <c r="DI58" i="32"/>
  <c r="DI60" i="32"/>
  <c r="DI80" i="32"/>
  <c r="M29" i="40"/>
  <c r="DI115" i="32"/>
  <c r="DI113" i="32"/>
  <c r="DI116" i="32"/>
  <c r="E30" i="40"/>
  <c r="E32" i="40"/>
  <c r="E35" i="40"/>
  <c r="F30" i="40"/>
  <c r="F32" i="40"/>
  <c r="F35" i="40"/>
  <c r="F55" i="40"/>
  <c r="G30" i="40"/>
  <c r="G32" i="40"/>
  <c r="G35" i="40"/>
  <c r="G55" i="40"/>
  <c r="H30" i="40"/>
  <c r="H32" i="40"/>
  <c r="H35" i="40"/>
  <c r="H55" i="40"/>
  <c r="P55" i="2"/>
  <c r="I30" i="40"/>
  <c r="I32" i="40"/>
  <c r="I35" i="40"/>
  <c r="I55" i="40"/>
  <c r="J30" i="40"/>
  <c r="J32" i="40"/>
  <c r="J35" i="40"/>
  <c r="J55" i="40"/>
  <c r="K30" i="40"/>
  <c r="K32" i="40"/>
  <c r="K35" i="40"/>
  <c r="K55" i="40"/>
  <c r="L30" i="40"/>
  <c r="P57" i="2"/>
  <c r="M59" i="2"/>
  <c r="P61" i="2"/>
  <c r="P63" i="2"/>
  <c r="M64" i="2"/>
  <c r="P64" i="2"/>
  <c r="K85" i="40"/>
  <c r="K62" i="40"/>
  <c r="K87" i="40"/>
  <c r="I87" i="40"/>
  <c r="I85" i="40"/>
  <c r="I62" i="40"/>
  <c r="G88" i="40"/>
  <c r="G62" i="40"/>
  <c r="G72" i="40"/>
  <c r="G83" i="40"/>
  <c r="G86" i="40"/>
  <c r="G85" i="40"/>
  <c r="G87" i="40"/>
  <c r="H60" i="2"/>
  <c r="H54" i="2"/>
  <c r="H63" i="2"/>
  <c r="H55" i="2"/>
  <c r="H52" i="2"/>
  <c r="H57" i="2"/>
  <c r="H65" i="2"/>
  <c r="E55" i="40"/>
  <c r="H56" i="2"/>
  <c r="H58" i="2"/>
  <c r="H59" i="2"/>
  <c r="H53" i="2"/>
  <c r="H64" i="2"/>
  <c r="M30" i="40"/>
  <c r="M32" i="40"/>
  <c r="M35" i="40"/>
  <c r="M55" i="40"/>
  <c r="L32" i="40"/>
  <c r="L35" i="40"/>
  <c r="L55" i="40"/>
  <c r="J62" i="40"/>
  <c r="J85" i="40"/>
  <c r="J87" i="40"/>
  <c r="H62" i="40"/>
  <c r="H87" i="40"/>
  <c r="H85" i="40"/>
  <c r="F88" i="40"/>
  <c r="F85" i="40"/>
  <c r="F87" i="40"/>
  <c r="F62" i="40"/>
  <c r="F72" i="40"/>
  <c r="F83" i="40"/>
  <c r="F86" i="40"/>
  <c r="L50" i="2"/>
  <c r="P59" i="2"/>
  <c r="L85" i="40"/>
  <c r="L62" i="40"/>
  <c r="L87" i="40"/>
  <c r="H61" i="2"/>
  <c r="H66" i="2"/>
  <c r="M85" i="40"/>
  <c r="L66" i="40"/>
  <c r="DG87" i="57"/>
  <c r="M88" i="40"/>
  <c r="M87" i="40"/>
  <c r="E85" i="40"/>
  <c r="E87" i="40"/>
  <c r="E62" i="40"/>
  <c r="E72" i="40"/>
  <c r="E88" i="40"/>
  <c r="BK100" i="57"/>
  <c r="BK105" i="32"/>
  <c r="C5" i="49"/>
  <c r="L51" i="2"/>
  <c r="N87" i="57"/>
  <c r="N69" i="2"/>
  <c r="DG92" i="32"/>
  <c r="E83" i="40"/>
  <c r="E148" i="49"/>
  <c r="E123" i="49"/>
  <c r="F90" i="49"/>
  <c r="F192" i="49"/>
  <c r="F134" i="49"/>
  <c r="E357" i="49"/>
  <c r="E80" i="49"/>
  <c r="E359" i="49"/>
  <c r="F85" i="49"/>
  <c r="E102" i="49"/>
  <c r="E190" i="49"/>
  <c r="F36" i="49"/>
  <c r="F140" i="49"/>
  <c r="E370" i="49"/>
  <c r="E208" i="49"/>
  <c r="E326" i="49"/>
  <c r="F152" i="49"/>
  <c r="F206" i="49"/>
  <c r="F346" i="49"/>
  <c r="E330" i="49"/>
  <c r="E195" i="49"/>
  <c r="E242" i="49"/>
  <c r="F349" i="49"/>
  <c r="E226" i="49"/>
  <c r="E55" i="49"/>
  <c r="E124" i="49"/>
  <c r="E258" i="49"/>
  <c r="F101" i="49"/>
  <c r="E44" i="49"/>
  <c r="F299" i="49"/>
  <c r="F197" i="49"/>
  <c r="F159" i="49"/>
  <c r="E263" i="49"/>
  <c r="E271" i="49"/>
  <c r="E253" i="49"/>
  <c r="E47" i="49"/>
  <c r="F238" i="49"/>
  <c r="E81" i="49"/>
  <c r="F327" i="49"/>
  <c r="F307" i="49"/>
  <c r="E78" i="49"/>
  <c r="F361" i="49"/>
  <c r="F288" i="49"/>
  <c r="E257" i="49"/>
  <c r="E200" i="49"/>
  <c r="F247" i="49"/>
  <c r="E305" i="49"/>
  <c r="F245" i="49"/>
  <c r="E68" i="49"/>
  <c r="F378" i="49"/>
  <c r="F53" i="49"/>
  <c r="E181" i="49"/>
  <c r="F350" i="49"/>
  <c r="E243" i="49"/>
  <c r="E316" i="49"/>
  <c r="F55" i="49"/>
  <c r="F323" i="49"/>
  <c r="F214" i="49"/>
  <c r="F92" i="49"/>
  <c r="E363" i="49"/>
  <c r="E279" i="49"/>
  <c r="E268" i="49"/>
  <c r="F176" i="49"/>
  <c r="E30" i="49"/>
  <c r="E118" i="49"/>
  <c r="E329" i="49"/>
  <c r="F263" i="49"/>
  <c r="E272" i="49"/>
  <c r="F336" i="49"/>
  <c r="E129" i="49"/>
  <c r="F173" i="49"/>
  <c r="E162" i="49"/>
  <c r="F175" i="49"/>
  <c r="F64" i="49"/>
  <c r="E139" i="49"/>
  <c r="E154" i="49"/>
  <c r="F360" i="49"/>
  <c r="F319" i="49"/>
  <c r="F265" i="49"/>
  <c r="F246" i="49"/>
  <c r="F272" i="49"/>
  <c r="E71" i="49"/>
  <c r="F194" i="49"/>
  <c r="E82" i="49"/>
  <c r="F131" i="49"/>
  <c r="F338" i="49"/>
  <c r="F368" i="49"/>
  <c r="F281" i="49"/>
  <c r="F354" i="49"/>
  <c r="F137" i="49"/>
  <c r="E202" i="49"/>
  <c r="F301" i="49"/>
  <c r="E194" i="49"/>
  <c r="E94" i="49"/>
  <c r="E37" i="49"/>
  <c r="F78" i="49"/>
  <c r="E196" i="49"/>
  <c r="F382" i="49"/>
  <c r="E354" i="49"/>
  <c r="F277" i="49"/>
  <c r="F122" i="49"/>
  <c r="F124" i="49"/>
  <c r="E266" i="49"/>
  <c r="F343" i="49"/>
  <c r="E96" i="49"/>
  <c r="F244" i="49"/>
  <c r="E174" i="49"/>
  <c r="E336" i="49"/>
  <c r="F387" i="49"/>
  <c r="E189" i="49"/>
  <c r="F102" i="49"/>
  <c r="F198" i="49"/>
  <c r="E110" i="49"/>
  <c r="E214" i="49"/>
  <c r="E225" i="49"/>
  <c r="F325" i="49"/>
  <c r="F339" i="49"/>
  <c r="F165" i="49"/>
  <c r="F300" i="49"/>
  <c r="F355" i="49"/>
  <c r="E50" i="49"/>
  <c r="E186" i="49"/>
  <c r="F138" i="49"/>
  <c r="E128" i="49"/>
  <c r="F209" i="49"/>
  <c r="E117" i="49"/>
  <c r="E267" i="49"/>
  <c r="F97" i="49"/>
  <c r="E45" i="49"/>
  <c r="E107" i="49"/>
  <c r="F254" i="49"/>
  <c r="E32" i="49"/>
  <c r="F115" i="49"/>
  <c r="F62" i="49"/>
  <c r="E307" i="49"/>
  <c r="E224" i="49"/>
  <c r="F305" i="49"/>
  <c r="E280" i="49"/>
  <c r="F94" i="49"/>
  <c r="F376" i="49"/>
  <c r="E362" i="49"/>
  <c r="F242" i="49"/>
  <c r="E232" i="49"/>
  <c r="E377" i="49"/>
  <c r="F275" i="49"/>
  <c r="E245" i="49"/>
  <c r="E325" i="49"/>
  <c r="E70" i="49"/>
  <c r="F184" i="49"/>
  <c r="E262" i="49"/>
  <c r="F38" i="49"/>
  <c r="E259" i="49"/>
  <c r="F385" i="49"/>
  <c r="F104" i="49"/>
  <c r="F29" i="49"/>
  <c r="E43" i="49"/>
  <c r="E172" i="49"/>
  <c r="E269" i="49"/>
  <c r="F369" i="49"/>
  <c r="F37" i="49"/>
  <c r="E237" i="49"/>
  <c r="E366" i="49"/>
  <c r="F70" i="49"/>
  <c r="F40" i="49"/>
  <c r="F179" i="49"/>
  <c r="F362" i="49"/>
  <c r="E386" i="49"/>
  <c r="F290" i="49"/>
  <c r="E339" i="49"/>
  <c r="F111" i="49"/>
  <c r="F76" i="49"/>
  <c r="F79" i="49"/>
  <c r="E236" i="49"/>
  <c r="E86" i="49"/>
  <c r="E302" i="49"/>
  <c r="F318" i="49"/>
  <c r="F182" i="49"/>
  <c r="E130" i="49"/>
  <c r="E240" i="49"/>
  <c r="F217" i="49"/>
  <c r="E306" i="49"/>
  <c r="E229" i="49"/>
  <c r="E381" i="49"/>
  <c r="F260" i="49"/>
  <c r="E331" i="49"/>
  <c r="F123" i="49"/>
  <c r="F108" i="49"/>
  <c r="F313" i="49"/>
  <c r="F322" i="49"/>
  <c r="F314" i="49"/>
  <c r="F186" i="49"/>
  <c r="F342" i="49"/>
  <c r="E104" i="49"/>
  <c r="E278" i="49"/>
  <c r="E218" i="49"/>
  <c r="F119" i="49"/>
  <c r="F262" i="49"/>
  <c r="F45" i="49"/>
  <c r="E53" i="49"/>
  <c r="E367" i="49"/>
  <c r="E368" i="49"/>
  <c r="E73" i="49"/>
  <c r="E228" i="49"/>
  <c r="E282" i="49"/>
  <c r="F139" i="49"/>
  <c r="E216" i="49"/>
  <c r="E352" i="49"/>
  <c r="F386" i="49"/>
  <c r="E254" i="49"/>
  <c r="F219" i="49"/>
  <c r="E264" i="49"/>
  <c r="F185" i="49"/>
  <c r="F258" i="49"/>
  <c r="F223" i="49"/>
  <c r="E69" i="49"/>
  <c r="E358" i="49"/>
  <c r="E95" i="49"/>
  <c r="E36" i="49"/>
  <c r="F218" i="49"/>
  <c r="E380" i="49"/>
  <c r="E46" i="49"/>
  <c r="E203" i="49"/>
  <c r="E131" i="49"/>
  <c r="E187" i="49"/>
  <c r="E355" i="49"/>
  <c r="F83" i="49"/>
  <c r="E141" i="49"/>
  <c r="E314" i="49"/>
  <c r="F253" i="49"/>
  <c r="E127" i="49"/>
  <c r="F321" i="49"/>
  <c r="E281" i="49"/>
  <c r="E90" i="49"/>
  <c r="E265" i="49"/>
  <c r="E67" i="49"/>
  <c r="E238" i="49"/>
  <c r="F266" i="49"/>
  <c r="E351" i="49"/>
  <c r="E250" i="49"/>
  <c r="E77" i="49"/>
  <c r="F178" i="49"/>
  <c r="F74" i="49"/>
  <c r="E103" i="49"/>
  <c r="E133" i="49"/>
  <c r="F292" i="49"/>
  <c r="E126" i="49"/>
  <c r="F80" i="49"/>
  <c r="E105" i="49"/>
  <c r="E334" i="49"/>
  <c r="E97" i="49"/>
  <c r="E353" i="49"/>
  <c r="E319" i="49"/>
  <c r="F110" i="49"/>
  <c r="E327" i="49"/>
  <c r="F271" i="49"/>
  <c r="F267" i="49"/>
  <c r="F109" i="49"/>
  <c r="F107" i="49"/>
  <c r="E120" i="49"/>
  <c r="F71" i="49"/>
  <c r="F324" i="49"/>
  <c r="F239" i="49"/>
  <c r="E193" i="49"/>
  <c r="F77" i="49"/>
  <c r="E247" i="49"/>
  <c r="E144" i="49"/>
  <c r="F274" i="49"/>
  <c r="F304" i="49"/>
  <c r="F69" i="49"/>
  <c r="E333" i="49"/>
  <c r="E313" i="49"/>
  <c r="E156" i="49"/>
  <c r="F372" i="49"/>
  <c r="E191" i="49"/>
  <c r="E64" i="49"/>
  <c r="E285" i="49"/>
  <c r="E165" i="49"/>
  <c r="F195" i="49"/>
  <c r="F345" i="49"/>
  <c r="E369" i="49"/>
  <c r="E143" i="49"/>
  <c r="E340" i="49"/>
  <c r="F309" i="49"/>
  <c r="F294" i="49"/>
  <c r="E317" i="49"/>
  <c r="F39" i="49"/>
  <c r="F87" i="49"/>
  <c r="F257" i="49"/>
  <c r="F291" i="49"/>
  <c r="F316" i="49"/>
  <c r="E347" i="49"/>
  <c r="F227" i="49"/>
  <c r="E303" i="49"/>
  <c r="E138" i="49"/>
  <c r="F93" i="49"/>
  <c r="E52" i="49"/>
  <c r="F348" i="49"/>
  <c r="F31" i="49"/>
  <c r="E276" i="49"/>
  <c r="F297" i="49"/>
  <c r="E101" i="49"/>
  <c r="F34" i="49"/>
  <c r="E374" i="49"/>
  <c r="F181" i="49"/>
  <c r="E83" i="49"/>
  <c r="F287" i="49"/>
  <c r="F169" i="49"/>
  <c r="E163" i="49"/>
  <c r="F381" i="49"/>
  <c r="E227" i="49"/>
  <c r="E260" i="49"/>
  <c r="F213" i="49"/>
  <c r="F203" i="49"/>
  <c r="E348" i="49"/>
  <c r="E198" i="49"/>
  <c r="F320" i="49"/>
  <c r="F344" i="49"/>
  <c r="F41" i="49"/>
  <c r="E332" i="49"/>
  <c r="F146" i="49"/>
  <c r="E292" i="49"/>
  <c r="E379" i="49"/>
  <c r="E289" i="49"/>
  <c r="F276" i="49"/>
  <c r="E85" i="49"/>
  <c r="F51" i="49"/>
  <c r="F235" i="49"/>
  <c r="F255" i="49"/>
  <c r="F373" i="49"/>
  <c r="E356" i="49"/>
  <c r="E343" i="49"/>
  <c r="F154" i="49"/>
  <c r="F116" i="49"/>
  <c r="E116" i="49"/>
  <c r="F164" i="49"/>
  <c r="E92" i="49"/>
  <c r="E315" i="49"/>
  <c r="F157" i="49"/>
  <c r="E142" i="49"/>
  <c r="E299" i="49"/>
  <c r="E308" i="49"/>
  <c r="E41" i="49"/>
  <c r="E251" i="49"/>
  <c r="F208" i="49"/>
  <c r="F86" i="49"/>
  <c r="F129" i="49"/>
  <c r="E256" i="49"/>
  <c r="E207" i="49"/>
  <c r="F353" i="49"/>
  <c r="F126" i="49"/>
  <c r="E213" i="49"/>
  <c r="F170" i="49"/>
  <c r="F168" i="49"/>
  <c r="F295" i="49"/>
  <c r="E201" i="49"/>
  <c r="E219" i="49"/>
  <c r="E375" i="49"/>
  <c r="F388" i="49"/>
  <c r="F333" i="49"/>
  <c r="F284" i="49"/>
  <c r="F312" i="49"/>
  <c r="F160" i="49"/>
  <c r="E234" i="49"/>
  <c r="E159" i="49"/>
  <c r="F143" i="49"/>
  <c r="F57" i="49"/>
  <c r="E146" i="49"/>
  <c r="F367" i="49"/>
  <c r="F84" i="49"/>
  <c r="F58" i="49"/>
  <c r="F127" i="49"/>
  <c r="F130" i="49"/>
  <c r="E385" i="49"/>
  <c r="F248" i="49"/>
  <c r="E74" i="49"/>
  <c r="E249" i="49"/>
  <c r="E100" i="49"/>
  <c r="F261" i="49"/>
  <c r="F89" i="49"/>
  <c r="F331" i="49"/>
  <c r="E323" i="49"/>
  <c r="F132" i="49"/>
  <c r="E58" i="49"/>
  <c r="F113" i="49"/>
  <c r="E277" i="49"/>
  <c r="F149" i="49"/>
  <c r="E106" i="49"/>
  <c r="F303" i="49"/>
  <c r="E261" i="49"/>
  <c r="E335" i="49"/>
  <c r="E342" i="49"/>
  <c r="E378" i="49"/>
  <c r="E132" i="49"/>
  <c r="F335" i="49"/>
  <c r="F365" i="49"/>
  <c r="E108" i="49"/>
  <c r="F379" i="49"/>
  <c r="E275" i="49"/>
  <c r="F61" i="49"/>
  <c r="F212" i="49"/>
  <c r="F200" i="49"/>
  <c r="F207" i="49"/>
  <c r="F180" i="49"/>
  <c r="E283" i="49"/>
  <c r="E140" i="49"/>
  <c r="E273" i="49"/>
  <c r="E29" i="49"/>
  <c r="E244" i="49"/>
  <c r="F46" i="49"/>
  <c r="E188" i="49"/>
  <c r="E42" i="49"/>
  <c r="E185" i="49"/>
  <c r="E75" i="49"/>
  <c r="F47" i="49"/>
  <c r="E297" i="49"/>
  <c r="F67" i="49"/>
  <c r="E175" i="49"/>
  <c r="E59" i="49"/>
  <c r="E99" i="49"/>
  <c r="F310" i="49"/>
  <c r="E122" i="49"/>
  <c r="F380" i="49"/>
  <c r="F99" i="49"/>
  <c r="E135" i="49"/>
  <c r="F177" i="49"/>
  <c r="F73" i="49"/>
  <c r="E304" i="49"/>
  <c r="F172" i="49"/>
  <c r="F95" i="49"/>
  <c r="F329" i="49"/>
  <c r="E293" i="49"/>
  <c r="E184" i="49"/>
  <c r="E210" i="49"/>
  <c r="E173" i="49"/>
  <c r="F358" i="49"/>
  <c r="F210" i="49"/>
  <c r="E382" i="49"/>
  <c r="E38" i="49"/>
  <c r="F311" i="49"/>
  <c r="E300" i="49"/>
  <c r="F237" i="49"/>
  <c r="F230" i="49"/>
  <c r="F81" i="49"/>
  <c r="F251" i="49"/>
  <c r="F211" i="49"/>
  <c r="F234" i="49"/>
  <c r="E360" i="49"/>
  <c r="F317" i="49"/>
  <c r="F161" i="49"/>
  <c r="E49" i="49"/>
  <c r="F215" i="49"/>
  <c r="E149" i="49"/>
  <c r="E40" i="49"/>
  <c r="E222" i="49"/>
  <c r="F240" i="49"/>
  <c r="E311" i="49"/>
  <c r="E209" i="49"/>
  <c r="E63" i="49"/>
  <c r="F155" i="49"/>
  <c r="F204" i="49"/>
  <c r="F52" i="49"/>
  <c r="F60" i="49"/>
  <c r="F136" i="49"/>
  <c r="F202" i="49"/>
  <c r="E231" i="49"/>
  <c r="F370" i="49"/>
  <c r="F189" i="49"/>
  <c r="F236" i="49"/>
  <c r="E56" i="49"/>
  <c r="F117" i="49"/>
  <c r="F100" i="49"/>
  <c r="F293" i="49"/>
  <c r="E57" i="49"/>
  <c r="E324" i="49"/>
  <c r="F330" i="49"/>
  <c r="E372" i="49"/>
  <c r="F285" i="49"/>
  <c r="F145" i="49"/>
  <c r="E295" i="49"/>
  <c r="E337" i="49"/>
  <c r="F171" i="49"/>
  <c r="F302" i="49"/>
  <c r="E345" i="49"/>
  <c r="F35" i="49"/>
  <c r="E320" i="49"/>
  <c r="E361" i="49"/>
  <c r="E176" i="49"/>
  <c r="F163" i="49"/>
  <c r="F118" i="49"/>
  <c r="E199" i="49"/>
  <c r="E373" i="49"/>
  <c r="F96" i="49"/>
  <c r="E217" i="49"/>
  <c r="F371" i="49"/>
  <c r="F363" i="49"/>
  <c r="E31" i="49"/>
  <c r="F280" i="49"/>
  <c r="E33" i="49"/>
  <c r="E87" i="49"/>
  <c r="E136" i="49"/>
  <c r="E153" i="49"/>
  <c r="F147" i="49"/>
  <c r="F334" i="49"/>
  <c r="E111" i="49"/>
  <c r="F222" i="49"/>
  <c r="E255" i="49"/>
  <c r="F193" i="49"/>
  <c r="F308" i="49"/>
  <c r="F282" i="49"/>
  <c r="E35" i="49"/>
  <c r="E167" i="49"/>
  <c r="F33" i="49"/>
  <c r="F201" i="49"/>
  <c r="F315" i="49"/>
  <c r="E338" i="49"/>
  <c r="F347" i="49"/>
  <c r="F120" i="49"/>
  <c r="E137" i="49"/>
  <c r="E51" i="49"/>
  <c r="E328" i="49"/>
  <c r="E182" i="49"/>
  <c r="F289" i="49"/>
  <c r="E113" i="49"/>
  <c r="E170" i="49"/>
  <c r="F264" i="49"/>
  <c r="F298" i="49"/>
  <c r="E98" i="49"/>
  <c r="F112" i="49"/>
  <c r="E197" i="49"/>
  <c r="F340" i="49"/>
  <c r="E179" i="49"/>
  <c r="E89" i="49"/>
  <c r="E274" i="49"/>
  <c r="F54" i="49"/>
  <c r="F66" i="49"/>
  <c r="E60" i="49"/>
  <c r="E388" i="49"/>
  <c r="F106" i="49"/>
  <c r="F231" i="49"/>
  <c r="E115" i="49"/>
  <c r="F225" i="49"/>
  <c r="E112" i="49"/>
  <c r="F341" i="49"/>
  <c r="E206" i="49"/>
  <c r="E298" i="49"/>
  <c r="F48" i="49"/>
  <c r="E205" i="49"/>
  <c r="E88" i="49"/>
  <c r="E246" i="49"/>
  <c r="E93" i="49"/>
  <c r="F135" i="49"/>
  <c r="E350" i="49"/>
  <c r="E171" i="49"/>
  <c r="E178" i="49"/>
  <c r="F374" i="49"/>
  <c r="F364" i="49"/>
  <c r="E183" i="49"/>
  <c r="E309" i="49"/>
  <c r="E349" i="49"/>
  <c r="E147" i="49"/>
  <c r="E301" i="49"/>
  <c r="F220" i="49"/>
  <c r="F366" i="49"/>
  <c r="D29" i="49"/>
  <c r="F75" i="49"/>
  <c r="E321" i="49"/>
  <c r="F174" i="49"/>
  <c r="F133" i="49"/>
  <c r="F151" i="49"/>
  <c r="F153" i="49"/>
  <c r="E151" i="49"/>
  <c r="F221" i="49"/>
  <c r="F121" i="49"/>
  <c r="F249" i="49"/>
  <c r="F243" i="49"/>
  <c r="F252" i="49"/>
  <c r="F270" i="49"/>
  <c r="E230" i="49"/>
  <c r="E364" i="49"/>
  <c r="F232" i="49"/>
  <c r="F224" i="49"/>
  <c r="F167" i="49"/>
  <c r="F59" i="49"/>
  <c r="F279" i="49"/>
  <c r="F356" i="49"/>
  <c r="E54" i="49"/>
  <c r="F105" i="49"/>
  <c r="F68" i="49"/>
  <c r="F156" i="49"/>
  <c r="E84" i="49"/>
  <c r="E119" i="49"/>
  <c r="E91" i="49"/>
  <c r="E121" i="49"/>
  <c r="F30" i="49"/>
  <c r="E220" i="49"/>
  <c r="F187" i="49"/>
  <c r="F190" i="49"/>
  <c r="F114" i="49"/>
  <c r="E158" i="49"/>
  <c r="F256" i="49"/>
  <c r="F286" i="49"/>
  <c r="F359" i="49"/>
  <c r="F158" i="49"/>
  <c r="E248" i="49"/>
  <c r="F188" i="49"/>
  <c r="E169" i="49"/>
  <c r="F141" i="49"/>
  <c r="F199" i="49"/>
  <c r="E66" i="49"/>
  <c r="F32" i="49"/>
  <c r="F43" i="49"/>
  <c r="F377" i="49"/>
  <c r="F216" i="49"/>
  <c r="F229" i="49"/>
  <c r="E164" i="49"/>
  <c r="F268" i="49"/>
  <c r="E371" i="49"/>
  <c r="E161" i="49"/>
  <c r="E223" i="49"/>
  <c r="E284" i="49"/>
  <c r="F357" i="49"/>
  <c r="E65" i="49"/>
  <c r="F196" i="49"/>
  <c r="F56" i="49"/>
  <c r="E322" i="49"/>
  <c r="E365" i="49"/>
  <c r="E252" i="49"/>
  <c r="E72" i="49"/>
  <c r="F326" i="49"/>
  <c r="F226" i="49"/>
  <c r="F82" i="49"/>
  <c r="E39" i="49"/>
  <c r="E270" i="49"/>
  <c r="E166" i="49"/>
  <c r="E145" i="49"/>
  <c r="F91" i="49"/>
  <c r="E290" i="49"/>
  <c r="E125" i="49"/>
  <c r="E221" i="49"/>
  <c r="F228" i="49"/>
  <c r="E114" i="49"/>
  <c r="F250" i="49"/>
  <c r="E211" i="49"/>
  <c r="E160" i="49"/>
  <c r="E157" i="49"/>
  <c r="F273" i="49"/>
  <c r="F150" i="49"/>
  <c r="E346" i="49"/>
  <c r="E150" i="49"/>
  <c r="E79" i="49"/>
  <c r="F166" i="49"/>
  <c r="F125" i="49"/>
  <c r="F306" i="49"/>
  <c r="F103" i="49"/>
  <c r="F49" i="49"/>
  <c r="E310" i="49"/>
  <c r="E286" i="49"/>
  <c r="F269" i="49"/>
  <c r="E288" i="49"/>
  <c r="E344" i="49"/>
  <c r="F63" i="49"/>
  <c r="F183" i="49"/>
  <c r="E109" i="49"/>
  <c r="E204" i="49"/>
  <c r="F42" i="49"/>
  <c r="E168" i="49"/>
  <c r="F383" i="49"/>
  <c r="E239" i="49"/>
  <c r="E233" i="49"/>
  <c r="E76" i="49"/>
  <c r="E312" i="49"/>
  <c r="F142" i="49"/>
  <c r="E387" i="49"/>
  <c r="E155" i="49"/>
  <c r="E296" i="49"/>
  <c r="F241" i="49"/>
  <c r="F128" i="49"/>
  <c r="F50" i="49"/>
  <c r="F65" i="49"/>
  <c r="F375" i="49"/>
  <c r="E294" i="49"/>
  <c r="F72" i="49"/>
  <c r="F205" i="49"/>
  <c r="F148" i="49"/>
  <c r="E62" i="49"/>
  <c r="F162" i="49"/>
  <c r="E61" i="49"/>
  <c r="F278" i="49"/>
  <c r="E241" i="49"/>
  <c r="E177" i="49"/>
  <c r="F144" i="49"/>
  <c r="F328" i="49"/>
  <c r="F44" i="49"/>
  <c r="F233" i="49"/>
  <c r="E215" i="49"/>
  <c r="F337" i="49"/>
  <c r="E212" i="49"/>
  <c r="F332" i="49"/>
  <c r="F98" i="49"/>
  <c r="E48" i="49"/>
  <c r="E152" i="49"/>
  <c r="E180" i="49"/>
  <c r="F351" i="49"/>
  <c r="E383" i="49"/>
  <c r="F191" i="49"/>
  <c r="E318" i="49"/>
  <c r="F352" i="49"/>
  <c r="F259" i="49"/>
  <c r="F283" i="49"/>
  <c r="E287" i="49"/>
  <c r="E134" i="49"/>
  <c r="E192" i="49"/>
  <c r="E384" i="49"/>
  <c r="F384" i="49"/>
  <c r="E376" i="49"/>
  <c r="F296" i="49"/>
  <c r="E291" i="49"/>
  <c r="E341" i="49"/>
  <c r="E34" i="49"/>
  <c r="F88" i="49"/>
  <c r="E235" i="49"/>
  <c r="BK101" i="57"/>
  <c r="N101" i="57"/>
  <c r="N100" i="57"/>
  <c r="P51" i="2"/>
  <c r="BL91" i="57"/>
  <c r="BM91" i="57"/>
  <c r="BN91" i="57"/>
  <c r="BO91" i="57"/>
  <c r="BP91" i="57"/>
  <c r="BR91" i="57"/>
  <c r="BT91" i="57"/>
  <c r="BV91" i="57"/>
  <c r="BX91" i="57"/>
  <c r="BY91" i="57"/>
  <c r="BZ91" i="57"/>
  <c r="CB91" i="57"/>
  <c r="CD91" i="57"/>
  <c r="CE91" i="57"/>
  <c r="CF91" i="57"/>
  <c r="CG91" i="57"/>
  <c r="CH91" i="57"/>
  <c r="CJ91" i="57"/>
  <c r="CK91" i="57"/>
  <c r="CL91" i="57"/>
  <c r="CN91" i="57"/>
  <c r="CP91" i="57"/>
  <c r="CQ91" i="57"/>
  <c r="CR91" i="57"/>
  <c r="CT91" i="57"/>
  <c r="CV91" i="57"/>
  <c r="CW91" i="57"/>
  <c r="CX91" i="57"/>
  <c r="CZ91" i="57"/>
  <c r="DB91" i="57"/>
  <c r="DC91" i="57"/>
  <c r="DD91" i="57"/>
  <c r="DE91" i="57"/>
  <c r="DF91" i="57"/>
  <c r="DG91" i="57"/>
  <c r="CX96" i="32"/>
  <c r="BT96" i="32"/>
  <c r="DC96" i="32"/>
  <c r="BK91" i="57"/>
  <c r="BQ91" i="57"/>
  <c r="BS91" i="57"/>
  <c r="BU91" i="57"/>
  <c r="BW91" i="57"/>
  <c r="CA91" i="57"/>
  <c r="CC91" i="57"/>
  <c r="CI91" i="57"/>
  <c r="CM91" i="57"/>
  <c r="CO91" i="57"/>
  <c r="CS91" i="57"/>
  <c r="CU91" i="57"/>
  <c r="CY91" i="57"/>
  <c r="DA91" i="57"/>
  <c r="CD96" i="32"/>
  <c r="CT96" i="32"/>
  <c r="BN96" i="32"/>
  <c r="CQ96" i="32"/>
  <c r="BY96" i="32"/>
  <c r="CY96" i="32"/>
  <c r="CV96" i="32"/>
  <c r="CO96" i="32"/>
  <c r="CL96" i="32"/>
  <c r="CJ96" i="32"/>
  <c r="CK96" i="32"/>
  <c r="CF96" i="32"/>
  <c r="CU96" i="32"/>
  <c r="DF96" i="32"/>
  <c r="CR96" i="32"/>
  <c r="CN96" i="32"/>
  <c r="DD96" i="32"/>
  <c r="BP96" i="32"/>
  <c r="CS96" i="32"/>
  <c r="DA96" i="32"/>
  <c r="BU96" i="32"/>
  <c r="BS96" i="32"/>
  <c r="CC96" i="32"/>
  <c r="BM96" i="32"/>
  <c r="CH96" i="32"/>
  <c r="BR96" i="32"/>
  <c r="CM96" i="32"/>
  <c r="CG96" i="32"/>
  <c r="CZ96" i="32"/>
  <c r="BV96" i="32"/>
  <c r="BW96" i="32"/>
  <c r="DG96" i="32"/>
  <c r="DG116" i="32"/>
  <c r="BZ96" i="32"/>
  <c r="CA96" i="32"/>
  <c r="BQ96" i="32"/>
  <c r="CI96" i="32"/>
  <c r="DE96" i="32"/>
  <c r="BL96" i="32"/>
  <c r="CP96" i="32"/>
  <c r="CW96" i="32"/>
  <c r="BO96" i="32"/>
  <c r="DB96" i="32"/>
  <c r="BK96" i="32"/>
  <c r="BX96" i="32"/>
  <c r="CE96" i="32"/>
  <c r="CB96" i="32"/>
  <c r="BK106" i="32"/>
  <c r="N105" i="32"/>
  <c r="H79" i="40"/>
  <c r="C79" i="40"/>
  <c r="E86" i="40"/>
  <c r="N68" i="2"/>
  <c r="N92" i="32"/>
  <c r="G29" i="49"/>
  <c r="D30" i="49"/>
  <c r="G30" i="49"/>
  <c r="D31" i="49"/>
  <c r="G31" i="49"/>
  <c r="D32" i="49"/>
  <c r="G32" i="49"/>
  <c r="D33" i="49"/>
  <c r="G33" i="49"/>
  <c r="D34" i="49"/>
  <c r="G34" i="49"/>
  <c r="D35" i="49"/>
  <c r="G35" i="49"/>
  <c r="D36" i="49"/>
  <c r="G36" i="49"/>
  <c r="D37" i="49"/>
  <c r="G37" i="49"/>
  <c r="D38" i="49"/>
  <c r="G38" i="49"/>
  <c r="D39" i="49"/>
  <c r="G39" i="49"/>
  <c r="D40" i="49"/>
  <c r="G40" i="49"/>
  <c r="DG98" i="32"/>
  <c r="DG102" i="32"/>
  <c r="G23" i="49"/>
  <c r="G14" i="49"/>
  <c r="F14" i="49"/>
  <c r="CB116" i="32"/>
  <c r="CB98" i="32"/>
  <c r="J70" i="40"/>
  <c r="BX116" i="32"/>
  <c r="BX98" i="32"/>
  <c r="DB116" i="32"/>
  <c r="DB98" i="32"/>
  <c r="CW116" i="32"/>
  <c r="CW98" i="32"/>
  <c r="I70" i="40"/>
  <c r="BL116" i="32"/>
  <c r="BL98" i="32"/>
  <c r="CI116" i="32"/>
  <c r="CI98" i="32"/>
  <c r="CA116" i="32"/>
  <c r="CA98" i="32"/>
  <c r="BV116" i="32"/>
  <c r="BV98" i="32"/>
  <c r="CG116" i="32"/>
  <c r="CG98" i="32"/>
  <c r="BR116" i="32"/>
  <c r="BR98" i="32"/>
  <c r="BM116" i="32"/>
  <c r="BM98" i="32"/>
  <c r="BS116" i="32"/>
  <c r="BS98" i="32"/>
  <c r="DA116" i="32"/>
  <c r="DA98" i="32"/>
  <c r="BP116" i="32"/>
  <c r="BP98" i="32"/>
  <c r="CN116" i="32"/>
  <c r="CN98" i="32"/>
  <c r="DF116" i="32"/>
  <c r="DF98" i="32"/>
  <c r="CF116" i="32"/>
  <c r="CF98" i="32"/>
  <c r="K70" i="40"/>
  <c r="CJ116" i="32"/>
  <c r="CJ98" i="32"/>
  <c r="CO116" i="32"/>
  <c r="CO98" i="32"/>
  <c r="CY116" i="32"/>
  <c r="CY98" i="32"/>
  <c r="CQ116" i="32"/>
  <c r="CQ98" i="32"/>
  <c r="CT116" i="32"/>
  <c r="CT98" i="32"/>
  <c r="DA111" i="57"/>
  <c r="DA93" i="57"/>
  <c r="CU111" i="57"/>
  <c r="CU93" i="57"/>
  <c r="CO111" i="57"/>
  <c r="CO93" i="57"/>
  <c r="CI111" i="57"/>
  <c r="CI93" i="57"/>
  <c r="CA111" i="57"/>
  <c r="CA93" i="57"/>
  <c r="BU111" i="57"/>
  <c r="BU93" i="57"/>
  <c r="BQ111" i="57"/>
  <c r="BQ93" i="57"/>
  <c r="DC116" i="32"/>
  <c r="DC98" i="32"/>
  <c r="CX116" i="32"/>
  <c r="CX98" i="32"/>
  <c r="DF111" i="57"/>
  <c r="DF93" i="57"/>
  <c r="DD111" i="57"/>
  <c r="DD93" i="57"/>
  <c r="DB111" i="57"/>
  <c r="DB93" i="57"/>
  <c r="CX111" i="57"/>
  <c r="CX93" i="57"/>
  <c r="CV111" i="57"/>
  <c r="CV93" i="57"/>
  <c r="CR111" i="57"/>
  <c r="CR93" i="57"/>
  <c r="CP111" i="57"/>
  <c r="CP93" i="57"/>
  <c r="CL111" i="57"/>
  <c r="CL93" i="57"/>
  <c r="CJ111" i="57"/>
  <c r="CJ93" i="57"/>
  <c r="CG111" i="57"/>
  <c r="CG93" i="57"/>
  <c r="CE111" i="57"/>
  <c r="CE93" i="57"/>
  <c r="CB111" i="57"/>
  <c r="CB93" i="57"/>
  <c r="BY111" i="57"/>
  <c r="BY93" i="57"/>
  <c r="BV111" i="57"/>
  <c r="BV93" i="57"/>
  <c r="BR111" i="57"/>
  <c r="BR93" i="57"/>
  <c r="BO111" i="57"/>
  <c r="BO93" i="57"/>
  <c r="BM111" i="57"/>
  <c r="BM93" i="57"/>
  <c r="H80" i="40"/>
  <c r="C80" i="40"/>
  <c r="N106" i="32"/>
  <c r="CE116" i="32"/>
  <c r="CE98" i="32"/>
  <c r="N96" i="32"/>
  <c r="H70" i="40"/>
  <c r="BK116" i="32"/>
  <c r="BK98" i="32"/>
  <c r="BO116" i="32"/>
  <c r="BO98" i="32"/>
  <c r="CP116" i="32"/>
  <c r="CP98" i="32"/>
  <c r="DE116" i="32"/>
  <c r="DE98" i="32"/>
  <c r="BQ116" i="32"/>
  <c r="BQ98" i="32"/>
  <c r="BZ116" i="32"/>
  <c r="BZ98" i="32"/>
  <c r="BW116" i="32"/>
  <c r="BW98" i="32"/>
  <c r="CZ116" i="32"/>
  <c r="CZ98" i="32"/>
  <c r="CM116" i="32"/>
  <c r="CM98" i="32"/>
  <c r="CH116" i="32"/>
  <c r="CH98" i="32"/>
  <c r="CC116" i="32"/>
  <c r="CC98" i="32"/>
  <c r="BU116" i="32"/>
  <c r="BU98" i="32"/>
  <c r="CS116" i="32"/>
  <c r="CS98" i="32"/>
  <c r="DD116" i="32"/>
  <c r="DD98" i="32"/>
  <c r="CR116" i="32"/>
  <c r="CR98" i="32"/>
  <c r="CU116" i="32"/>
  <c r="CU98" i="32"/>
  <c r="CK116" i="32"/>
  <c r="CK98" i="32"/>
  <c r="CL116" i="32"/>
  <c r="CL98" i="32"/>
  <c r="L70" i="40"/>
  <c r="CV116" i="32"/>
  <c r="CV98" i="32"/>
  <c r="BY116" i="32"/>
  <c r="BY98" i="32"/>
  <c r="BN116" i="32"/>
  <c r="BN98" i="32"/>
  <c r="CD116" i="32"/>
  <c r="CD98" i="32"/>
  <c r="CY111" i="57"/>
  <c r="CY93" i="57"/>
  <c r="CS111" i="57"/>
  <c r="CS93" i="57"/>
  <c r="CM111" i="57"/>
  <c r="CM93" i="57"/>
  <c r="CC111" i="57"/>
  <c r="CC93" i="57"/>
  <c r="BW111" i="57"/>
  <c r="BW93" i="57"/>
  <c r="BS111" i="57"/>
  <c r="BS93" i="57"/>
  <c r="N91" i="57"/>
  <c r="BK93" i="57"/>
  <c r="BK111" i="57"/>
  <c r="BT116" i="32"/>
  <c r="BT98" i="32"/>
  <c r="DG111" i="57"/>
  <c r="DG93" i="57"/>
  <c r="DE111" i="57"/>
  <c r="DE93" i="57"/>
  <c r="DC111" i="57"/>
  <c r="DC93" i="57"/>
  <c r="CZ111" i="57"/>
  <c r="CZ93" i="57"/>
  <c r="CW111" i="57"/>
  <c r="CW93" i="57"/>
  <c r="CT111" i="57"/>
  <c r="CT93" i="57"/>
  <c r="CQ111" i="57"/>
  <c r="CQ93" i="57"/>
  <c r="CN111" i="57"/>
  <c r="CN93" i="57"/>
  <c r="CK111" i="57"/>
  <c r="CK93" i="57"/>
  <c r="CH111" i="57"/>
  <c r="CH93" i="57"/>
  <c r="CF111" i="57"/>
  <c r="CF93" i="57"/>
  <c r="CD111" i="57"/>
  <c r="CD93" i="57"/>
  <c r="BZ111" i="57"/>
  <c r="BZ93" i="57"/>
  <c r="BX111" i="57"/>
  <c r="BX93" i="57"/>
  <c r="BT111" i="57"/>
  <c r="BT93" i="57"/>
  <c r="BP111" i="57"/>
  <c r="BP93" i="57"/>
  <c r="BN111" i="57"/>
  <c r="BN93" i="57"/>
  <c r="BL111" i="57"/>
  <c r="BL93" i="57"/>
  <c r="G9" i="49"/>
  <c r="F23" i="49"/>
  <c r="F22" i="49"/>
  <c r="F20" i="49"/>
  <c r="F13" i="49"/>
  <c r="F21" i="49"/>
  <c r="G17" i="49"/>
  <c r="F6" i="49"/>
  <c r="G11" i="49"/>
  <c r="F12" i="49"/>
  <c r="F8" i="49"/>
  <c r="G6" i="49"/>
  <c r="G21" i="49"/>
  <c r="G18" i="49"/>
  <c r="G8" i="49"/>
  <c r="G20" i="49"/>
  <c r="F9" i="49"/>
  <c r="F17" i="49"/>
  <c r="G22" i="49"/>
  <c r="F11" i="49"/>
  <c r="F15" i="49"/>
  <c r="F16" i="49"/>
  <c r="F18" i="49"/>
  <c r="F19" i="49"/>
  <c r="G16" i="49"/>
  <c r="G13" i="49"/>
  <c r="F7" i="49"/>
  <c r="G7" i="49"/>
  <c r="G25" i="49"/>
  <c r="G10" i="49"/>
  <c r="F10" i="49"/>
  <c r="G19" i="49"/>
  <c r="F24" i="49"/>
  <c r="G15" i="49"/>
  <c r="G24" i="49"/>
  <c r="F25" i="49"/>
  <c r="G12" i="49"/>
  <c r="DG101" i="32"/>
  <c r="BN104" i="57"/>
  <c r="BN109" i="57"/>
  <c r="BN96" i="57"/>
  <c r="BN97" i="57"/>
  <c r="BT96" i="57"/>
  <c r="BT104" i="57"/>
  <c r="BT109" i="57"/>
  <c r="BT97" i="57"/>
  <c r="CD96" i="57"/>
  <c r="CD104" i="57"/>
  <c r="CD109" i="57"/>
  <c r="CD97" i="57"/>
  <c r="CH104" i="57"/>
  <c r="CH109" i="57"/>
  <c r="CH96" i="57"/>
  <c r="CH97" i="57"/>
  <c r="CN97" i="57"/>
  <c r="CN96" i="57"/>
  <c r="CN104" i="57"/>
  <c r="CN109" i="57"/>
  <c r="CQ96" i="57"/>
  <c r="CQ97" i="57"/>
  <c r="CQ104" i="57"/>
  <c r="CQ109" i="57"/>
  <c r="CW96" i="57"/>
  <c r="CW97" i="57"/>
  <c r="CW104" i="57"/>
  <c r="CW109" i="57"/>
  <c r="DC96" i="57"/>
  <c r="DC104" i="57"/>
  <c r="DC109" i="57"/>
  <c r="DC97" i="57"/>
  <c r="DE96" i="57"/>
  <c r="DE97" i="57"/>
  <c r="DE104" i="57"/>
  <c r="DE109" i="57"/>
  <c r="BT102" i="32"/>
  <c r="BT109" i="32"/>
  <c r="BT114" i="32"/>
  <c r="BT101" i="32"/>
  <c r="C70" i="40"/>
  <c r="H88" i="40"/>
  <c r="H72" i="40"/>
  <c r="CE109" i="32"/>
  <c r="CE114" i="32"/>
  <c r="CE101" i="32"/>
  <c r="CE102" i="32"/>
  <c r="BM104" i="57"/>
  <c r="BM109" i="57"/>
  <c r="BM96" i="57"/>
  <c r="BM97" i="57"/>
  <c r="BR96" i="57"/>
  <c r="BR104" i="57"/>
  <c r="BR109" i="57"/>
  <c r="BR97" i="57"/>
  <c r="BY96" i="57"/>
  <c r="BY97" i="57"/>
  <c r="BY104" i="57"/>
  <c r="BY109" i="57"/>
  <c r="CB97" i="57"/>
  <c r="CB104" i="57"/>
  <c r="CB109" i="57"/>
  <c r="CB96" i="57"/>
  <c r="CG96" i="57"/>
  <c r="CG104" i="57"/>
  <c r="CG109" i="57"/>
  <c r="CG97" i="57"/>
  <c r="CL97" i="57"/>
  <c r="CL96" i="57"/>
  <c r="CL104" i="57"/>
  <c r="CL109" i="57"/>
  <c r="CR96" i="57"/>
  <c r="CR97" i="57"/>
  <c r="CR104" i="57"/>
  <c r="CR109" i="57"/>
  <c r="CX96" i="57"/>
  <c r="CX97" i="57"/>
  <c r="CX104" i="57"/>
  <c r="CX109" i="57"/>
  <c r="DB96" i="57"/>
  <c r="DB97" i="57"/>
  <c r="DB104" i="57"/>
  <c r="DB109" i="57"/>
  <c r="DD96" i="57"/>
  <c r="DD97" i="57"/>
  <c r="DD104" i="57"/>
  <c r="DD109" i="57"/>
  <c r="DF96" i="57"/>
  <c r="DF97" i="57"/>
  <c r="DF104" i="57"/>
  <c r="DF109" i="57"/>
  <c r="DC109" i="32"/>
  <c r="DC114" i="32"/>
  <c r="DC102" i="32"/>
  <c r="DC101" i="32"/>
  <c r="BQ97" i="57"/>
  <c r="BQ104" i="57"/>
  <c r="BQ109" i="57"/>
  <c r="BQ96" i="57"/>
  <c r="BU96" i="57"/>
  <c r="BU97" i="57"/>
  <c r="BU104" i="57"/>
  <c r="BU109" i="57"/>
  <c r="CA104" i="57"/>
  <c r="CA109" i="57"/>
  <c r="CA96" i="57"/>
  <c r="CA97" i="57"/>
  <c r="CI96" i="57"/>
  <c r="CI97" i="57"/>
  <c r="CI104" i="57"/>
  <c r="CI109" i="57"/>
  <c r="CO97" i="57"/>
  <c r="CO96" i="57"/>
  <c r="CO104" i="57"/>
  <c r="CO109" i="57"/>
  <c r="CU96" i="57"/>
  <c r="CU104" i="57"/>
  <c r="CU109" i="57"/>
  <c r="CU97" i="57"/>
  <c r="DA96" i="57"/>
  <c r="DA97" i="57"/>
  <c r="DA104" i="57"/>
  <c r="DA109" i="57"/>
  <c r="CT102" i="32"/>
  <c r="CT109" i="32"/>
  <c r="CT114" i="32"/>
  <c r="CT101" i="32"/>
  <c r="CQ101" i="32"/>
  <c r="CQ109" i="32"/>
  <c r="CQ114" i="32"/>
  <c r="CQ102" i="32"/>
  <c r="CY109" i="32"/>
  <c r="CY114" i="32"/>
  <c r="CY101" i="32"/>
  <c r="CY102" i="32"/>
  <c r="CO101" i="32"/>
  <c r="CO102" i="32"/>
  <c r="CO109" i="32"/>
  <c r="CO114" i="32"/>
  <c r="CJ101" i="32"/>
  <c r="CJ102" i="32"/>
  <c r="CJ109" i="32"/>
  <c r="CJ114" i="32"/>
  <c r="K88" i="40"/>
  <c r="K72" i="40"/>
  <c r="K83" i="40"/>
  <c r="K86" i="40"/>
  <c r="CW102" i="32"/>
  <c r="CW101" i="32"/>
  <c r="CW109" i="32"/>
  <c r="CW114" i="32"/>
  <c r="DB101" i="32"/>
  <c r="DB102" i="32"/>
  <c r="DB109" i="32"/>
  <c r="DB114" i="32"/>
  <c r="BX102" i="32"/>
  <c r="BX109" i="32"/>
  <c r="BX114" i="32"/>
  <c r="BX101" i="32"/>
  <c r="J88" i="40"/>
  <c r="J72" i="40"/>
  <c r="J83" i="40"/>
  <c r="J86" i="40"/>
  <c r="D41" i="49"/>
  <c r="G41" i="49"/>
  <c r="D42" i="49"/>
  <c r="G42" i="49"/>
  <c r="D43" i="49"/>
  <c r="G43" i="49"/>
  <c r="D44" i="49"/>
  <c r="G44" i="49"/>
  <c r="D45" i="49"/>
  <c r="G45" i="49"/>
  <c r="D46" i="49"/>
  <c r="G46" i="49"/>
  <c r="D47" i="49"/>
  <c r="G47" i="49"/>
  <c r="D48" i="49"/>
  <c r="G48" i="49"/>
  <c r="D49" i="49"/>
  <c r="G49" i="49"/>
  <c r="D50" i="49"/>
  <c r="G50" i="49"/>
  <c r="D51" i="49"/>
  <c r="G51" i="49"/>
  <c r="D52" i="49"/>
  <c r="G52" i="49"/>
  <c r="H6" i="49"/>
  <c r="BL104" i="57"/>
  <c r="BL109" i="57"/>
  <c r="BL96" i="57"/>
  <c r="BL97" i="57"/>
  <c r="BP96" i="57"/>
  <c r="BP97" i="57"/>
  <c r="BP104" i="57"/>
  <c r="BP109" i="57"/>
  <c r="BX96" i="57"/>
  <c r="BX104" i="57"/>
  <c r="BX109" i="57"/>
  <c r="BX97" i="57"/>
  <c r="BZ96" i="57"/>
  <c r="BZ97" i="57"/>
  <c r="BZ104" i="57"/>
  <c r="BZ109" i="57"/>
  <c r="CF97" i="57"/>
  <c r="CF96" i="57"/>
  <c r="CF104" i="57"/>
  <c r="CF109" i="57"/>
  <c r="CK96" i="57"/>
  <c r="CK104" i="57"/>
  <c r="CK109" i="57"/>
  <c r="CK97" i="57"/>
  <c r="CT96" i="57"/>
  <c r="CT97" i="57"/>
  <c r="CT104" i="57"/>
  <c r="CT109" i="57"/>
  <c r="CZ96" i="57"/>
  <c r="CZ97" i="57"/>
  <c r="CZ104" i="57"/>
  <c r="CZ109" i="57"/>
  <c r="DG96" i="57"/>
  <c r="DG97" i="57"/>
  <c r="CL109" i="32"/>
  <c r="CL114" i="32"/>
  <c r="CL102" i="32"/>
  <c r="CL101" i="32"/>
  <c r="CK109" i="32"/>
  <c r="CK114" i="32"/>
  <c r="CK101" i="32"/>
  <c r="CK102" i="32"/>
  <c r="CU109" i="32"/>
  <c r="CU114" i="32"/>
  <c r="CU102" i="32"/>
  <c r="CU101" i="32"/>
  <c r="CR101" i="32"/>
  <c r="CR102" i="32"/>
  <c r="CR109" i="32"/>
  <c r="CR114" i="32"/>
  <c r="DD102" i="32"/>
  <c r="DD101" i="32"/>
  <c r="DD109" i="32"/>
  <c r="DD114" i="32"/>
  <c r="CS101" i="32"/>
  <c r="CS102" i="32"/>
  <c r="CS109" i="32"/>
  <c r="CS114" i="32"/>
  <c r="BU109" i="32"/>
  <c r="BU114" i="32"/>
  <c r="BU101" i="32"/>
  <c r="BU102" i="32"/>
  <c r="CC109" i="32"/>
  <c r="CC114" i="32"/>
  <c r="CC102" i="32"/>
  <c r="CC101" i="32"/>
  <c r="CH102" i="32"/>
  <c r="CH109" i="32"/>
  <c r="CH114" i="32"/>
  <c r="CH101" i="32"/>
  <c r="CM109" i="32"/>
  <c r="CM114" i="32"/>
  <c r="CM102" i="32"/>
  <c r="CM101" i="32"/>
  <c r="CZ101" i="32"/>
  <c r="CZ102" i="32"/>
  <c r="CZ109" i="32"/>
  <c r="CZ114" i="32"/>
  <c r="BW101" i="32"/>
  <c r="BW109" i="32"/>
  <c r="BW114" i="32"/>
  <c r="BW102" i="32"/>
  <c r="BZ109" i="32"/>
  <c r="BZ114" i="32"/>
  <c r="BZ102" i="32"/>
  <c r="BZ101" i="32"/>
  <c r="BQ102" i="32"/>
  <c r="BQ109" i="32"/>
  <c r="BQ114" i="32"/>
  <c r="BQ101" i="32"/>
  <c r="DE102" i="32"/>
  <c r="DE101" i="32"/>
  <c r="DE109" i="32"/>
  <c r="DE114" i="32"/>
  <c r="CP102" i="32"/>
  <c r="CP109" i="32"/>
  <c r="CP114" i="32"/>
  <c r="CP101" i="32"/>
  <c r="BO109" i="32"/>
  <c r="BO114" i="32"/>
  <c r="BO102" i="32"/>
  <c r="BO101" i="32"/>
  <c r="BK109" i="32"/>
  <c r="BK114" i="32"/>
  <c r="BK102" i="32"/>
  <c r="H76" i="40"/>
  <c r="BK101" i="32"/>
  <c r="H75" i="40"/>
  <c r="BO96" i="57"/>
  <c r="BO97" i="57"/>
  <c r="BO104" i="57"/>
  <c r="BO109" i="57"/>
  <c r="BV96" i="57"/>
  <c r="BV104" i="57"/>
  <c r="BV109" i="57"/>
  <c r="BV97" i="57"/>
  <c r="CE96" i="57"/>
  <c r="CE104" i="57"/>
  <c r="CE109" i="57"/>
  <c r="CE97" i="57"/>
  <c r="CJ104" i="57"/>
  <c r="CJ109" i="57"/>
  <c r="CJ96" i="57"/>
  <c r="CJ97" i="57"/>
  <c r="CP96" i="57"/>
  <c r="CP97" i="57"/>
  <c r="CP104" i="57"/>
  <c r="CP109" i="57"/>
  <c r="CV96" i="57"/>
  <c r="CV97" i="57"/>
  <c r="CV104" i="57"/>
  <c r="CV109" i="57"/>
  <c r="CX109" i="32"/>
  <c r="CX114" i="32"/>
  <c r="CX101" i="32"/>
  <c r="CX102" i="32"/>
  <c r="BK104" i="57"/>
  <c r="BK96" i="57"/>
  <c r="BK97" i="57"/>
  <c r="N93" i="57"/>
  <c r="BS96" i="57"/>
  <c r="BS104" i="57"/>
  <c r="BS109" i="57"/>
  <c r="BS97" i="57"/>
  <c r="BW96" i="57"/>
  <c r="BW104" i="57"/>
  <c r="BW109" i="57"/>
  <c r="BW97" i="57"/>
  <c r="CC96" i="57"/>
  <c r="CC97" i="57"/>
  <c r="CC104" i="57"/>
  <c r="CC109" i="57"/>
  <c r="CM97" i="57"/>
  <c r="CM96" i="57"/>
  <c r="CM104" i="57"/>
  <c r="CM109" i="57"/>
  <c r="CS96" i="57"/>
  <c r="CS97" i="57"/>
  <c r="CS104" i="57"/>
  <c r="CS109" i="57"/>
  <c r="CY96" i="57"/>
  <c r="CY97" i="57"/>
  <c r="CY104" i="57"/>
  <c r="CY109" i="57"/>
  <c r="CD109" i="32"/>
  <c r="CD114" i="32"/>
  <c r="CD101" i="32"/>
  <c r="CD102" i="32"/>
  <c r="BN101" i="32"/>
  <c r="BN102" i="32"/>
  <c r="BN109" i="32"/>
  <c r="BN114" i="32"/>
  <c r="BY102" i="32"/>
  <c r="BY101" i="32"/>
  <c r="BY109" i="32"/>
  <c r="BY114" i="32"/>
  <c r="CV109" i="32"/>
  <c r="CV114" i="32"/>
  <c r="CV101" i="32"/>
  <c r="CV102" i="32"/>
  <c r="L88" i="40"/>
  <c r="L72" i="40"/>
  <c r="CF109" i="32"/>
  <c r="CF114" i="32"/>
  <c r="CF101" i="32"/>
  <c r="CF102" i="32"/>
  <c r="DF102" i="32"/>
  <c r="DF101" i="32"/>
  <c r="DF109" i="32"/>
  <c r="DF114" i="32"/>
  <c r="CN109" i="32"/>
  <c r="CN114" i="32"/>
  <c r="CN101" i="32"/>
  <c r="CN102" i="32"/>
  <c r="BP101" i="32"/>
  <c r="BP102" i="32"/>
  <c r="BP109" i="32"/>
  <c r="BP114" i="32"/>
  <c r="DA109" i="32"/>
  <c r="DA114" i="32"/>
  <c r="DA101" i="32"/>
  <c r="DA102" i="32"/>
  <c r="BS102" i="32"/>
  <c r="BS101" i="32"/>
  <c r="BS109" i="32"/>
  <c r="BS114" i="32"/>
  <c r="BM101" i="32"/>
  <c r="BM109" i="32"/>
  <c r="BM114" i="32"/>
  <c r="BM102" i="32"/>
  <c r="BR101" i="32"/>
  <c r="BR109" i="32"/>
  <c r="BR114" i="32"/>
  <c r="BR102" i="32"/>
  <c r="CG101" i="32"/>
  <c r="CG102" i="32"/>
  <c r="CG109" i="32"/>
  <c r="CG114" i="32"/>
  <c r="BV102" i="32"/>
  <c r="BV109" i="32"/>
  <c r="BV114" i="32"/>
  <c r="BV101" i="32"/>
  <c r="CA101" i="32"/>
  <c r="CA102" i="32"/>
  <c r="CA109" i="32"/>
  <c r="CA114" i="32"/>
  <c r="CI109" i="32"/>
  <c r="CI114" i="32"/>
  <c r="CI102" i="32"/>
  <c r="CI101" i="32"/>
  <c r="BL102" i="32"/>
  <c r="BL101" i="32"/>
  <c r="BL109" i="32"/>
  <c r="BL114" i="32"/>
  <c r="I88" i="40"/>
  <c r="I72" i="40"/>
  <c r="I83" i="40"/>
  <c r="I86" i="40"/>
  <c r="CB102" i="32"/>
  <c r="CB109" i="32"/>
  <c r="CB114" i="32"/>
  <c r="CB101" i="32"/>
  <c r="N98" i="32"/>
  <c r="L75" i="40"/>
  <c r="I75" i="40"/>
  <c r="L76" i="40"/>
  <c r="H83" i="40"/>
  <c r="H86" i="40"/>
  <c r="C72" i="40"/>
  <c r="BK109" i="57"/>
  <c r="H7" i="49"/>
  <c r="D53" i="49"/>
  <c r="G53" i="49"/>
  <c r="D54" i="49"/>
  <c r="G54" i="49"/>
  <c r="D55" i="49"/>
  <c r="G55" i="49"/>
  <c r="D56" i="49"/>
  <c r="G56" i="49"/>
  <c r="D57" i="49"/>
  <c r="G57" i="49"/>
  <c r="D58" i="49"/>
  <c r="G58" i="49"/>
  <c r="D59" i="49"/>
  <c r="G59" i="49"/>
  <c r="D60" i="49"/>
  <c r="G60" i="49"/>
  <c r="D61" i="49"/>
  <c r="G61" i="49"/>
  <c r="D62" i="49"/>
  <c r="G62" i="49"/>
  <c r="D63" i="49"/>
  <c r="G63" i="49"/>
  <c r="D64" i="49"/>
  <c r="G64" i="49"/>
  <c r="N96" i="57"/>
  <c r="L96" i="57"/>
  <c r="L98" i="57"/>
  <c r="N97" i="57"/>
  <c r="L97" i="57"/>
  <c r="J75" i="40"/>
  <c r="J76" i="40"/>
  <c r="K76" i="40"/>
  <c r="N102" i="32"/>
  <c r="L102" i="32"/>
  <c r="N101" i="32"/>
  <c r="I76" i="40"/>
  <c r="K75" i="40"/>
  <c r="S34" i="2"/>
  <c r="L101" i="32"/>
  <c r="L103" i="32"/>
  <c r="C76" i="40"/>
  <c r="C75" i="40"/>
  <c r="D65" i="49"/>
  <c r="G65" i="49"/>
  <c r="D66" i="49"/>
  <c r="G66" i="49"/>
  <c r="D67" i="49"/>
  <c r="G67" i="49"/>
  <c r="D68" i="49"/>
  <c r="G68" i="49"/>
  <c r="D69" i="49"/>
  <c r="G69" i="49"/>
  <c r="D70" i="49"/>
  <c r="G70" i="49"/>
  <c r="D71" i="49"/>
  <c r="G71" i="49"/>
  <c r="D72" i="49"/>
  <c r="G72" i="49"/>
  <c r="D73" i="49"/>
  <c r="G73" i="49"/>
  <c r="D74" i="49"/>
  <c r="G74" i="49"/>
  <c r="D75" i="49"/>
  <c r="G75" i="49"/>
  <c r="D76" i="49"/>
  <c r="G76" i="49"/>
  <c r="H8" i="49"/>
  <c r="H9" i="49"/>
  <c r="D77" i="49"/>
  <c r="G77" i="49"/>
  <c r="D78" i="49"/>
  <c r="G78" i="49"/>
  <c r="D79" i="49"/>
  <c r="G79" i="49"/>
  <c r="D80" i="49"/>
  <c r="G80" i="49"/>
  <c r="D81" i="49"/>
  <c r="G81" i="49"/>
  <c r="D82" i="49"/>
  <c r="G82" i="49"/>
  <c r="D83" i="49"/>
  <c r="G83" i="49"/>
  <c r="D84" i="49"/>
  <c r="G84" i="49"/>
  <c r="D85" i="49"/>
  <c r="G85" i="49"/>
  <c r="D86" i="49"/>
  <c r="G86" i="49"/>
  <c r="D87" i="49"/>
  <c r="G87" i="49"/>
  <c r="D88" i="49"/>
  <c r="G88" i="49"/>
  <c r="DG102" i="57"/>
  <c r="DG107" i="32"/>
  <c r="N102" i="57"/>
  <c r="DG104" i="57"/>
  <c r="N107" i="32"/>
  <c r="DG109" i="32"/>
  <c r="L81" i="40"/>
  <c r="H10" i="49"/>
  <c r="D89" i="49"/>
  <c r="G89" i="49"/>
  <c r="D90" i="49"/>
  <c r="G90" i="49"/>
  <c r="D91" i="49"/>
  <c r="G91" i="49"/>
  <c r="D92" i="49"/>
  <c r="G92" i="49"/>
  <c r="D93" i="49"/>
  <c r="G93" i="49"/>
  <c r="D94" i="49"/>
  <c r="G94" i="49"/>
  <c r="D95" i="49"/>
  <c r="G95" i="49"/>
  <c r="D96" i="49"/>
  <c r="G96" i="49"/>
  <c r="D97" i="49"/>
  <c r="G97" i="49"/>
  <c r="D98" i="49"/>
  <c r="G98" i="49"/>
  <c r="D99" i="49"/>
  <c r="G99" i="49"/>
  <c r="D100" i="49"/>
  <c r="G100" i="49"/>
  <c r="C81" i="40"/>
  <c r="L83" i="40"/>
  <c r="D101" i="49"/>
  <c r="G101" i="49"/>
  <c r="D102" i="49"/>
  <c r="G102" i="49"/>
  <c r="D103" i="49"/>
  <c r="G103" i="49"/>
  <c r="D104" i="49"/>
  <c r="G104" i="49"/>
  <c r="D105" i="49"/>
  <c r="G105" i="49"/>
  <c r="D106" i="49"/>
  <c r="G106" i="49"/>
  <c r="D107" i="49"/>
  <c r="G107" i="49"/>
  <c r="D108" i="49"/>
  <c r="G108" i="49"/>
  <c r="D109" i="49"/>
  <c r="G109" i="49"/>
  <c r="D110" i="49"/>
  <c r="G110" i="49"/>
  <c r="D111" i="49"/>
  <c r="G111" i="49"/>
  <c r="D112" i="49"/>
  <c r="G112" i="49"/>
  <c r="H11" i="49"/>
  <c r="DG114" i="32"/>
  <c r="N109" i="32"/>
  <c r="S32" i="2"/>
  <c r="S35" i="2"/>
  <c r="I111" i="32"/>
  <c r="S33" i="2"/>
  <c r="DG109" i="57"/>
  <c r="N104" i="57"/>
  <c r="I106" i="57"/>
  <c r="C86" i="2"/>
  <c r="C95" i="2"/>
  <c r="D113" i="49"/>
  <c r="G113" i="49"/>
  <c r="D114" i="49"/>
  <c r="G114" i="49"/>
  <c r="D115" i="49"/>
  <c r="G115" i="49"/>
  <c r="D116" i="49"/>
  <c r="G116" i="49"/>
  <c r="D117" i="49"/>
  <c r="G117" i="49"/>
  <c r="D118" i="49"/>
  <c r="G118" i="49"/>
  <c r="D119" i="49"/>
  <c r="G119" i="49"/>
  <c r="D120" i="49"/>
  <c r="G120" i="49"/>
  <c r="D121" i="49"/>
  <c r="G121" i="49"/>
  <c r="D122" i="49"/>
  <c r="G122" i="49"/>
  <c r="D123" i="49"/>
  <c r="G123" i="49"/>
  <c r="D124" i="49"/>
  <c r="G124" i="49"/>
  <c r="H12" i="49"/>
  <c r="C83" i="40"/>
  <c r="L86" i="40"/>
  <c r="H13" i="49"/>
  <c r="D125" i="49"/>
  <c r="G125" i="49"/>
  <c r="D126" i="49"/>
  <c r="G126" i="49"/>
  <c r="D127" i="49"/>
  <c r="G127" i="49"/>
  <c r="D128" i="49"/>
  <c r="G128" i="49"/>
  <c r="D129" i="49"/>
  <c r="G129" i="49"/>
  <c r="D130" i="49"/>
  <c r="G130" i="49"/>
  <c r="D131" i="49"/>
  <c r="G131" i="49"/>
  <c r="D132" i="49"/>
  <c r="G132" i="49"/>
  <c r="D133" i="49"/>
  <c r="G133" i="49"/>
  <c r="D134" i="49"/>
  <c r="G134" i="49"/>
  <c r="D135" i="49"/>
  <c r="G135" i="49"/>
  <c r="D136" i="49"/>
  <c r="G136" i="49"/>
  <c r="H14" i="49"/>
  <c r="D137" i="49"/>
  <c r="G137" i="49"/>
  <c r="D138" i="49"/>
  <c r="G138" i="49"/>
  <c r="D139" i="49"/>
  <c r="G139" i="49"/>
  <c r="D140" i="49"/>
  <c r="G140" i="49"/>
  <c r="D141" i="49"/>
  <c r="G141" i="49"/>
  <c r="D142" i="49"/>
  <c r="G142" i="49"/>
  <c r="D143" i="49"/>
  <c r="G143" i="49"/>
  <c r="D144" i="49"/>
  <c r="G144" i="49"/>
  <c r="D145" i="49"/>
  <c r="G145" i="49"/>
  <c r="D146" i="49"/>
  <c r="G146" i="49"/>
  <c r="D147" i="49"/>
  <c r="G147" i="49"/>
  <c r="D148" i="49"/>
  <c r="G148" i="49"/>
  <c r="D149" i="49"/>
  <c r="G149" i="49"/>
  <c r="D150" i="49"/>
  <c r="G150" i="49"/>
  <c r="D151" i="49"/>
  <c r="G151" i="49"/>
  <c r="D152" i="49"/>
  <c r="G152" i="49"/>
  <c r="D153" i="49"/>
  <c r="G153" i="49"/>
  <c r="D154" i="49"/>
  <c r="G154" i="49"/>
  <c r="D155" i="49"/>
  <c r="G155" i="49"/>
  <c r="D156" i="49"/>
  <c r="G156" i="49"/>
  <c r="D157" i="49"/>
  <c r="G157" i="49"/>
  <c r="D158" i="49"/>
  <c r="G158" i="49"/>
  <c r="D159" i="49"/>
  <c r="G159" i="49"/>
  <c r="D160" i="49"/>
  <c r="G160" i="49"/>
  <c r="H15" i="49"/>
  <c r="D161" i="49"/>
  <c r="G161" i="49"/>
  <c r="D162" i="49"/>
  <c r="G162" i="49"/>
  <c r="D163" i="49"/>
  <c r="G163" i="49"/>
  <c r="D164" i="49"/>
  <c r="G164" i="49"/>
  <c r="D165" i="49"/>
  <c r="G165" i="49"/>
  <c r="D166" i="49"/>
  <c r="G166" i="49"/>
  <c r="D167" i="49"/>
  <c r="G167" i="49"/>
  <c r="D168" i="49"/>
  <c r="G168" i="49"/>
  <c r="D169" i="49"/>
  <c r="G169" i="49"/>
  <c r="D170" i="49"/>
  <c r="G170" i="49"/>
  <c r="D171" i="49"/>
  <c r="G171" i="49"/>
  <c r="D172" i="49"/>
  <c r="G172" i="49"/>
  <c r="H16" i="49"/>
  <c r="H17" i="49"/>
  <c r="D173" i="49"/>
  <c r="G173" i="49"/>
  <c r="D174" i="49"/>
  <c r="G174" i="49"/>
  <c r="D175" i="49"/>
  <c r="G175" i="49"/>
  <c r="D176" i="49"/>
  <c r="G176" i="49"/>
  <c r="D177" i="49"/>
  <c r="G177" i="49"/>
  <c r="D178" i="49"/>
  <c r="G178" i="49"/>
  <c r="D179" i="49"/>
  <c r="G179" i="49"/>
  <c r="D180" i="49"/>
  <c r="G180" i="49"/>
  <c r="D181" i="49"/>
  <c r="G181" i="49"/>
  <c r="D182" i="49"/>
  <c r="G182" i="49"/>
  <c r="D183" i="49"/>
  <c r="G183" i="49"/>
  <c r="D184" i="49"/>
  <c r="G184" i="49"/>
  <c r="H18" i="49"/>
  <c r="D185" i="49"/>
  <c r="G185" i="49"/>
  <c r="D186" i="49"/>
  <c r="G186" i="49"/>
  <c r="D187" i="49"/>
  <c r="G187" i="49"/>
  <c r="D188" i="49"/>
  <c r="G188" i="49"/>
  <c r="D189" i="49"/>
  <c r="G189" i="49"/>
  <c r="D190" i="49"/>
  <c r="G190" i="49"/>
  <c r="D191" i="49"/>
  <c r="G191" i="49"/>
  <c r="D192" i="49"/>
  <c r="G192" i="49"/>
  <c r="D193" i="49"/>
  <c r="G193" i="49"/>
  <c r="D194" i="49"/>
  <c r="G194" i="49"/>
  <c r="D195" i="49"/>
  <c r="G195" i="49"/>
  <c r="D196" i="49"/>
  <c r="G196" i="49"/>
  <c r="D197" i="49"/>
  <c r="G197" i="49"/>
  <c r="D198" i="49"/>
  <c r="G198" i="49"/>
  <c r="D199" i="49"/>
  <c r="G199" i="49"/>
  <c r="D200" i="49"/>
  <c r="G200" i="49"/>
  <c r="D201" i="49"/>
  <c r="G201" i="49"/>
  <c r="D202" i="49"/>
  <c r="G202" i="49"/>
  <c r="D203" i="49"/>
  <c r="G203" i="49"/>
  <c r="D204" i="49"/>
  <c r="G204" i="49"/>
  <c r="D205" i="49"/>
  <c r="G205" i="49"/>
  <c r="D206" i="49"/>
  <c r="G206" i="49"/>
  <c r="D207" i="49"/>
  <c r="G207" i="49"/>
  <c r="D208" i="49"/>
  <c r="G208" i="49"/>
  <c r="H19" i="49"/>
  <c r="D209" i="49"/>
  <c r="G209" i="49"/>
  <c r="D210" i="49"/>
  <c r="G210" i="49"/>
  <c r="D211" i="49"/>
  <c r="G211" i="49"/>
  <c r="D212" i="49"/>
  <c r="G212" i="49"/>
  <c r="D213" i="49"/>
  <c r="G213" i="49"/>
  <c r="D214" i="49"/>
  <c r="G214" i="49"/>
  <c r="D215" i="49"/>
  <c r="G215" i="49"/>
  <c r="D216" i="49"/>
  <c r="G216" i="49"/>
  <c r="D217" i="49"/>
  <c r="G217" i="49"/>
  <c r="D218" i="49"/>
  <c r="G218" i="49"/>
  <c r="D219" i="49"/>
  <c r="G219" i="49"/>
  <c r="D220" i="49"/>
  <c r="G220" i="49"/>
  <c r="H20" i="49"/>
  <c r="H21" i="49"/>
  <c r="D221" i="49"/>
  <c r="G221" i="49"/>
  <c r="D222" i="49"/>
  <c r="G222" i="49"/>
  <c r="D223" i="49"/>
  <c r="G223" i="49"/>
  <c r="D224" i="49"/>
  <c r="G224" i="49"/>
  <c r="D225" i="49"/>
  <c r="G225" i="49"/>
  <c r="D226" i="49"/>
  <c r="G226" i="49"/>
  <c r="D227" i="49"/>
  <c r="G227" i="49"/>
  <c r="D228" i="49"/>
  <c r="G228" i="49"/>
  <c r="D229" i="49"/>
  <c r="G229" i="49"/>
  <c r="D230" i="49"/>
  <c r="G230" i="49"/>
  <c r="D231" i="49"/>
  <c r="G231" i="49"/>
  <c r="D232" i="49"/>
  <c r="G232" i="49"/>
  <c r="D233" i="49"/>
  <c r="G233" i="49"/>
  <c r="D234" i="49"/>
  <c r="G234" i="49"/>
  <c r="D235" i="49"/>
  <c r="G235" i="49"/>
  <c r="D236" i="49"/>
  <c r="G236" i="49"/>
  <c r="D237" i="49"/>
  <c r="G237" i="49"/>
  <c r="D238" i="49"/>
  <c r="G238" i="49"/>
  <c r="D239" i="49"/>
  <c r="G239" i="49"/>
  <c r="D240" i="49"/>
  <c r="G240" i="49"/>
  <c r="D241" i="49"/>
  <c r="G241" i="49"/>
  <c r="D242" i="49"/>
  <c r="G242" i="49"/>
  <c r="D243" i="49"/>
  <c r="G243" i="49"/>
  <c r="D244" i="49"/>
  <c r="G244" i="49"/>
  <c r="H22" i="49"/>
  <c r="D245" i="49"/>
  <c r="G245" i="49"/>
  <c r="D246" i="49"/>
  <c r="G246" i="49"/>
  <c r="D247" i="49"/>
  <c r="G247" i="49"/>
  <c r="D248" i="49"/>
  <c r="G248" i="49"/>
  <c r="D249" i="49"/>
  <c r="G249" i="49"/>
  <c r="D250" i="49"/>
  <c r="G250" i="49"/>
  <c r="D251" i="49"/>
  <c r="G251" i="49"/>
  <c r="D252" i="49"/>
  <c r="G252" i="49"/>
  <c r="D253" i="49"/>
  <c r="G253" i="49"/>
  <c r="D254" i="49"/>
  <c r="G254" i="49"/>
  <c r="D255" i="49"/>
  <c r="G255" i="49"/>
  <c r="D256" i="49"/>
  <c r="G256" i="49"/>
  <c r="H23" i="49"/>
  <c r="D257" i="49"/>
  <c r="G257" i="49"/>
  <c r="D258" i="49"/>
  <c r="G258" i="49"/>
  <c r="D259" i="49"/>
  <c r="G259" i="49"/>
  <c r="D260" i="49"/>
  <c r="G260" i="49"/>
  <c r="D261" i="49"/>
  <c r="G261" i="49"/>
  <c r="D262" i="49"/>
  <c r="G262" i="49"/>
  <c r="D263" i="49"/>
  <c r="G263" i="49"/>
  <c r="D264" i="49"/>
  <c r="G264" i="49"/>
  <c r="D265" i="49"/>
  <c r="G265" i="49"/>
  <c r="D266" i="49"/>
  <c r="G266" i="49"/>
  <c r="D267" i="49"/>
  <c r="G267" i="49"/>
  <c r="D268" i="49"/>
  <c r="G268" i="49"/>
  <c r="H24" i="49"/>
  <c r="D269" i="49"/>
  <c r="G269" i="49"/>
  <c r="D270" i="49"/>
  <c r="G270" i="49"/>
  <c r="D271" i="49"/>
  <c r="G271" i="49"/>
  <c r="D272" i="49"/>
  <c r="G272" i="49"/>
  <c r="D273" i="49"/>
  <c r="G273" i="49"/>
  <c r="D274" i="49"/>
  <c r="G274" i="49"/>
  <c r="D275" i="49"/>
  <c r="G275" i="49"/>
  <c r="D276" i="49"/>
  <c r="G276" i="49"/>
  <c r="D277" i="49"/>
  <c r="G277" i="49"/>
  <c r="D278" i="49"/>
  <c r="G278" i="49"/>
  <c r="D279" i="49"/>
  <c r="G279" i="49"/>
  <c r="D280" i="49"/>
  <c r="G280" i="49"/>
  <c r="D281" i="49"/>
  <c r="G281" i="49"/>
  <c r="D282" i="49"/>
  <c r="G282" i="49"/>
  <c r="D283" i="49"/>
  <c r="G283" i="49"/>
  <c r="D284" i="49"/>
  <c r="G284" i="49"/>
  <c r="D285" i="49"/>
  <c r="G285" i="49"/>
  <c r="D286" i="49"/>
  <c r="G286" i="49"/>
  <c r="D287" i="49"/>
  <c r="G287" i="49"/>
  <c r="D288" i="49"/>
  <c r="G288" i="49"/>
  <c r="D289" i="49"/>
  <c r="G289" i="49"/>
  <c r="D290" i="49"/>
  <c r="G290" i="49"/>
  <c r="D291" i="49"/>
  <c r="G291" i="49"/>
  <c r="D292" i="49"/>
  <c r="G292" i="49"/>
  <c r="D293" i="49"/>
  <c r="G293" i="49"/>
  <c r="D294" i="49"/>
  <c r="G294" i="49"/>
  <c r="D295" i="49"/>
  <c r="G295" i="49"/>
  <c r="D296" i="49"/>
  <c r="G296" i="49"/>
  <c r="D297" i="49"/>
  <c r="G297" i="49"/>
  <c r="D298" i="49"/>
  <c r="G298" i="49"/>
  <c r="D299" i="49"/>
  <c r="G299" i="49"/>
  <c r="D300" i="49"/>
  <c r="G300" i="49"/>
  <c r="D301" i="49"/>
  <c r="G301" i="49"/>
  <c r="D302" i="49"/>
  <c r="G302" i="49"/>
  <c r="D303" i="49"/>
  <c r="G303" i="49"/>
  <c r="D304" i="49"/>
  <c r="G304" i="49"/>
  <c r="D305" i="49"/>
  <c r="G305" i="49"/>
  <c r="D306" i="49"/>
  <c r="G306" i="49"/>
  <c r="D307" i="49"/>
  <c r="G307" i="49"/>
  <c r="D308" i="49"/>
  <c r="G308" i="49"/>
  <c r="D309" i="49"/>
  <c r="G309" i="49"/>
  <c r="D310" i="49"/>
  <c r="G310" i="49"/>
  <c r="D311" i="49"/>
  <c r="G311" i="49"/>
  <c r="D312" i="49"/>
  <c r="G312" i="49"/>
  <c r="D313" i="49"/>
  <c r="G313" i="49"/>
  <c r="D314" i="49"/>
  <c r="G314" i="49"/>
  <c r="D315" i="49"/>
  <c r="G315" i="49"/>
  <c r="D316" i="49"/>
  <c r="G316" i="49"/>
  <c r="D317" i="49"/>
  <c r="G317" i="49"/>
  <c r="D318" i="49"/>
  <c r="G318" i="49"/>
  <c r="D319" i="49"/>
  <c r="G319" i="49"/>
  <c r="D320" i="49"/>
  <c r="G320" i="49"/>
  <c r="D321" i="49"/>
  <c r="G321" i="49"/>
  <c r="D322" i="49"/>
  <c r="G322" i="49"/>
  <c r="D323" i="49"/>
  <c r="G323" i="49"/>
  <c r="D324" i="49"/>
  <c r="G324" i="49"/>
  <c r="D325" i="49"/>
  <c r="G325" i="49"/>
  <c r="D326" i="49"/>
  <c r="G326" i="49"/>
  <c r="D327" i="49"/>
  <c r="G327" i="49"/>
  <c r="D328" i="49"/>
  <c r="G328" i="49"/>
  <c r="D329" i="49"/>
  <c r="G329" i="49"/>
  <c r="D330" i="49"/>
  <c r="G330" i="49"/>
  <c r="D331" i="49"/>
  <c r="G331" i="49"/>
  <c r="D332" i="49"/>
  <c r="G332" i="49"/>
  <c r="D333" i="49"/>
  <c r="G333" i="49"/>
  <c r="D334" i="49"/>
  <c r="G334" i="49"/>
  <c r="D335" i="49"/>
  <c r="G335" i="49"/>
  <c r="D336" i="49"/>
  <c r="G336" i="49"/>
  <c r="D337" i="49"/>
  <c r="G337" i="49"/>
  <c r="D338" i="49"/>
  <c r="G338" i="49"/>
  <c r="D339" i="49"/>
  <c r="G339" i="49"/>
  <c r="D340" i="49"/>
  <c r="G340" i="49"/>
  <c r="D341" i="49"/>
  <c r="G341" i="49"/>
  <c r="D342" i="49"/>
  <c r="G342" i="49"/>
  <c r="D343" i="49"/>
  <c r="G343" i="49"/>
  <c r="D344" i="49"/>
  <c r="G344" i="49"/>
  <c r="D345" i="49"/>
  <c r="G345" i="49"/>
  <c r="D346" i="49"/>
  <c r="G346" i="49"/>
  <c r="D347" i="49"/>
  <c r="G347" i="49"/>
  <c r="D348" i="49"/>
  <c r="G348" i="49"/>
  <c r="D349" i="49"/>
  <c r="G349" i="49"/>
  <c r="D350" i="49"/>
  <c r="G350" i="49"/>
  <c r="D351" i="49"/>
  <c r="G351" i="49"/>
  <c r="D352" i="49"/>
  <c r="G352" i="49"/>
  <c r="D353" i="49"/>
  <c r="G353" i="49"/>
  <c r="D354" i="49"/>
  <c r="G354" i="49"/>
  <c r="D355" i="49"/>
  <c r="G355" i="49"/>
  <c r="D356" i="49"/>
  <c r="G356" i="49"/>
  <c r="D357" i="49"/>
  <c r="G357" i="49"/>
  <c r="D358" i="49"/>
  <c r="G358" i="49"/>
  <c r="D359" i="49"/>
  <c r="G359" i="49"/>
  <c r="D360" i="49"/>
  <c r="G360" i="49"/>
  <c r="D361" i="49"/>
  <c r="G361" i="49"/>
  <c r="D362" i="49"/>
  <c r="G362" i="49"/>
  <c r="D363" i="49"/>
  <c r="G363" i="49"/>
  <c r="D364" i="49"/>
  <c r="G364" i="49"/>
  <c r="D365" i="49"/>
  <c r="G365" i="49"/>
  <c r="D366" i="49"/>
  <c r="G366" i="49"/>
  <c r="D367" i="49"/>
  <c r="G367" i="49"/>
  <c r="D368" i="49"/>
  <c r="G368" i="49"/>
  <c r="D369" i="49"/>
  <c r="G369" i="49"/>
  <c r="D370" i="49"/>
  <c r="G370" i="49"/>
  <c r="D371" i="49"/>
  <c r="G371" i="49"/>
  <c r="D372" i="49"/>
  <c r="G372" i="49"/>
  <c r="D373" i="49"/>
  <c r="G373" i="49"/>
  <c r="D374" i="49"/>
  <c r="G374" i="49"/>
  <c r="D375" i="49"/>
  <c r="G375" i="49"/>
  <c r="D376" i="49"/>
  <c r="G376" i="49"/>
  <c r="D377" i="49"/>
  <c r="G377" i="49"/>
  <c r="D378" i="49"/>
  <c r="G378" i="49"/>
  <c r="D379" i="49"/>
  <c r="G379" i="49"/>
  <c r="D380" i="49"/>
  <c r="G380" i="49"/>
  <c r="D381" i="49"/>
  <c r="G381" i="49"/>
  <c r="D382" i="49"/>
  <c r="G382" i="49"/>
  <c r="D383" i="49"/>
  <c r="G383" i="49"/>
  <c r="D384" i="49"/>
  <c r="G384" i="49"/>
  <c r="D385" i="49"/>
  <c r="G385" i="49"/>
  <c r="D386" i="49"/>
  <c r="G386" i="49"/>
  <c r="D387" i="49"/>
  <c r="G387" i="49"/>
  <c r="D388" i="49"/>
  <c r="G388" i="49"/>
  <c r="H25" i="49"/>
</calcChain>
</file>

<file path=xl/comments1.xml><?xml version="1.0" encoding="utf-8"?>
<comments xmlns="http://schemas.openxmlformats.org/spreadsheetml/2006/main">
  <authors>
    <author>Bruce Kirsch</author>
  </authors>
  <commentList>
    <comment ref="N11" authorId="0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Enter in 10 renovations in Year 1, 15 in Year 2, and 5 in Year 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Enter in the growth rates given by the broker.</t>
        </r>
      </text>
    </comment>
    <comment ref="B24" authorId="0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Enter in the line item for the Studios in the Rent Roll.</t>
        </r>
      </text>
    </comment>
    <comment ref="B29" authorId="0">
      <text>
        <r>
          <rPr>
            <b/>
            <sz val="12"/>
            <color indexed="81"/>
            <rFont val="Tahoma"/>
            <family val="2"/>
          </rPr>
          <t xml:space="preserve">Note: </t>
        </r>
        <r>
          <rPr>
            <sz val="12"/>
            <color indexed="81"/>
            <rFont val="Tahoma"/>
            <family val="2"/>
          </rPr>
          <t>After we enter the Rent Roll, we enter the TTM data on the Annual Cash Flow tab.</t>
        </r>
      </text>
    </comment>
    <comment ref="M48" authorId="0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Enter in Month 48 for the re-financing timing.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5" authorId="0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Enter the vacancy assumptions given by the broker.</t>
        </r>
      </text>
    </comment>
    <comment ref="B83" authorId="0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Run the Sensitivity tables.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REFM</author>
  </authors>
  <commentList>
    <comment ref="H12" authorId="0">
      <text>
        <r>
          <rPr>
            <sz val="8"/>
            <color indexed="81"/>
            <rFont val="Tahoma"/>
            <family val="2"/>
          </rPr>
          <t>GPR/Total RSF</t>
        </r>
      </text>
    </comment>
    <comment ref="H14" authorId="0">
      <text>
        <r>
          <rPr>
            <sz val="8"/>
            <color indexed="81"/>
            <rFont val="Tahoma"/>
            <family val="2"/>
          </rPr>
          <t>Per Revenues and Renovation Schedule table on Assumptions tab</t>
        </r>
      </text>
    </comment>
    <comment ref="C36" authorId="0">
      <text>
        <r>
          <rPr>
            <sz val="8"/>
            <color indexed="81"/>
            <rFont val="Tahoma"/>
            <family val="2"/>
          </rPr>
          <t>Total # of Months for both Renovation and Marketing</t>
        </r>
      </text>
    </comment>
    <comment ref="H36" authorId="0">
      <text>
        <r>
          <rPr>
            <sz val="8"/>
            <color indexed="81"/>
            <rFont val="Tahoma"/>
            <family val="2"/>
          </rPr>
          <t>This row can be linked to Row 25 (# of Units With Leases Ending per Rent Roll) if desired.  This is also the Row to change with inputs if you wish to override a model-driven calculated Unit Renovation schedule.</t>
        </r>
      </text>
    </comment>
    <comment ref="P37" authorId="1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Insert the formula for Vacancy Loss for those units being renovated and re-marketed after renovation. Be sure to amortize the loss over the correct number of periods. Insert additional rows if you would like.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7" authorId="1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Insert a formula for Non-Revenue unit loss.</t>
        </r>
      </text>
    </comment>
    <comment ref="P66" authorId="1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Insert the formula for New Renovation Savings on Repairs &amp; Maintenance.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90" authorId="1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Write a formula for the Acquisition Loan Debt service line, making sure that it terminates at the appropriate date.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REFM</author>
  </authors>
  <commentList>
    <comment ref="H12" authorId="0">
      <text>
        <r>
          <rPr>
            <sz val="8"/>
            <color indexed="81"/>
            <rFont val="Tahoma"/>
            <family val="2"/>
          </rPr>
          <t>GPR/Total RSF</t>
        </r>
      </text>
    </comment>
    <comment ref="H14" authorId="0">
      <text>
        <r>
          <rPr>
            <sz val="8"/>
            <color indexed="81"/>
            <rFont val="Tahoma"/>
            <family val="2"/>
          </rPr>
          <t>Per Revenues and Renovation Schedule table on Assumptions tab</t>
        </r>
      </text>
    </comment>
    <comment ref="C36" authorId="0">
      <text>
        <r>
          <rPr>
            <sz val="8"/>
            <color indexed="81"/>
            <rFont val="Tahoma"/>
            <family val="2"/>
          </rPr>
          <t>Total # of Months for both Renovation and Marketing</t>
        </r>
      </text>
    </comment>
    <comment ref="H36" authorId="0">
      <text>
        <r>
          <rPr>
            <sz val="8"/>
            <color indexed="81"/>
            <rFont val="Tahoma"/>
            <family val="2"/>
          </rPr>
          <t>This row can be linked to Row 25 (# of Units With Leases Ending per Rent Roll) if desired.  This is also the Row to change with inputs if you wish to override a model-driven calculated Unit Renovation schedule.</t>
        </r>
      </text>
    </comment>
    <comment ref="H37" authorId="0">
      <text>
        <r>
          <rPr>
            <sz val="10"/>
            <color indexed="81"/>
            <rFont val="Tahoma"/>
            <family val="2"/>
          </rPr>
          <t>Number of Units Currently Down * Average Unit SF * Average Unit GPR PSF. This is a cash flow-based treatment where lost rents are taken as a charge in the month in which the rent would have been received if the unit had not been renovated.</t>
        </r>
      </text>
    </comment>
    <comment ref="H51" authorId="0">
      <text>
        <r>
          <rPr>
            <sz val="8"/>
            <color indexed="81"/>
            <rFont val="Tahoma"/>
            <family val="2"/>
          </rPr>
          <t>Number of Non-Revenue Units x Average Unit GPR.</t>
        </r>
      </text>
    </comment>
    <comment ref="P71" authorId="1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Insert the formula for New Renovation Savings on Repairs &amp; Maintenance.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5" authorId="1">
      <text>
        <r>
          <rPr>
            <b/>
            <sz val="12"/>
            <color indexed="81"/>
            <rFont val="Tahoma"/>
            <family val="2"/>
          </rPr>
          <t xml:space="preserve">Exercise: </t>
        </r>
        <r>
          <rPr>
            <sz val="12"/>
            <color indexed="81"/>
            <rFont val="Tahoma"/>
            <family val="2"/>
          </rPr>
          <t>Write a formula for the Acquisition Loan Debt service line, making sure that it terminates at the appropriate date.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<sst xmlns="http://schemas.openxmlformats.org/spreadsheetml/2006/main" count="813" uniqueCount="338">
  <si>
    <t xml:space="preserve">Other Income </t>
  </si>
  <si>
    <t>Purchase Price</t>
  </si>
  <si>
    <t>Total Oper. Expenses</t>
  </si>
  <si>
    <t>Total Expenses</t>
  </si>
  <si>
    <t>% of EGI</t>
  </si>
  <si>
    <t>Insurance</t>
  </si>
  <si>
    <t>Annual Expense Growth Rate</t>
  </si>
  <si>
    <t>$/SF</t>
  </si>
  <si>
    <t>$/Unit</t>
  </si>
  <si>
    <t xml:space="preserve"> </t>
  </si>
  <si>
    <t>Total</t>
  </si>
  <si>
    <t>GROSS INCOME</t>
  </si>
  <si>
    <t>TOTAL MINIMUM RENT</t>
  </si>
  <si>
    <t>Rent Concessions</t>
  </si>
  <si>
    <t>EFFECTIVE RENTAL INCOME</t>
  </si>
  <si>
    <t>EFFECTIVE GROSS INCOME</t>
  </si>
  <si>
    <t>Operating Expenses</t>
  </si>
  <si>
    <t>Management Fees</t>
  </si>
  <si>
    <t>TOTAL EXPENSES</t>
  </si>
  <si>
    <t>NET OPERATING INCOME</t>
  </si>
  <si>
    <t>Per Unit</t>
  </si>
  <si>
    <t>Average</t>
  </si>
  <si>
    <t>Units</t>
  </si>
  <si>
    <t>Vacancy Loss</t>
  </si>
  <si>
    <t>Utilities</t>
  </si>
  <si>
    <t>$/Year</t>
  </si>
  <si>
    <t>Collection Loss</t>
  </si>
  <si>
    <t>Unit Type</t>
  </si>
  <si>
    <t>Total Unleveraged Uses</t>
  </si>
  <si>
    <t>Total Leveraged Uses</t>
  </si>
  <si>
    <t>Parking</t>
  </si>
  <si>
    <t># of</t>
  </si>
  <si>
    <t>%</t>
  </si>
  <si>
    <t>$/Month</t>
  </si>
  <si>
    <t>Loan Fee</t>
  </si>
  <si>
    <t>OPERATING CASH FLOW</t>
  </si>
  <si>
    <t>Economic Occupancy %</t>
  </si>
  <si>
    <t>Gross Potential Revenue</t>
  </si>
  <si>
    <t>Loss to Lease</t>
  </si>
  <si>
    <t>Total Vacancy Loss</t>
  </si>
  <si>
    <t>Total Collection Loss</t>
  </si>
  <si>
    <t>Repairs and Maintenance</t>
  </si>
  <si>
    <t>Replacement Reserve</t>
  </si>
  <si>
    <t>Capital Expenditures</t>
  </si>
  <si>
    <t>Gross Rent Deductions</t>
  </si>
  <si>
    <t xml:space="preserve">Licenses/Permits/Other </t>
  </si>
  <si>
    <t>Asset Management Fee</t>
  </si>
  <si>
    <t>Cost/Unit</t>
  </si>
  <si>
    <t>Renovation Rent</t>
  </si>
  <si>
    <t>Total Renovated Unit Premium</t>
  </si>
  <si>
    <t>Month</t>
  </si>
  <si>
    <t>Year</t>
  </si>
  <si>
    <t>Month #</t>
  </si>
  <si>
    <t>Post-Renovation Utility Savings</t>
  </si>
  <si>
    <t>Maximum Allowable Debt Service</t>
  </si>
  <si>
    <t>Amortization Period</t>
  </si>
  <si>
    <t>Renovated Unit Rent Premium</t>
  </si>
  <si>
    <t>Closing Costs (Incl. Settlement, Feasibility, and Legal)</t>
  </si>
  <si>
    <t>Loan Principal Amount</t>
  </si>
  <si>
    <t>1 Bd / 1 Ba</t>
  </si>
  <si>
    <t>Gross Potential Rent</t>
  </si>
  <si>
    <t>Capitalization Rate</t>
  </si>
  <si>
    <t>Selling Costs</t>
  </si>
  <si>
    <t>Elapsed Year</t>
  </si>
  <si>
    <t>Renovations</t>
  </si>
  <si>
    <t>Annual Inflation Factor</t>
  </si>
  <si>
    <t>LEVERED CASH FLOW</t>
  </si>
  <si>
    <t>Period Start Date</t>
  </si>
  <si>
    <t>Period End Date</t>
  </si>
  <si>
    <t>FINANCING CASH FLOWS</t>
  </si>
  <si>
    <t>Monthly Payment</t>
  </si>
  <si>
    <t>Months</t>
  </si>
  <si>
    <t>Historical Annual Operations</t>
  </si>
  <si>
    <t>Maximum Loan Proceeds</t>
  </si>
  <si>
    <t>Maximum LTV</t>
  </si>
  <si>
    <t>Gross Valuation at Point of Refinancing</t>
  </si>
  <si>
    <t>Annual Interest Rate</t>
  </si>
  <si>
    <t>Post-Renovation Repairs &amp; Maintenance Savings</t>
  </si>
  <si>
    <t>Capitalization Rate at Point of Refinancing</t>
  </si>
  <si>
    <t>Loan/Broker Fees/Closing Costs</t>
  </si>
  <si>
    <t>Annual Rent Growth</t>
  </si>
  <si>
    <t>Required Debt Service Coverage Ratio</t>
  </si>
  <si>
    <t>Unleveraged Yield (NOI/Cost)</t>
  </si>
  <si>
    <r>
      <t xml:space="preserve">* Tally applies to the </t>
    </r>
    <r>
      <rPr>
        <i/>
        <u/>
        <sz val="12"/>
        <rFont val="Garamond"/>
        <family val="1"/>
      </rPr>
      <t>end</t>
    </r>
    <r>
      <rPr>
        <i/>
        <sz val="12"/>
        <rFont val="Garamond"/>
        <family val="1"/>
      </rPr>
      <t xml:space="preserve"> of the period</t>
    </r>
  </si>
  <si>
    <r>
      <rPr>
        <u/>
        <sz val="12"/>
        <rFont val="Garamond"/>
        <family val="1"/>
      </rPr>
      <t>Cumulative</t>
    </r>
    <r>
      <rPr>
        <sz val="12"/>
        <rFont val="Garamond"/>
        <family val="1"/>
      </rPr>
      <t xml:space="preserve"> # of Renovated Units *</t>
    </r>
  </si>
  <si>
    <t># of Renovated Units In Marketing</t>
  </si>
  <si>
    <t>Total # of Units Not Cash Flowing</t>
  </si>
  <si>
    <t>Total # of Units Not In Service</t>
  </si>
  <si>
    <t>Max.</t>
  </si>
  <si>
    <t>Input</t>
  </si>
  <si>
    <t>Min.</t>
  </si>
  <si>
    <t># of Vacant Units</t>
  </si>
  <si>
    <r>
      <rPr>
        <u/>
        <sz val="12"/>
        <rFont val="Garamond"/>
        <family val="1"/>
      </rPr>
      <t>Cumulative</t>
    </r>
    <r>
      <rPr>
        <sz val="12"/>
        <rFont val="Garamond"/>
        <family val="1"/>
      </rPr>
      <t xml:space="preserve"> # of Renovated Units In Service *</t>
    </r>
  </si>
  <si>
    <t>Sum</t>
  </si>
  <si>
    <t># of Units With Leases Ending per Rent Roll</t>
  </si>
  <si>
    <t>Expirations</t>
  </si>
  <si>
    <t>Unit</t>
  </si>
  <si>
    <t>Lease From</t>
  </si>
  <si>
    <t>Lease End Date</t>
  </si>
  <si>
    <t># of Units Assumed Renovated This Month</t>
  </si>
  <si>
    <t>Lease End Month</t>
  </si>
  <si>
    <t>Lease End Year</t>
  </si>
  <si>
    <t>Renovated? 
(1 = Yes)</t>
  </si>
  <si>
    <t># of Unrenovated Units In Service *</t>
  </si>
  <si>
    <r>
      <t xml:space="preserve">Lease Expiration Schedule Per </t>
    </r>
    <r>
      <rPr>
        <u/>
        <sz val="18"/>
        <rFont val="Garamond"/>
        <family val="1"/>
      </rPr>
      <t>Rent Roll</t>
    </r>
    <r>
      <rPr>
        <sz val="18"/>
        <rFont val="Garamond"/>
        <family val="1"/>
      </rPr>
      <t xml:space="preserve"> Tab</t>
    </r>
  </si>
  <si>
    <r>
      <t xml:space="preserve">Renovation Schedule </t>
    </r>
    <r>
      <rPr>
        <u/>
        <sz val="18"/>
        <rFont val="Garamond"/>
        <family val="1"/>
      </rPr>
      <t>As Modeled</t>
    </r>
    <r>
      <rPr>
        <sz val="18"/>
        <rFont val="Garamond"/>
        <family val="1"/>
      </rPr>
      <t xml:space="preserve"> (x-axis is the month #)</t>
    </r>
  </si>
  <si>
    <t>General &amp; Administrative</t>
  </si>
  <si>
    <t>Marketing and Advertising</t>
  </si>
  <si>
    <t>Contract Maintenance</t>
  </si>
  <si>
    <t>Payroll Expenses</t>
  </si>
  <si>
    <t>Turnover Costs</t>
  </si>
  <si>
    <t>Taxes</t>
  </si>
  <si>
    <t>Marketing &amp; Advertising</t>
  </si>
  <si>
    <t>General and Administrative</t>
  </si>
  <si>
    <t>+ New Renovation Savings</t>
  </si>
  <si>
    <t>Escalation from TTM Data</t>
  </si>
  <si>
    <t>Units Newly Renovated</t>
  </si>
  <si>
    <t>Annual NOI at Point of Refinancing</t>
  </si>
  <si>
    <t>Non-Revenue Unit(s)</t>
  </si>
  <si>
    <t>Late Fees</t>
  </si>
  <si>
    <t>Termination Fees</t>
  </si>
  <si>
    <t>Other Tenant</t>
  </si>
  <si>
    <t>Laundry</t>
  </si>
  <si>
    <t>Retail</t>
  </si>
  <si>
    <t>Cable</t>
  </si>
  <si>
    <t>Application Fee</t>
  </si>
  <si>
    <t>Other/Misc.</t>
  </si>
  <si>
    <t>Passthroughs</t>
  </si>
  <si>
    <t>Per Unit Per Year</t>
  </si>
  <si>
    <t>Write Off</t>
  </si>
  <si>
    <t>Prepay Income</t>
  </si>
  <si>
    <t>Vacancy Loss - Renovation/Down Units</t>
  </si>
  <si>
    <t>Other Month's Rent</t>
  </si>
  <si>
    <t>Monthly Cash Flow Forecast</t>
  </si>
  <si>
    <t>Vacancy Loss Residential</t>
  </si>
  <si>
    <t>Rental, Non-Recurring &amp; Other Concessions</t>
  </si>
  <si>
    <t>OPERATING EXPENSES</t>
  </si>
  <si>
    <t>Disposition</t>
  </si>
  <si>
    <t>CAGR</t>
  </si>
  <si>
    <t>DO NOT ERASE</t>
  </si>
  <si>
    <t>Compounded Annual Growth Rate</t>
  </si>
  <si>
    <t>Rent Growth</t>
  </si>
  <si>
    <t>GPR</t>
  </si>
  <si>
    <t>Average Gross Potential Rent PSF</t>
  </si>
  <si>
    <t>Renovated Unit Premium Per Unit, Net</t>
  </si>
  <si>
    <t>Unit Renovation Cost</t>
  </si>
  <si>
    <t>Per Spot Per Year</t>
  </si>
  <si>
    <t>Transaction Timing</t>
  </si>
  <si>
    <t>Acquisition Closing Date</t>
  </si>
  <si>
    <t>Growth</t>
  </si>
  <si>
    <t>Factor</t>
  </si>
  <si>
    <t>Income Growth Rate</t>
  </si>
  <si>
    <t>Expense Growth Rate</t>
  </si>
  <si>
    <t>Annual Cash Flow Forecast, Including the Year After the Year of Disposition</t>
  </si>
  <si>
    <t>Year Start Date</t>
  </si>
  <si>
    <t>Year End Date</t>
  </si>
  <si>
    <t>Disposition of Asset</t>
  </si>
  <si>
    <t>ACQUISITION / DISPOSITION</t>
  </si>
  <si>
    <t>TTM Actuals</t>
  </si>
  <si>
    <t>Disposition Date</t>
  </si>
  <si>
    <t>Acquisition Loan</t>
  </si>
  <si>
    <t>Acquisition Price</t>
  </si>
  <si>
    <t>Acquisition Fee</t>
  </si>
  <si>
    <t>Broker Fee</t>
  </si>
  <si>
    <t>of Purchase Price</t>
  </si>
  <si>
    <t>of Loan Balance</t>
  </si>
  <si>
    <t>Refinancing Timing (enter 0 if none)</t>
  </si>
  <si>
    <t>Permanent Loan (Refinancing)</t>
  </si>
  <si>
    <t>Residential</t>
  </si>
  <si>
    <t>RSF</t>
  </si>
  <si>
    <t>Type</t>
  </si>
  <si>
    <t>Transfer Tax</t>
  </si>
  <si>
    <t>Compound</t>
  </si>
  <si>
    <t>Elapsed Yr / Start Month</t>
  </si>
  <si>
    <t>Equity Required for Acquisition</t>
  </si>
  <si>
    <t>Average Market Rent After Vacancy / Renovation (Unescalated)</t>
  </si>
  <si>
    <t>Multi-Family Asset Acquisition and Renovation Analysis - Summary of Major Assumptions</t>
  </si>
  <si>
    <t>LEVERED IRR</t>
  </si>
  <si>
    <t>Acquisition and Transaction Costs</t>
  </si>
  <si>
    <t>Levered IRR</t>
  </si>
  <si>
    <t>Net Profit</t>
  </si>
  <si>
    <t>Lessee</t>
  </si>
  <si>
    <t>John Doe</t>
  </si>
  <si>
    <t>Unit #</t>
  </si>
  <si>
    <t>Unit Count</t>
  </si>
  <si>
    <t>Rentable SF</t>
  </si>
  <si>
    <t>Legal Rent/
Market Rent</t>
  </si>
  <si>
    <t>Leases Ending</t>
  </si>
  <si>
    <t>Lease Endings</t>
  </si>
  <si>
    <t>TTM</t>
  </si>
  <si>
    <t>GRM</t>
  </si>
  <si>
    <t>Current NOI</t>
  </si>
  <si>
    <t>Other Income (Includes Retail)</t>
  </si>
  <si>
    <t>Asset Management Fee (% of EGI)</t>
  </si>
  <si>
    <t>Newly Renovated Units Put In Service</t>
  </si>
  <si>
    <t>Acquisition Loan Proceeds</t>
  </si>
  <si>
    <t>Acquisition Loan Debt Service</t>
  </si>
  <si>
    <t>Acquisition Loan Repayment</t>
  </si>
  <si>
    <t>Sponsor Draw</t>
  </si>
  <si>
    <t>Third Party Investor Draw</t>
  </si>
  <si>
    <t>Annual</t>
  </si>
  <si>
    <t>Recording Fees/Misc.</t>
  </si>
  <si>
    <t>NET REVENUE LESS INTEREST</t>
  </si>
  <si>
    <t>INTEREST EXPENSE</t>
  </si>
  <si>
    <t xml:space="preserve">Permanent Loan Proceeds </t>
  </si>
  <si>
    <t>Permanent Loan Fees/Closing Costs</t>
  </si>
  <si>
    <t>Permanent Loan Repayment</t>
  </si>
  <si>
    <t>Acquisition Loan Debt Coverage Ratio (NOI/Debt Service)</t>
  </si>
  <si>
    <t>Permanent Loan Debt Coverage Ratio (NOI/Debt Service)</t>
  </si>
  <si>
    <t>Annualized Unleveraged Yield (NOI/Cost)</t>
  </si>
  <si>
    <t>Annualized Leveraged Yield (Net Cash Flow/Equity)</t>
  </si>
  <si>
    <t>Multiple on Equity</t>
  </si>
  <si>
    <t>TOTAL OPERATING EXPENSES</t>
  </si>
  <si>
    <t>ACQUISITION/DISPOSITION</t>
  </si>
  <si>
    <t>Annualized Leveraged Yield (Levered Cash Flow/Equity)</t>
  </si>
  <si>
    <t>Permanent Loan Debt Service</t>
  </si>
  <si>
    <t>Disposition Net Proceeds</t>
  </si>
  <si>
    <t>Per RSF</t>
  </si>
  <si>
    <t>RS</t>
  </si>
  <si>
    <t>Unit Types</t>
  </si>
  <si>
    <t>Ave. Monthly Legal/Market Rent</t>
  </si>
  <si>
    <t>FM</t>
  </si>
  <si>
    <t>Rent Stabilized / Fair Market</t>
  </si>
  <si>
    <t>Average Monthly PSF</t>
  </si>
  <si>
    <t>Average Monthly</t>
  </si>
  <si>
    <t>Rent Roll - All Units</t>
  </si>
  <si>
    <t>Real Estate Financial Modeling</t>
  </si>
  <si>
    <t>Loan Assumptions</t>
  </si>
  <si>
    <t>Annual Summary</t>
  </si>
  <si>
    <t>Loan Amount:</t>
  </si>
  <si>
    <t>Interest</t>
  </si>
  <si>
    <t>Principal</t>
  </si>
  <si>
    <t>Interest Rate:</t>
  </si>
  <si>
    <t>Term:</t>
  </si>
  <si>
    <t>Amortization:</t>
  </si>
  <si>
    <t>Interest Only:</t>
  </si>
  <si>
    <t>LTV</t>
    <phoneticPr fontId="2" type="noConversion"/>
  </si>
  <si>
    <t>Amort
Period</t>
  </si>
  <si>
    <t>Beginning
Balance</t>
  </si>
  <si>
    <t>Ending
Balance</t>
  </si>
  <si>
    <t>Net Proceeds</t>
  </si>
  <si>
    <t>Interest Rate</t>
  </si>
  <si>
    <t>Loan Amount *</t>
  </si>
  <si>
    <t>Acquisition Loan Amortization Schedule</t>
  </si>
  <si>
    <t>LTV</t>
  </si>
  <si>
    <t>End Balance</t>
  </si>
  <si>
    <t>Permanent Loan Amortization Schedule</t>
  </si>
  <si>
    <t>Disposition Net Residual Value</t>
  </si>
  <si>
    <t>Individual Unit Renovations End Date</t>
  </si>
  <si>
    <t>Marketing Only</t>
  </si>
  <si>
    <t>Permanent Loan Test</t>
  </si>
  <si>
    <t>* The Lesser of the Two Maximum Loan Proceeds Amounts Calculated Below</t>
  </si>
  <si>
    <t>Reno &amp; Mktg</t>
  </si>
  <si>
    <t>Variance: Assumed Renovations and Lease End Dates</t>
  </si>
  <si>
    <t>Add'l Rent *</t>
  </si>
  <si>
    <t>* Unescalated</t>
  </si>
  <si>
    <t>Assum.</t>
  </si>
  <si>
    <t>Assum. v. Inputs</t>
  </si>
  <si>
    <t>Renovation Schedule Check</t>
  </si>
  <si>
    <t>Inputs</t>
  </si>
  <si>
    <t>Year #</t>
  </si>
  <si>
    <t>Time (0)</t>
  </si>
  <si>
    <t>Annual Debt Service</t>
  </si>
  <si>
    <t>Operations Start Date</t>
  </si>
  <si>
    <t>Asset Hold Period (Measured in whole years)</t>
  </si>
  <si>
    <t>Units Renovated/Unrenovated:</t>
  </si>
  <si>
    <t>Gross Valuation</t>
  </si>
  <si>
    <t>Rent PSF</t>
  </si>
  <si>
    <t>Average Monthly Rent Increase After Unit Renovation</t>
  </si>
  <si>
    <t>Loss to Lease (New Leases)</t>
  </si>
  <si>
    <t>Rent Concessions (Existing Tenants)</t>
  </si>
  <si>
    <t>TIMING AND GENERAL</t>
  </si>
  <si>
    <t>Purchase Cap Rate</t>
  </si>
  <si>
    <t>Acq'n Loan Remaining Principal</t>
  </si>
  <si>
    <t>Total Equity</t>
  </si>
  <si>
    <t>Refinancing Timing</t>
  </si>
  <si>
    <t>Average Unit Rent Premium After Renovation</t>
  </si>
  <si>
    <t>Renovation Cost/Unit</t>
  </si>
  <si>
    <t>Disposition Cap Rate</t>
  </si>
  <si>
    <t>SENSITIVITY TABLES BELOW - DO NOT DELETE - HIT F9 TO RUN TABLES</t>
  </si>
  <si>
    <t>Asset Hold Period</t>
  </si>
  <si>
    <t>Average/Total</t>
  </si>
  <si>
    <t>ESTIMATED ANNUAL EXPENSES</t>
  </si>
  <si>
    <t>TIMELINE</t>
  </si>
  <si>
    <t>TRAILING</t>
  </si>
  <si>
    <t>TWELVE</t>
  </si>
  <si>
    <t>DATA</t>
  </si>
  <si>
    <t>MONTHS</t>
  </si>
  <si>
    <t>Equity Draws</t>
  </si>
  <si>
    <t># of Unrenovated Units In Service</t>
  </si>
  <si>
    <t>Time 0</t>
  </si>
  <si>
    <t>Apartment Unit Inventory</t>
  </si>
  <si>
    <t>Unit Condition</t>
  </si>
  <si>
    <t>Occupancy Status</t>
  </si>
  <si>
    <t>Lease Type</t>
  </si>
  <si>
    <t>Term</t>
  </si>
  <si>
    <t>Subsequent Lease Type</t>
  </si>
  <si>
    <t>Issue: Visibility of Outcome</t>
  </si>
  <si>
    <t>Source: NYC Rent Guidelines Board website</t>
  </si>
  <si>
    <t>1-Year (+17% - +17.5%)</t>
  </si>
  <si>
    <t>http://www.housingnyc.com/</t>
  </si>
  <si>
    <t>Vacancy</t>
  </si>
  <si>
    <t>2-Year (+20%)</t>
  </si>
  <si>
    <t>1-Year (+2.5% - +3%)</t>
  </si>
  <si>
    <t>Renewal</t>
  </si>
  <si>
    <t>2-Year (+5% - +6%)</t>
  </si>
  <si>
    <t>Vacant</t>
  </si>
  <si>
    <t>UNRENOVATED RENT STABILIZED</t>
  </si>
  <si>
    <t>Occupied</t>
  </si>
  <si>
    <t>RENOVATED RENT STABILIZED</t>
  </si>
  <si>
    <t>UNRENOVATED FAIR MARKET</t>
  </si>
  <si>
    <t>RENOVATED FAIR MARKET</t>
  </si>
  <si>
    <t>Calculations are set to "Automatic Except for Data Tables"</t>
  </si>
  <si>
    <t>Studio</t>
  </si>
  <si>
    <t>DEBT SERVICE EXPENSE</t>
  </si>
  <si>
    <t>NET REVENUE LESS DEBT SERVICE</t>
  </si>
  <si>
    <r>
      <t>Individual Unit Renovations</t>
    </r>
    <r>
      <rPr>
        <b/>
        <sz val="10"/>
        <rFont val="Garamond"/>
        <family val="1"/>
      </rPr>
      <t xml:space="preserve"> </t>
    </r>
    <r>
      <rPr>
        <sz val="12"/>
        <rFont val="Garamond"/>
        <family val="1"/>
      </rPr>
      <t>Start Date/Duration</t>
    </r>
  </si>
  <si>
    <t>Unit Rent Growth Possibilities Over Multi-Year Period - NYC As An Example</t>
  </si>
  <si>
    <t>Renovated Unit Vacancy Losses - Amortized Over Time Offline</t>
  </si>
  <si>
    <t>Renovated Unit Vacancy Losses - Amortized</t>
  </si>
  <si>
    <t>GPR PSF For An Average Unit</t>
  </si>
  <si>
    <t>Average Unit Size</t>
  </si>
  <si>
    <t>Offline Unit Counter</t>
  </si>
  <si>
    <t>Total Unit-Months Offline</t>
  </si>
  <si>
    <t>Ave. SF</t>
  </si>
  <si>
    <t>Tenant Buyout</t>
  </si>
  <si>
    <t>Capital Expenditures (enter as neg. #)</t>
  </si>
  <si>
    <t>Tenant Buyout (enter as neg. #)</t>
  </si>
  <si>
    <t>User Inputs Are In Bold Blue Type</t>
  </si>
  <si>
    <t>www.GetREFM.com</t>
  </si>
  <si>
    <t>© 2009 Real Estate Financial Modeling, LLC.  All rights reserved.</t>
  </si>
  <si>
    <t>2 Bd / 1 Ba</t>
  </si>
  <si>
    <t>Miami Beach Apartment Building Acquisition/Renovation</t>
  </si>
  <si>
    <t>Tutorial Solution Version 7.0</t>
  </si>
  <si>
    <t>M/M</t>
  </si>
  <si>
    <t>Acquistion</t>
  </si>
  <si>
    <t>2011 Actuals</t>
  </si>
  <si>
    <t>Miami Beach Multi-family Building: Rue Vendome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</si>
</sst>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&quot; Units&quot;"/>
    <numFmt numFmtId="165" formatCode="&quot;Capital Reserves/Unit&quot;\ &quot;$&quot;#,##0_);[Red]\(&quot;$&quot;#,##0\)"/>
    <numFmt numFmtId="166" formatCode="&quot;$&quot;#,##0"/>
    <numFmt numFmtId="167" formatCode="mm/dd/yyyy"/>
    <numFmt numFmtId="168" formatCode="yyyy"/>
    <numFmt numFmtId="169" formatCode="m\-d\-yy"/>
    <numFmt numFmtId="170" formatCode="0.00_)"/>
    <numFmt numFmtId="171" formatCode="#,##0.00&quot; $&quot;;\-#,##0.00&quot; $&quot;"/>
    <numFmt numFmtId="172" formatCode="_-* #,##0.0_-;\-* #,##0.0_-;_-* &quot;-&quot;??_-;_-@_-"/>
    <numFmt numFmtId="173" formatCode="\ \ mm/dd/yy\ &quot;-&quot;;@"/>
    <numFmt numFmtId="174" formatCode="0.000%"/>
    <numFmt numFmtId="175" formatCode="#,##0.0000_);[Red]\(#,##0.0000\)"/>
    <numFmt numFmtId="176" formatCode="&quot;$&quot;#,##0.00"/>
    <numFmt numFmtId="177" formatCode="#,###\ &quot;Years&quot;"/>
    <numFmt numFmtId="178" formatCode="&quot;$&quot;#,##0.00\ &quot;PSF&quot;"/>
    <numFmt numFmtId="179" formatCode="#,##0\ &quot;SF&quot;"/>
    <numFmt numFmtId="180" formatCode="#,##0.00000_);[Red]\(#,##0.00000\)"/>
    <numFmt numFmtId="181" formatCode="mm/dd/yy"/>
    <numFmt numFmtId="182" formatCode="&quot;Year&quot;\ 0"/>
    <numFmt numFmtId="183" formatCode="&quot;Market Rent as of &quot;mm/dd/yy;@"/>
    <numFmt numFmtId="184" formatCode="_(\$* #,##0_);_(\$* \(#,##0\);_(\$* \-_);_(@_)"/>
    <numFmt numFmtId="185" formatCode="&quot;(&quot;General\ &quot;Units)&quot;"/>
    <numFmt numFmtId="186" formatCode="0.0%"/>
    <numFmt numFmtId="187" formatCode="#,##0.0_);\(#,##0.0\);#,##0.0_);@_)"/>
    <numFmt numFmtId="188" formatCode="&quot;$&quot;_(#,##0.00_);&quot;$&quot;\(#,##0.00\);&quot;$&quot;_(0.00_);@_)"/>
    <numFmt numFmtId="189" formatCode="#,##0_)\x;\(#,##0\)\x;0_)\x;@_)_x"/>
    <numFmt numFmtId="190" formatCode="0.00_);[Red]\(0.00\)"/>
    <numFmt numFmtId="191" formatCode="[$-409]mmm\-yy;@"/>
    <numFmt numFmtId="192" formatCode="#,##0\ &quot;units renovated&quot;"/>
    <numFmt numFmtId="193" formatCode="&quot;Existing Rental Building Renovation Analysis: &quot;\ General"/>
    <numFmt numFmtId="194" formatCode="#,##0\ &quot;Units Are Unrenovated at Analysis Start Date&quot;"/>
    <numFmt numFmtId="195" formatCode="#,##0\ &quot;RSF&quot;"/>
    <numFmt numFmtId="196" formatCode="0\ &quot;RSF&quot;"/>
    <numFmt numFmtId="197" formatCode="#,##0&quot; RSF&quot;"/>
    <numFmt numFmtId="198" formatCode="m/d/yy;@"/>
    <numFmt numFmtId="199" formatCode="0.0000"/>
    <numFmt numFmtId="200" formatCode="#,##0\ &quot;Months&quot;"/>
    <numFmt numFmtId="201" formatCode="&quot;Month&quot;\ #,##0"/>
    <numFmt numFmtId="202" formatCode="#,##0\ &quot;Spaces&quot;"/>
    <numFmt numFmtId="203" formatCode="0.00&quot;/Unit&quot;"/>
    <numFmt numFmtId="204" formatCode="0%\ &quot;LTC&quot;"/>
    <numFmt numFmtId="205" formatCode="0.00&quot;x&quot;"/>
    <numFmt numFmtId="206" formatCode="0%\ &quot;Total Acquisition Cost&quot;"/>
    <numFmt numFmtId="207" formatCode="0\ &quot;Rent Stabilized&quot;"/>
    <numFmt numFmtId="208" formatCode="0\ &quot;Fair Market&quot;"/>
    <numFmt numFmtId="209" formatCode="#&quot; Years&quot;"/>
    <numFmt numFmtId="210" formatCode="#0&quot; Years&quot;"/>
    <numFmt numFmtId="211" formatCode="&quot;/&quot;#,##0&quot; Units&quot;"/>
    <numFmt numFmtId="212" formatCode="\ \ mm/dd/yy"/>
    <numFmt numFmtId="213" formatCode="#,##0.00&quot;x&quot;"/>
    <numFmt numFmtId="214" formatCode="&quot;(Month&quot;\ #,##0&quot;)&quot;"/>
    <numFmt numFmtId="215" formatCode="&quot;Down Month#&quot;#,##0"/>
    <numFmt numFmtId="216" formatCode="#,##0\ &quot;mos.&quot;"/>
  </numFmts>
  <fonts count="97">
    <font>
      <sz val="10"/>
      <name val="Times New Roman"/>
    </font>
    <font>
      <sz val="10"/>
      <name val="Times New Roman"/>
      <family val="1"/>
    </font>
    <font>
      <sz val="10"/>
      <name val="Helv"/>
    </font>
    <font>
      <sz val="10"/>
      <name val="MS Sans Serif"/>
      <family val="2"/>
    </font>
    <font>
      <b/>
      <sz val="10"/>
      <name val="Helv"/>
    </font>
    <font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8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Garamond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Garamond"/>
      <family val="1"/>
    </font>
    <font>
      <b/>
      <sz val="14"/>
      <name val="Garamond"/>
      <family val="1"/>
    </font>
    <font>
      <i/>
      <sz val="14"/>
      <name val="Garamond"/>
      <family val="1"/>
    </font>
    <font>
      <sz val="12"/>
      <name val="Helv"/>
    </font>
    <font>
      <sz val="12"/>
      <color indexed="9"/>
      <name val="Helv"/>
    </font>
    <font>
      <u/>
      <sz val="10"/>
      <color indexed="12"/>
      <name val="Arial"/>
      <family val="2"/>
    </font>
    <font>
      <sz val="12"/>
      <color indexed="13"/>
      <name val="Helv"/>
    </font>
    <font>
      <sz val="10"/>
      <name val="Arial Narrow"/>
      <family val="2"/>
    </font>
    <font>
      <sz val="12"/>
      <color indexed="17"/>
      <name val="Helv"/>
    </font>
    <font>
      <b/>
      <i/>
      <sz val="12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sz val="12"/>
      <color indexed="9"/>
      <name val="Garamond"/>
      <family val="1"/>
    </font>
    <font>
      <sz val="12"/>
      <color indexed="12"/>
      <name val="Garamond"/>
      <family val="1"/>
    </font>
    <font>
      <b/>
      <u/>
      <sz val="12"/>
      <name val="Garamond"/>
      <family val="1"/>
    </font>
    <font>
      <b/>
      <sz val="12"/>
      <color indexed="12"/>
      <name val="Garamond"/>
      <family val="1"/>
    </font>
    <font>
      <u/>
      <sz val="12"/>
      <name val="Garamond"/>
      <family val="1"/>
    </font>
    <font>
      <i/>
      <sz val="12"/>
      <color indexed="12"/>
      <name val="Garamond"/>
      <family val="1"/>
    </font>
    <font>
      <i/>
      <u/>
      <sz val="12"/>
      <name val="Garamond"/>
      <family val="1"/>
    </font>
    <font>
      <b/>
      <sz val="12"/>
      <color indexed="10"/>
      <name val="Garamond"/>
      <family val="1"/>
    </font>
    <font>
      <b/>
      <sz val="16"/>
      <name val="Garamond"/>
      <family val="1"/>
    </font>
    <font>
      <i/>
      <sz val="12"/>
      <color indexed="9"/>
      <name val="Garamond"/>
      <family val="1"/>
    </font>
    <font>
      <sz val="12"/>
      <color indexed="8"/>
      <name val="Garamond"/>
      <family val="1"/>
    </font>
    <font>
      <i/>
      <sz val="12"/>
      <color indexed="8"/>
      <name val="Garamond"/>
      <family val="1"/>
    </font>
    <font>
      <i/>
      <sz val="10"/>
      <name val="Garamond"/>
      <family val="1"/>
    </font>
    <font>
      <sz val="18"/>
      <name val="Garamond"/>
      <family val="1"/>
    </font>
    <font>
      <sz val="11"/>
      <name val="Garamond"/>
      <family val="1"/>
    </font>
    <font>
      <u/>
      <sz val="18"/>
      <name val="Garamond"/>
      <family val="1"/>
    </font>
    <font>
      <sz val="8"/>
      <color indexed="81"/>
      <name val="Tahoma"/>
      <family val="2"/>
    </font>
    <font>
      <sz val="10"/>
      <name val="Garamond"/>
      <family val="1"/>
    </font>
    <font>
      <u/>
      <sz val="11"/>
      <name val="Garamond"/>
      <family val="1"/>
    </font>
    <font>
      <i/>
      <sz val="18"/>
      <name val="Garamond"/>
      <family val="1"/>
    </font>
    <font>
      <sz val="9"/>
      <color indexed="81"/>
      <name val="Tahoma"/>
      <family val="2"/>
    </font>
    <font>
      <sz val="14"/>
      <color indexed="8"/>
      <name val="Garamond"/>
      <family val="1"/>
    </font>
    <font>
      <b/>
      <sz val="10"/>
      <name val="Garamond"/>
      <family val="1"/>
    </font>
    <font>
      <b/>
      <u/>
      <sz val="14"/>
      <name val="Garamond"/>
      <family val="1"/>
    </font>
    <font>
      <sz val="10"/>
      <name val="Arial"/>
      <family val="2"/>
    </font>
    <font>
      <i/>
      <sz val="22"/>
      <name val="Garamond"/>
      <family val="1"/>
    </font>
    <font>
      <sz val="16"/>
      <name val="Garamond"/>
      <family val="1"/>
    </font>
    <font>
      <i/>
      <sz val="14"/>
      <color indexed="8"/>
      <name val="Garamond"/>
      <family val="1"/>
    </font>
    <font>
      <sz val="8"/>
      <name val="Garamond"/>
      <family val="1"/>
    </font>
    <font>
      <b/>
      <sz val="14"/>
      <color indexed="8"/>
      <name val="Garamond"/>
      <family val="1"/>
    </font>
    <font>
      <sz val="10"/>
      <name val="Verdana"/>
      <family val="2"/>
    </font>
    <font>
      <b/>
      <sz val="14"/>
      <color indexed="9"/>
      <name val="Garamond"/>
      <family val="1"/>
    </font>
    <font>
      <sz val="14"/>
      <color indexed="12"/>
      <name val="Garamond"/>
      <family val="1"/>
    </font>
    <font>
      <b/>
      <sz val="18"/>
      <name val="Garamond"/>
      <family val="1"/>
    </font>
    <font>
      <u/>
      <sz val="14"/>
      <color indexed="12"/>
      <name val="Garamond"/>
      <family val="1"/>
    </font>
    <font>
      <sz val="11"/>
      <color theme="1"/>
      <name val="Calibri"/>
      <family val="2"/>
      <scheme val="minor"/>
    </font>
    <font>
      <b/>
      <sz val="12"/>
      <color rgb="FF0000FF"/>
      <name val="Garamond"/>
      <family val="1"/>
    </font>
    <font>
      <sz val="12"/>
      <color rgb="FF0000FF"/>
      <name val="Garamond"/>
      <family val="1"/>
    </font>
    <font>
      <b/>
      <i/>
      <sz val="12"/>
      <color rgb="FF0000FF"/>
      <name val="Garamond"/>
      <family val="1"/>
    </font>
    <font>
      <b/>
      <sz val="12"/>
      <color theme="0"/>
      <name val="Garamond"/>
      <family val="1"/>
    </font>
    <font>
      <b/>
      <sz val="14"/>
      <color rgb="FF000000"/>
      <name val="Garamond"/>
      <family val="1"/>
    </font>
    <font>
      <sz val="14"/>
      <color rgb="FF000000"/>
      <name val="Garamond"/>
      <family val="1"/>
    </font>
    <font>
      <b/>
      <sz val="14"/>
      <color theme="1"/>
      <name val="Garamond"/>
      <family val="1"/>
    </font>
    <font>
      <b/>
      <sz val="12"/>
      <color rgb="FFFF0000"/>
      <name val="Garamond"/>
      <family val="1"/>
    </font>
    <font>
      <b/>
      <u/>
      <sz val="14"/>
      <color rgb="FF000000"/>
      <name val="Garamond"/>
      <family val="1"/>
    </font>
    <font>
      <b/>
      <sz val="12"/>
      <color theme="1"/>
      <name val="Garamond"/>
      <family val="1"/>
    </font>
    <font>
      <sz val="14"/>
      <color theme="1"/>
      <name val="Garamond"/>
      <family val="1"/>
    </font>
    <font>
      <b/>
      <sz val="14"/>
      <color rgb="FF0000FF"/>
      <name val="Garamond"/>
      <family val="1"/>
    </font>
    <font>
      <b/>
      <u/>
      <sz val="14"/>
      <color rgb="FF0000FF"/>
      <name val="Garamond"/>
      <family val="1"/>
    </font>
    <font>
      <sz val="12"/>
      <color theme="0"/>
      <name val="Garamond"/>
      <family val="1"/>
    </font>
    <font>
      <b/>
      <sz val="10"/>
      <color rgb="FFFF0000"/>
      <name val="Garamond"/>
      <family val="1"/>
    </font>
    <font>
      <b/>
      <sz val="22"/>
      <name val="Garamond"/>
      <family val="1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12"/>
      <name val="Garamond"/>
      <family val="1"/>
    </font>
    <font>
      <b/>
      <sz val="9"/>
      <color rgb="FFFF0000"/>
      <name val="Garamond"/>
      <family val="1"/>
    </font>
    <font>
      <b/>
      <u/>
      <sz val="10"/>
      <color theme="10"/>
      <name val="Garamond"/>
      <family val="1"/>
    </font>
    <font>
      <i/>
      <sz val="16"/>
      <name val="Garamond"/>
      <family val="1"/>
    </font>
    <font>
      <b/>
      <sz val="9"/>
      <name val="Garamond"/>
      <family val="1"/>
    </font>
    <font>
      <b/>
      <sz val="8"/>
      <color rgb="FFFF0000"/>
      <name val="Garamond"/>
      <family val="1"/>
    </font>
    <font>
      <u/>
      <sz val="14"/>
      <name val="Garamond"/>
      <family val="1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3">
    <xf numFmtId="0" fontId="0" fillId="0" borderId="0">
      <alignment vertical="center"/>
    </xf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69" fontId="7" fillId="2" borderId="1">
      <alignment horizontal="center" vertical="center"/>
    </xf>
    <xf numFmtId="4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" fillId="0" borderId="0" applyFont="0" applyFill="0" applyBorder="0" applyAlignment="0" applyProtection="0"/>
    <xf numFmtId="6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6" fontId="8" fillId="0" borderId="0">
      <protection locked="0"/>
    </xf>
    <xf numFmtId="172" fontId="6" fillId="0" borderId="0">
      <protection locked="0"/>
    </xf>
    <xf numFmtId="38" fontId="26" fillId="0" borderId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171" fontId="6" fillId="0" borderId="0">
      <protection locked="0"/>
    </xf>
    <xf numFmtId="171" fontId="6" fillId="0" borderId="0">
      <protection locked="0"/>
    </xf>
    <xf numFmtId="190" fontId="27" fillId="0" borderId="0" applyFill="0" applyBorder="0" applyAlignment="0" applyProtection="0">
      <alignment horizontal="right"/>
    </xf>
    <xf numFmtId="0" fontId="11" fillId="0" borderId="2" applyNumberFormat="0" applyFill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9" fillId="4" borderId="3" applyNumberFormat="0" applyBorder="0" applyAlignment="0" applyProtection="0"/>
    <xf numFmtId="37" fontId="29" fillId="0" borderId="4" applyNumberFormat="0" applyFont="0" applyFill="0" applyAlignment="0" applyProtection="0">
      <alignment horizontal="center" vertical="center"/>
    </xf>
    <xf numFmtId="38" fontId="1" fillId="0" borderId="0"/>
    <xf numFmtId="38" fontId="13" fillId="1" borderId="5"/>
    <xf numFmtId="37" fontId="14" fillId="0" borderId="0"/>
    <xf numFmtId="0" fontId="6" fillId="0" borderId="0"/>
    <xf numFmtId="170" fontId="15" fillId="0" borderId="0"/>
    <xf numFmtId="0" fontId="6" fillId="0" borderId="0"/>
    <xf numFmtId="0" fontId="6" fillId="0" borderId="0"/>
    <xf numFmtId="0" fontId="70" fillId="0" borderId="0"/>
    <xf numFmtId="0" fontId="1" fillId="0" borderId="0">
      <alignment vertical="center"/>
    </xf>
    <xf numFmtId="0" fontId="6" fillId="0" borderId="0"/>
    <xf numFmtId="0" fontId="6" fillId="0" borderId="0"/>
    <xf numFmtId="0" fontId="65" fillId="0" borderId="0"/>
    <xf numFmtId="0" fontId="30" fillId="0" borderId="0"/>
    <xf numFmtId="0" fontId="21" fillId="0" borderId="0"/>
    <xf numFmtId="0" fontId="22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1" fillId="0" borderId="0"/>
    <xf numFmtId="3" fontId="1" fillId="0" borderId="0"/>
    <xf numFmtId="0" fontId="6" fillId="0" borderId="0"/>
    <xf numFmtId="0" fontId="1" fillId="0" borderId="0"/>
    <xf numFmtId="0" fontId="6" fillId="0" borderId="0"/>
    <xf numFmtId="37" fontId="31" fillId="0" borderId="0" applyFill="0" applyBorder="0" applyAlignment="0" applyProtection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1" fillId="0" borderId="6"/>
    <xf numFmtId="0" fontId="18" fillId="0" borderId="7" applyNumberFormat="0" applyProtection="0">
      <alignment horizontal="left" vertical="center"/>
    </xf>
    <xf numFmtId="0" fontId="18" fillId="0" borderId="0" applyNumberFormat="0" applyFill="0" applyBorder="0" applyProtection="0">
      <alignment horizontal="left" vertical="top" wrapText="1" indent="1"/>
    </xf>
    <xf numFmtId="0" fontId="19" fillId="0" borderId="8" applyNumberFormat="0" applyProtection="0">
      <alignment horizontal="centerContinuous" vertical="center"/>
    </xf>
    <xf numFmtId="0" fontId="4" fillId="0" borderId="0" applyFill="0" applyBorder="0" applyProtection="0">
      <alignment horizontal="center"/>
    </xf>
    <xf numFmtId="171" fontId="6" fillId="0" borderId="9">
      <protection locked="0"/>
    </xf>
    <xf numFmtId="37" fontId="9" fillId="5" borderId="0" applyNumberFormat="0" applyBorder="0" applyAlignment="0" applyProtection="0"/>
    <xf numFmtId="37" fontId="16" fillId="0" borderId="0"/>
    <xf numFmtId="3" fontId="17" fillId="0" borderId="2" applyProtection="0"/>
    <xf numFmtId="0" fontId="6" fillId="0" borderId="0"/>
  </cellStyleXfs>
  <cellXfs count="990">
    <xf numFmtId="0" fontId="0" fillId="0" borderId="0" xfId="0">
      <alignment vertical="center"/>
    </xf>
    <xf numFmtId="0" fontId="33" fillId="0" borderId="0" xfId="0" applyFont="1">
      <alignment vertical="center"/>
    </xf>
    <xf numFmtId="0" fontId="33" fillId="0" borderId="0" xfId="0" applyFont="1" applyBorder="1" applyAlignment="1"/>
    <xf numFmtId="10" fontId="38" fillId="0" borderId="0" xfId="69" applyNumberFormat="1" applyFont="1" applyBorder="1" applyAlignment="1">
      <alignment horizontal="right"/>
    </xf>
    <xf numFmtId="10" fontId="33" fillId="0" borderId="0" xfId="69" applyNumberFormat="1" applyFont="1" applyBorder="1" applyAlignment="1">
      <alignment horizontal="right"/>
    </xf>
    <xf numFmtId="10" fontId="33" fillId="0" borderId="0" xfId="69" applyNumberFormat="1" applyFont="1" applyFill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41" fillId="0" borderId="0" xfId="61" applyFont="1" applyAlignment="1">
      <alignment horizontal="center"/>
    </xf>
    <xf numFmtId="0" fontId="33" fillId="0" borderId="0" xfId="61" applyFont="1"/>
    <xf numFmtId="10" fontId="40" fillId="0" borderId="0" xfId="62" applyNumberFormat="1" applyFont="1" applyBorder="1" applyAlignment="1" applyProtection="1">
      <alignment horizontal="centerContinuous"/>
      <protection locked="0"/>
    </xf>
    <xf numFmtId="0" fontId="33" fillId="0" borderId="0" xfId="61" applyFont="1" applyFill="1" applyBorder="1"/>
    <xf numFmtId="0" fontId="33" fillId="0" borderId="0" xfId="66" applyFont="1"/>
    <xf numFmtId="0" fontId="36" fillId="0" borderId="0" xfId="61" applyFont="1" applyBorder="1" applyAlignment="1">
      <alignment horizontal="centerContinuous"/>
    </xf>
    <xf numFmtId="0" fontId="32" fillId="0" borderId="0" xfId="61" applyFont="1"/>
    <xf numFmtId="0" fontId="39" fillId="0" borderId="0" xfId="61" applyFont="1" applyAlignment="1">
      <alignment horizontal="center"/>
    </xf>
    <xf numFmtId="167" fontId="33" fillId="0" borderId="0" xfId="60" applyNumberFormat="1" applyFont="1" applyFill="1" applyBorder="1" applyAlignment="1" applyProtection="1">
      <protection locked="0"/>
    </xf>
    <xf numFmtId="6" fontId="33" fillId="0" borderId="0" xfId="61" applyNumberFormat="1" applyFont="1" applyFill="1" applyAlignment="1">
      <alignment horizontal="right"/>
    </xf>
    <xf numFmtId="10" fontId="33" fillId="0" borderId="0" xfId="69" applyNumberFormat="1" applyFont="1" applyAlignment="1">
      <alignment horizontal="right"/>
    </xf>
    <xf numFmtId="10" fontId="33" fillId="0" borderId="0" xfId="61" applyNumberFormat="1" applyFont="1"/>
    <xf numFmtId="164" fontId="33" fillId="0" borderId="0" xfId="61" applyNumberFormat="1" applyFont="1" applyFill="1" applyBorder="1" applyAlignment="1">
      <alignment horizontal="right"/>
    </xf>
    <xf numFmtId="0" fontId="42" fillId="0" borderId="0" xfId="61" applyFont="1" applyFill="1" applyBorder="1" applyAlignment="1"/>
    <xf numFmtId="0" fontId="33" fillId="0" borderId="0" xfId="61" applyFont="1" applyAlignment="1">
      <alignment horizontal="left" indent="1"/>
    </xf>
    <xf numFmtId="166" fontId="33" fillId="0" borderId="6" xfId="61" applyNumberFormat="1" applyFont="1" applyBorder="1" applyAlignment="1">
      <alignment horizontal="right"/>
    </xf>
    <xf numFmtId="10" fontId="33" fillId="0" borderId="6" xfId="69" applyNumberFormat="1" applyFont="1" applyBorder="1" applyAlignment="1">
      <alignment horizontal="right"/>
    </xf>
    <xf numFmtId="0" fontId="33" fillId="0" borderId="0" xfId="61" applyFont="1" applyAlignment="1">
      <alignment horizontal="right"/>
    </xf>
    <xf numFmtId="178" fontId="33" fillId="0" borderId="0" xfId="61" applyNumberFormat="1" applyFont="1"/>
    <xf numFmtId="10" fontId="33" fillId="0" borderId="0" xfId="69" applyNumberFormat="1" applyFont="1"/>
    <xf numFmtId="0" fontId="42" fillId="0" borderId="0" xfId="61" applyFont="1" applyFill="1" applyBorder="1" applyAlignment="1">
      <alignment horizontal="left"/>
    </xf>
    <xf numFmtId="0" fontId="33" fillId="0" borderId="0" xfId="61" applyFont="1" applyAlignment="1">
      <alignment horizontal="left" indent="2"/>
    </xf>
    <xf numFmtId="0" fontId="33" fillId="0" borderId="0" xfId="61" applyFont="1" applyAlignment="1">
      <alignment horizontal="center"/>
    </xf>
    <xf numFmtId="0" fontId="33" fillId="0" borderId="0" xfId="61" applyFont="1" applyBorder="1"/>
    <xf numFmtId="0" fontId="33" fillId="0" borderId="0" xfId="0" applyNumberFormat="1" applyFont="1" applyAlignment="1">
      <alignment horizontal="right"/>
    </xf>
    <xf numFmtId="10" fontId="33" fillId="0" borderId="0" xfId="69" applyNumberFormat="1" applyFont="1" applyFill="1" applyBorder="1" applyAlignment="1">
      <alignment horizontal="left"/>
    </xf>
    <xf numFmtId="0" fontId="33" fillId="8" borderId="0" xfId="61" applyFont="1" applyFill="1"/>
    <xf numFmtId="0" fontId="41" fillId="0" borderId="0" xfId="61" applyFont="1" applyFill="1" applyBorder="1" applyAlignment="1">
      <alignment horizontal="center"/>
    </xf>
    <xf numFmtId="166" fontId="36" fillId="0" borderId="0" xfId="61" applyNumberFormat="1" applyFont="1" applyFill="1" applyAlignment="1">
      <alignment horizontal="right"/>
    </xf>
    <xf numFmtId="166" fontId="33" fillId="0" borderId="0" xfId="61" applyNumberFormat="1" applyFont="1" applyFill="1" applyAlignment="1">
      <alignment horizontal="right"/>
    </xf>
    <xf numFmtId="0" fontId="41" fillId="0" borderId="0" xfId="61" applyFont="1" applyAlignment="1">
      <alignment horizontal="right"/>
    </xf>
    <xf numFmtId="174" fontId="33" fillId="0" borderId="0" xfId="69" applyNumberFormat="1" applyFont="1"/>
    <xf numFmtId="166" fontId="33" fillId="0" borderId="0" xfId="61" applyNumberFormat="1" applyFont="1" applyFill="1" applyBorder="1" applyAlignment="1"/>
    <xf numFmtId="166" fontId="33" fillId="0" borderId="0" xfId="61" applyNumberFormat="1" applyFont="1" applyFill="1" applyBorder="1"/>
    <xf numFmtId="10" fontId="33" fillId="0" borderId="6" xfId="61" applyNumberFormat="1" applyFont="1" applyBorder="1" applyAlignment="1">
      <alignment horizontal="center"/>
    </xf>
    <xf numFmtId="10" fontId="33" fillId="0" borderId="0" xfId="61" applyNumberFormat="1" applyFont="1" applyBorder="1" applyAlignment="1">
      <alignment horizontal="center"/>
    </xf>
    <xf numFmtId="8" fontId="33" fillId="0" borderId="0" xfId="61" applyNumberFormat="1" applyFont="1"/>
    <xf numFmtId="3" fontId="33" fillId="0" borderId="0" xfId="61" applyNumberFormat="1" applyFont="1" applyFill="1" applyBorder="1" applyAlignment="1">
      <alignment horizontal="right"/>
    </xf>
    <xf numFmtId="8" fontId="33" fillId="0" borderId="0" xfId="61" applyNumberFormat="1" applyFont="1" applyFill="1" applyBorder="1"/>
    <xf numFmtId="8" fontId="33" fillId="8" borderId="0" xfId="61" applyNumberFormat="1" applyFont="1" applyFill="1"/>
    <xf numFmtId="8" fontId="33" fillId="0" borderId="0" xfId="61" applyNumberFormat="1" applyFont="1" applyFill="1"/>
    <xf numFmtId="5" fontId="33" fillId="0" borderId="0" xfId="5" applyNumberFormat="1" applyFont="1" applyFill="1" applyBorder="1" applyAlignment="1">
      <alignment horizontal="right"/>
    </xf>
    <xf numFmtId="5" fontId="36" fillId="0" borderId="0" xfId="5" applyNumberFormat="1" applyFont="1" applyBorder="1" applyAlignment="1">
      <alignment horizontal="right"/>
    </xf>
    <xf numFmtId="3" fontId="36" fillId="0" borderId="0" xfId="61" applyNumberFormat="1" applyFont="1" applyFill="1" applyBorder="1" applyAlignment="1">
      <alignment horizontal="right"/>
    </xf>
    <xf numFmtId="166" fontId="33" fillId="0" borderId="0" xfId="61" applyNumberFormat="1" applyFont="1" applyFill="1" applyBorder="1" applyAlignment="1">
      <alignment horizontal="right"/>
    </xf>
    <xf numFmtId="174" fontId="33" fillId="0" borderId="0" xfId="69" applyNumberFormat="1" applyFont="1" applyBorder="1" applyAlignment="1">
      <alignment horizontal="center"/>
    </xf>
    <xf numFmtId="0" fontId="33" fillId="0" borderId="0" xfId="61" applyFont="1" applyBorder="1" applyAlignment="1">
      <alignment horizontal="center"/>
    </xf>
    <xf numFmtId="10" fontId="33" fillId="8" borderId="0" xfId="69" applyNumberFormat="1" applyFont="1" applyFill="1" applyBorder="1" applyAlignment="1">
      <alignment horizontal="left"/>
    </xf>
    <xf numFmtId="167" fontId="38" fillId="8" borderId="0" xfId="60" applyNumberFormat="1" applyFont="1" applyFill="1" applyBorder="1" applyAlignment="1" applyProtection="1">
      <protection locked="0"/>
    </xf>
    <xf numFmtId="167" fontId="33" fillId="8" borderId="0" xfId="60" applyNumberFormat="1" applyFont="1" applyFill="1" applyBorder="1" applyAlignment="1" applyProtection="1">
      <protection locked="0"/>
    </xf>
    <xf numFmtId="9" fontId="38" fillId="8" borderId="0" xfId="69" applyFont="1" applyFill="1"/>
    <xf numFmtId="0" fontId="33" fillId="8" borderId="0" xfId="61" applyFont="1" applyFill="1" applyBorder="1"/>
    <xf numFmtId="0" fontId="41" fillId="8" borderId="0" xfId="61" applyFont="1" applyFill="1" applyBorder="1" applyAlignment="1">
      <alignment horizontal="center"/>
    </xf>
    <xf numFmtId="167" fontId="33" fillId="8" borderId="0" xfId="61" applyNumberFormat="1" applyFont="1" applyFill="1"/>
    <xf numFmtId="10" fontId="33" fillId="8" borderId="0" xfId="61" applyNumberFormat="1" applyFont="1" applyFill="1"/>
    <xf numFmtId="10" fontId="32" fillId="0" borderId="0" xfId="61" applyNumberFormat="1" applyFont="1" applyAlignment="1">
      <alignment horizontal="centerContinuous"/>
    </xf>
    <xf numFmtId="0" fontId="33" fillId="0" borderId="0" xfId="63" applyFont="1" applyAlignment="1">
      <alignment horizontal="center" vertical="center"/>
    </xf>
    <xf numFmtId="0" fontId="33" fillId="0" borderId="0" xfId="63" applyFont="1" applyAlignment="1">
      <alignment vertical="center"/>
    </xf>
    <xf numFmtId="0" fontId="33" fillId="8" borderId="0" xfId="63" applyFont="1" applyFill="1" applyAlignment="1">
      <alignment vertical="center"/>
    </xf>
    <xf numFmtId="181" fontId="44" fillId="8" borderId="0" xfId="63" applyNumberFormat="1" applyFont="1" applyFill="1" applyBorder="1" applyAlignment="1">
      <alignment horizontal="center"/>
    </xf>
    <xf numFmtId="0" fontId="33" fillId="8" borderId="0" xfId="63" applyFont="1" applyFill="1" applyAlignment="1">
      <alignment horizontal="center" vertical="center"/>
    </xf>
    <xf numFmtId="182" fontId="34" fillId="8" borderId="0" xfId="63" applyNumberFormat="1" applyFont="1" applyFill="1" applyBorder="1" applyAlignment="1">
      <alignment horizontal="center"/>
    </xf>
    <xf numFmtId="173" fontId="20" fillId="8" borderId="0" xfId="13" applyNumberFormat="1" applyFont="1" applyFill="1" applyAlignment="1">
      <alignment horizontal="center"/>
    </xf>
    <xf numFmtId="181" fontId="20" fillId="0" borderId="5" xfId="63" applyNumberFormat="1" applyFont="1" applyBorder="1" applyAlignment="1">
      <alignment horizontal="center"/>
    </xf>
    <xf numFmtId="0" fontId="33" fillId="0" borderId="6" xfId="63" applyFont="1" applyFill="1" applyBorder="1" applyAlignment="1">
      <alignment vertical="center"/>
    </xf>
    <xf numFmtId="168" fontId="20" fillId="0" borderId="0" xfId="63" applyNumberFormat="1" applyFont="1" applyFill="1" applyBorder="1" applyAlignment="1">
      <alignment horizontal="center"/>
    </xf>
    <xf numFmtId="0" fontId="33" fillId="0" borderId="10" xfId="63" applyFont="1" applyBorder="1" applyAlignment="1">
      <alignment vertical="center"/>
    </xf>
    <xf numFmtId="0" fontId="33" fillId="0" borderId="0" xfId="63" applyFont="1" applyFill="1" applyBorder="1" applyAlignment="1">
      <alignment horizontal="left"/>
    </xf>
    <xf numFmtId="37" fontId="33" fillId="0" borderId="0" xfId="63" applyNumberFormat="1" applyFont="1" applyFill="1" applyBorder="1" applyAlignment="1">
      <alignment vertical="center"/>
    </xf>
    <xf numFmtId="8" fontId="33" fillId="0" borderId="10" xfId="63" applyNumberFormat="1" applyFont="1" applyBorder="1" applyAlignment="1">
      <alignment vertical="center"/>
    </xf>
    <xf numFmtId="8" fontId="33" fillId="0" borderId="0" xfId="63" applyNumberFormat="1" applyFont="1" applyBorder="1" applyAlignment="1">
      <alignment vertical="center"/>
    </xf>
    <xf numFmtId="0" fontId="20" fillId="0" borderId="0" xfId="63" applyFont="1" applyAlignment="1">
      <alignment vertical="center"/>
    </xf>
    <xf numFmtId="8" fontId="33" fillId="0" borderId="0" xfId="11" applyNumberFormat="1" applyFont="1" applyFill="1" applyBorder="1" applyAlignment="1">
      <alignment horizontal="right"/>
    </xf>
    <xf numFmtId="7" fontId="33" fillId="0" borderId="10" xfId="63" applyNumberFormat="1" applyFont="1" applyBorder="1" applyAlignment="1">
      <alignment vertical="center"/>
    </xf>
    <xf numFmtId="7" fontId="33" fillId="0" borderId="0" xfId="63" applyNumberFormat="1" applyFont="1" applyBorder="1" applyAlignment="1">
      <alignment vertical="center"/>
    </xf>
    <xf numFmtId="5" fontId="33" fillId="0" borderId="0" xfId="63" applyNumberFormat="1" applyFont="1" applyBorder="1" applyAlignment="1">
      <alignment vertical="center"/>
    </xf>
    <xf numFmtId="10" fontId="33" fillId="0" borderId="10" xfId="69" applyNumberFormat="1" applyFont="1" applyFill="1" applyBorder="1" applyAlignment="1">
      <alignment horizontal="right"/>
    </xf>
    <xf numFmtId="0" fontId="33" fillId="0" borderId="11" xfId="63" applyFont="1" applyFill="1" applyBorder="1" applyAlignment="1"/>
    <xf numFmtId="0" fontId="33" fillId="0" borderId="5" xfId="63" applyFont="1" applyFill="1" applyBorder="1" applyAlignment="1"/>
    <xf numFmtId="37" fontId="33" fillId="0" borderId="5" xfId="63" applyNumberFormat="1" applyFont="1" applyFill="1" applyBorder="1" applyAlignment="1">
      <alignment vertical="center"/>
    </xf>
    <xf numFmtId="0" fontId="33" fillId="0" borderId="0" xfId="63" applyFont="1" applyFill="1" applyAlignment="1">
      <alignment vertical="center"/>
    </xf>
    <xf numFmtId="0" fontId="33" fillId="0" borderId="10" xfId="63" applyFont="1" applyFill="1" applyBorder="1" applyAlignment="1">
      <alignment vertical="center"/>
    </xf>
    <xf numFmtId="0" fontId="33" fillId="0" borderId="0" xfId="63" applyFont="1" applyFill="1" applyBorder="1" applyAlignment="1">
      <alignment vertical="center"/>
    </xf>
    <xf numFmtId="6" fontId="33" fillId="0" borderId="5" xfId="11" applyNumberFormat="1" applyFont="1" applyFill="1" applyBorder="1" applyAlignment="1">
      <alignment horizontal="right"/>
    </xf>
    <xf numFmtId="6" fontId="33" fillId="0" borderId="0" xfId="11" applyNumberFormat="1" applyFont="1" applyFill="1" applyBorder="1" applyAlignment="1">
      <alignment horizontal="right"/>
    </xf>
    <xf numFmtId="6" fontId="33" fillId="0" borderId="0" xfId="11" applyNumberFormat="1" applyFont="1" applyFill="1" applyAlignment="1">
      <alignment horizontal="right"/>
    </xf>
    <xf numFmtId="37" fontId="33" fillId="0" borderId="10" xfId="63" applyNumberFormat="1" applyFont="1" applyFill="1" applyBorder="1" applyAlignment="1">
      <alignment vertical="center"/>
    </xf>
    <xf numFmtId="0" fontId="33" fillId="0" borderId="0" xfId="63" applyFont="1" applyAlignment="1"/>
    <xf numFmtId="37" fontId="33" fillId="0" borderId="0" xfId="63" applyNumberFormat="1" applyFont="1" applyAlignment="1">
      <alignment vertical="center"/>
    </xf>
    <xf numFmtId="37" fontId="33" fillId="0" borderId="10" xfId="63" applyNumberFormat="1" applyFont="1" applyBorder="1" applyAlignment="1">
      <alignment vertical="center"/>
    </xf>
    <xf numFmtId="37" fontId="33" fillId="0" borderId="0" xfId="63" applyNumberFormat="1" applyFont="1" applyBorder="1" applyAlignment="1">
      <alignment vertical="center"/>
    </xf>
    <xf numFmtId="3" fontId="33" fillId="0" borderId="0" xfId="63" applyNumberFormat="1" applyFont="1" applyAlignment="1">
      <alignment vertical="center"/>
    </xf>
    <xf numFmtId="6" fontId="33" fillId="0" borderId="10" xfId="11" applyNumberFormat="1" applyFont="1" applyBorder="1" applyAlignment="1">
      <alignment horizontal="right"/>
    </xf>
    <xf numFmtId="6" fontId="33" fillId="0" borderId="0" xfId="11" applyNumberFormat="1" applyFont="1" applyBorder="1" applyAlignment="1">
      <alignment horizontal="right"/>
    </xf>
    <xf numFmtId="0" fontId="20" fillId="0" borderId="0" xfId="63" applyFont="1" applyAlignment="1"/>
    <xf numFmtId="38" fontId="33" fillId="0" borderId="0" xfId="13" applyNumberFormat="1" applyFont="1" applyBorder="1" applyAlignment="1">
      <alignment horizontal="right"/>
    </xf>
    <xf numFmtId="38" fontId="33" fillId="0" borderId="6" xfId="13" applyNumberFormat="1" applyFont="1" applyBorder="1" applyAlignment="1">
      <alignment horizontal="right"/>
    </xf>
    <xf numFmtId="38" fontId="33" fillId="0" borderId="0" xfId="63" applyNumberFormat="1" applyFont="1" applyBorder="1" applyAlignment="1">
      <alignment horizontal="right"/>
    </xf>
    <xf numFmtId="38" fontId="33" fillId="0" borderId="0" xfId="63" applyNumberFormat="1" applyFont="1" applyFill="1" applyBorder="1" applyAlignment="1">
      <alignment horizontal="right"/>
    </xf>
    <xf numFmtId="38" fontId="33" fillId="0" borderId="0" xfId="63" applyNumberFormat="1" applyFont="1" applyBorder="1" applyAlignment="1"/>
    <xf numFmtId="38" fontId="33" fillId="0" borderId="10" xfId="63" applyNumberFormat="1" applyFont="1" applyBorder="1" applyAlignment="1"/>
    <xf numFmtId="0" fontId="33" fillId="0" borderId="0" xfId="63" applyFont="1" applyBorder="1"/>
    <xf numFmtId="0" fontId="33" fillId="0" borderId="10" xfId="63" applyFont="1" applyBorder="1"/>
    <xf numFmtId="38" fontId="33" fillId="0" borderId="0" xfId="63" applyNumberFormat="1" applyFont="1" applyFill="1" applyBorder="1" applyAlignment="1"/>
    <xf numFmtId="38" fontId="33" fillId="0" borderId="10" xfId="69" applyNumberFormat="1" applyFont="1" applyBorder="1" applyAlignment="1"/>
    <xf numFmtId="38" fontId="33" fillId="0" borderId="0" xfId="69" applyNumberFormat="1" applyFont="1" applyBorder="1" applyAlignment="1"/>
    <xf numFmtId="3" fontId="33" fillId="0" borderId="0" xfId="64" applyFont="1" applyBorder="1" applyAlignment="1">
      <alignment horizontal="left"/>
    </xf>
    <xf numFmtId="38" fontId="33" fillId="0" borderId="5" xfId="63" applyNumberFormat="1" applyFont="1" applyBorder="1" applyAlignment="1"/>
    <xf numFmtId="38" fontId="33" fillId="0" borderId="0" xfId="69" applyNumberFormat="1" applyFont="1" applyFill="1" applyBorder="1" applyAlignment="1"/>
    <xf numFmtId="38" fontId="33" fillId="0" borderId="10" xfId="13" applyNumberFormat="1" applyFont="1" applyBorder="1" applyAlignment="1">
      <alignment horizontal="right"/>
    </xf>
    <xf numFmtId="37" fontId="33" fillId="0" borderId="0" xfId="63" applyNumberFormat="1" applyFont="1" applyAlignment="1"/>
    <xf numFmtId="38" fontId="33" fillId="0" borderId="10" xfId="63" applyNumberFormat="1" applyFont="1" applyBorder="1" applyAlignment="1">
      <alignment horizontal="right"/>
    </xf>
    <xf numFmtId="38" fontId="33" fillId="9" borderId="0" xfId="13" applyNumberFormat="1" applyFont="1" applyFill="1" applyBorder="1" applyAlignment="1">
      <alignment horizontal="right"/>
    </xf>
    <xf numFmtId="38" fontId="33" fillId="9" borderId="10" xfId="63" applyNumberFormat="1" applyFont="1" applyFill="1" applyBorder="1" applyAlignment="1">
      <alignment horizontal="right"/>
    </xf>
    <xf numFmtId="38" fontId="33" fillId="9" borderId="0" xfId="63" applyNumberFormat="1" applyFont="1" applyFill="1" applyBorder="1" applyAlignment="1">
      <alignment horizontal="right"/>
    </xf>
    <xf numFmtId="38" fontId="33" fillId="0" borderId="11" xfId="63" applyNumberFormat="1" applyFont="1" applyBorder="1" applyAlignment="1">
      <alignment horizontal="right"/>
    </xf>
    <xf numFmtId="38" fontId="33" fillId="0" borderId="5" xfId="63" applyNumberFormat="1" applyFont="1" applyBorder="1" applyAlignment="1">
      <alignment horizontal="right"/>
    </xf>
    <xf numFmtId="38" fontId="33" fillId="0" borderId="5" xfId="69" applyNumberFormat="1" applyFont="1" applyFill="1" applyBorder="1" applyAlignment="1"/>
    <xf numFmtId="38" fontId="33" fillId="0" borderId="0" xfId="63" applyNumberFormat="1" applyFont="1" applyAlignment="1"/>
    <xf numFmtId="38" fontId="33" fillId="0" borderId="0" xfId="63" applyNumberFormat="1" applyFont="1" applyAlignment="1">
      <alignment horizontal="right"/>
    </xf>
    <xf numFmtId="175" fontId="33" fillId="0" borderId="0" xfId="63" applyNumberFormat="1" applyFont="1" applyFill="1" applyBorder="1" applyAlignment="1">
      <alignment horizontal="right"/>
    </xf>
    <xf numFmtId="0" fontId="45" fillId="0" borderId="0" xfId="63" applyFont="1" applyFill="1" applyBorder="1" applyAlignment="1"/>
    <xf numFmtId="38" fontId="45" fillId="0" borderId="0" xfId="13" applyNumberFormat="1" applyFont="1" applyBorder="1" applyAlignment="1">
      <alignment horizontal="right"/>
    </xf>
    <xf numFmtId="38" fontId="45" fillId="0" borderId="10" xfId="63" applyNumberFormat="1" applyFont="1" applyBorder="1" applyAlignment="1">
      <alignment horizontal="right"/>
    </xf>
    <xf numFmtId="38" fontId="45" fillId="0" borderId="0" xfId="63" applyNumberFormat="1" applyFont="1" applyBorder="1" applyAlignment="1">
      <alignment horizontal="right"/>
    </xf>
    <xf numFmtId="37" fontId="45" fillId="0" borderId="0" xfId="63" applyNumberFormat="1" applyFont="1" applyBorder="1" applyAlignment="1">
      <alignment vertical="center"/>
    </xf>
    <xf numFmtId="38" fontId="33" fillId="0" borderId="6" xfId="63" applyNumberFormat="1" applyFont="1" applyBorder="1" applyAlignment="1">
      <alignment horizontal="right"/>
    </xf>
    <xf numFmtId="38" fontId="33" fillId="0" borderId="6" xfId="63" applyNumberFormat="1" applyFont="1" applyFill="1" applyBorder="1" applyAlignment="1">
      <alignment horizontal="right"/>
    </xf>
    <xf numFmtId="38" fontId="45" fillId="0" borderId="6" xfId="63" applyNumberFormat="1" applyFont="1" applyBorder="1" applyAlignment="1">
      <alignment horizontal="right"/>
    </xf>
    <xf numFmtId="37" fontId="45" fillId="0" borderId="10" xfId="63" applyNumberFormat="1" applyFont="1" applyBorder="1" applyAlignment="1">
      <alignment vertical="center"/>
    </xf>
    <xf numFmtId="37" fontId="45" fillId="0" borderId="12" xfId="63" applyNumberFormat="1" applyFont="1" applyBorder="1" applyAlignment="1">
      <alignment vertical="center"/>
    </xf>
    <xf numFmtId="38" fontId="33" fillId="0" borderId="13" xfId="63" applyNumberFormat="1" applyFont="1" applyBorder="1" applyAlignment="1">
      <alignment horizontal="right"/>
    </xf>
    <xf numFmtId="165" fontId="33" fillId="0" borderId="0" xfId="13" applyNumberFormat="1" applyFont="1" applyFill="1" applyBorder="1" applyAlignment="1">
      <alignment horizontal="left"/>
    </xf>
    <xf numFmtId="38" fontId="33" fillId="8" borderId="0" xfId="13" applyNumberFormat="1" applyFont="1" applyFill="1" applyBorder="1" applyAlignment="1">
      <alignment horizontal="right"/>
    </xf>
    <xf numFmtId="38" fontId="33" fillId="8" borderId="0" xfId="63" applyNumberFormat="1" applyFont="1" applyFill="1" applyAlignment="1">
      <alignment horizontal="right"/>
    </xf>
    <xf numFmtId="38" fontId="20" fillId="0" borderId="0" xfId="63" applyNumberFormat="1" applyFont="1" applyFill="1" applyBorder="1" applyAlignment="1">
      <alignment horizontal="center"/>
    </xf>
    <xf numFmtId="2" fontId="33" fillId="0" borderId="0" xfId="63" applyNumberFormat="1" applyFont="1" applyBorder="1" applyAlignment="1"/>
    <xf numFmtId="0" fontId="33" fillId="0" borderId="0" xfId="63" applyFont="1" applyBorder="1" applyAlignment="1">
      <alignment vertical="center"/>
    </xf>
    <xf numFmtId="0" fontId="33" fillId="0" borderId="0" xfId="63" applyFont="1" applyBorder="1" applyAlignment="1"/>
    <xf numFmtId="0" fontId="34" fillId="0" borderId="0" xfId="63" applyFont="1" applyBorder="1" applyAlignment="1"/>
    <xf numFmtId="2" fontId="34" fillId="0" borderId="0" xfId="63" applyNumberFormat="1" applyFont="1" applyBorder="1" applyAlignment="1">
      <alignment vertical="center"/>
    </xf>
    <xf numFmtId="4" fontId="34" fillId="0" borderId="0" xfId="63" applyNumberFormat="1" applyFont="1" applyBorder="1" applyAlignment="1">
      <alignment horizontal="center"/>
    </xf>
    <xf numFmtId="39" fontId="34" fillId="0" borderId="0" xfId="63" applyNumberFormat="1" applyFont="1" applyBorder="1" applyAlignment="1">
      <alignment horizontal="center"/>
    </xf>
    <xf numFmtId="8" fontId="33" fillId="0" borderId="0" xfId="13" applyFont="1" applyAlignment="1">
      <alignment vertical="center"/>
    </xf>
    <xf numFmtId="10" fontId="23" fillId="0" borderId="0" xfId="61" applyNumberFormat="1" applyFont="1" applyAlignment="1">
      <alignment horizontal="center"/>
    </xf>
    <xf numFmtId="167" fontId="38" fillId="0" borderId="0" xfId="60" applyNumberFormat="1" applyFont="1" applyFill="1" applyBorder="1" applyAlignment="1" applyProtection="1">
      <protection locked="0"/>
    </xf>
    <xf numFmtId="166" fontId="33" fillId="0" borderId="0" xfId="61" applyNumberFormat="1" applyFont="1"/>
    <xf numFmtId="176" fontId="38" fillId="0" borderId="0" xfId="61" applyNumberFormat="1" applyFont="1" applyFill="1" applyAlignment="1">
      <alignment horizontal="right"/>
    </xf>
    <xf numFmtId="176" fontId="38" fillId="0" borderId="0" xfId="61" applyNumberFormat="1" applyFont="1" applyAlignment="1">
      <alignment horizontal="right"/>
    </xf>
    <xf numFmtId="6" fontId="33" fillId="0" borderId="0" xfId="61" applyNumberFormat="1" applyFont="1" applyAlignment="1">
      <alignment horizontal="right"/>
    </xf>
    <xf numFmtId="10" fontId="38" fillId="8" borderId="0" xfId="5" applyNumberFormat="1" applyFont="1" applyFill="1" applyBorder="1" applyAlignment="1">
      <alignment horizontal="right"/>
    </xf>
    <xf numFmtId="10" fontId="71" fillId="8" borderId="0" xfId="61" applyNumberFormat="1" applyFont="1" applyFill="1"/>
    <xf numFmtId="177" fontId="38" fillId="8" borderId="0" xfId="61" applyNumberFormat="1" applyFont="1" applyFill="1" applyAlignment="1">
      <alignment horizontal="right"/>
    </xf>
    <xf numFmtId="10" fontId="38" fillId="0" borderId="0" xfId="69" applyNumberFormat="1" applyFont="1" applyBorder="1" applyAlignment="1">
      <alignment horizontal="center"/>
    </xf>
    <xf numFmtId="9" fontId="71" fillId="8" borderId="0" xfId="61" applyNumberFormat="1" applyFont="1" applyFill="1"/>
    <xf numFmtId="6" fontId="38" fillId="0" borderId="0" xfId="0" applyNumberFormat="1" applyFont="1" applyFill="1" applyAlignment="1">
      <alignment vertical="center"/>
    </xf>
    <xf numFmtId="6" fontId="33" fillId="0" borderId="0" xfId="61" applyNumberFormat="1" applyFont="1" applyFill="1" applyBorder="1" applyAlignment="1">
      <alignment horizontal="right"/>
    </xf>
    <xf numFmtId="0" fontId="33" fillId="0" borderId="0" xfId="65" applyFont="1"/>
    <xf numFmtId="0" fontId="33" fillId="0" borderId="0" xfId="65" applyFont="1" applyBorder="1"/>
    <xf numFmtId="0" fontId="20" fillId="0" borderId="0" xfId="65" applyFont="1" applyFill="1" applyBorder="1" applyAlignment="1" applyProtection="1">
      <alignment horizontal="left" wrapText="1"/>
    </xf>
    <xf numFmtId="0" fontId="33" fillId="0" borderId="0" xfId="65" applyNumberFormat="1" applyFont="1" applyAlignment="1">
      <alignment horizontal="left" indent="1"/>
    </xf>
    <xf numFmtId="0" fontId="33" fillId="0" borderId="0" xfId="65" applyNumberFormat="1" applyFont="1"/>
    <xf numFmtId="0" fontId="20" fillId="0" borderId="0" xfId="65" applyFont="1" applyFill="1" applyBorder="1" applyAlignment="1" applyProtection="1">
      <alignment horizontal="center" wrapText="1"/>
    </xf>
    <xf numFmtId="0" fontId="20" fillId="0" borderId="0" xfId="65" applyFont="1"/>
    <xf numFmtId="0" fontId="20" fillId="0" borderId="0" xfId="65" applyFont="1" applyFill="1" applyBorder="1" applyAlignment="1" applyProtection="1">
      <alignment horizontal="left" wrapText="1" indent="1"/>
    </xf>
    <xf numFmtId="0" fontId="34" fillId="8" borderId="14" xfId="65" applyFont="1" applyFill="1" applyBorder="1" applyAlignment="1" applyProtection="1">
      <alignment horizontal="left" wrapText="1" indent="1"/>
    </xf>
    <xf numFmtId="166" fontId="72" fillId="0" borderId="0" xfId="18" applyNumberFormat="1" applyFont="1" applyBorder="1"/>
    <xf numFmtId="166" fontId="72" fillId="0" borderId="0" xfId="18" applyNumberFormat="1" applyFont="1"/>
    <xf numFmtId="168" fontId="20" fillId="0" borderId="0" xfId="63" applyNumberFormat="1" applyFont="1" applyBorder="1" applyAlignment="1">
      <alignment horizontal="center"/>
    </xf>
    <xf numFmtId="168" fontId="20" fillId="0" borderId="10" xfId="63" applyNumberFormat="1" applyFont="1" applyBorder="1" applyAlignment="1">
      <alignment horizontal="center"/>
    </xf>
    <xf numFmtId="181" fontId="20" fillId="0" borderId="0" xfId="63" applyNumberFormat="1" applyFont="1" applyBorder="1" applyAlignment="1">
      <alignment horizontal="center"/>
    </xf>
    <xf numFmtId="191" fontId="20" fillId="0" borderId="5" xfId="63" applyNumberFormat="1" applyFont="1" applyBorder="1" applyAlignment="1">
      <alignment horizontal="center"/>
    </xf>
    <xf numFmtId="38" fontId="20" fillId="0" borderId="0" xfId="0" quotePrefix="1" applyNumberFormat="1" applyFont="1" applyFill="1" applyBorder="1" applyAlignment="1">
      <alignment horizontal="center" vertical="center"/>
    </xf>
    <xf numFmtId="1" fontId="20" fillId="0" borderId="0" xfId="63" applyNumberFormat="1" applyFont="1" applyBorder="1" applyAlignment="1">
      <alignment horizontal="center"/>
    </xf>
    <xf numFmtId="10" fontId="33" fillId="8" borderId="0" xfId="69" applyNumberFormat="1" applyFont="1" applyFill="1" applyBorder="1" applyAlignment="1">
      <alignment horizontal="right"/>
    </xf>
    <xf numFmtId="37" fontId="33" fillId="8" borderId="0" xfId="63" applyNumberFormat="1" applyFont="1" applyFill="1" applyAlignment="1">
      <alignment vertical="center"/>
    </xf>
    <xf numFmtId="37" fontId="33" fillId="8" borderId="10" xfId="63" applyNumberFormat="1" applyFont="1" applyFill="1" applyBorder="1" applyAlignment="1">
      <alignment vertical="center"/>
    </xf>
    <xf numFmtId="37" fontId="33" fillId="8" borderId="0" xfId="63" applyNumberFormat="1" applyFont="1" applyFill="1" applyBorder="1" applyAlignment="1">
      <alignment vertical="center"/>
    </xf>
    <xf numFmtId="181" fontId="34" fillId="8" borderId="0" xfId="63" applyNumberFormat="1" applyFont="1" applyFill="1" applyBorder="1" applyAlignment="1">
      <alignment horizontal="center"/>
    </xf>
    <xf numFmtId="181" fontId="73" fillId="8" borderId="0" xfId="63" applyNumberFormat="1" applyFont="1" applyFill="1" applyBorder="1" applyAlignment="1">
      <alignment horizontal="center"/>
    </xf>
    <xf numFmtId="0" fontId="20" fillId="8" borderId="0" xfId="63" applyFont="1" applyFill="1" applyAlignment="1"/>
    <xf numFmtId="6" fontId="20" fillId="8" borderId="10" xfId="11" applyNumberFormat="1" applyFont="1" applyFill="1" applyBorder="1" applyAlignment="1">
      <alignment horizontal="right"/>
    </xf>
    <xf numFmtId="0" fontId="20" fillId="8" borderId="0" xfId="63" applyFont="1" applyFill="1" applyAlignment="1">
      <alignment vertical="center"/>
    </xf>
    <xf numFmtId="0" fontId="20" fillId="8" borderId="0" xfId="63" applyFont="1" applyFill="1" applyAlignment="1">
      <alignment horizontal="center" vertical="center"/>
    </xf>
    <xf numFmtId="3" fontId="20" fillId="8" borderId="0" xfId="63" applyNumberFormat="1" applyFont="1" applyFill="1" applyAlignment="1">
      <alignment vertical="center"/>
    </xf>
    <xf numFmtId="6" fontId="33" fillId="8" borderId="10" xfId="11" applyNumberFormat="1" applyFont="1" applyFill="1" applyBorder="1" applyAlignment="1">
      <alignment horizontal="right"/>
    </xf>
    <xf numFmtId="6" fontId="33" fillId="8" borderId="0" xfId="11" applyNumberFormat="1" applyFont="1" applyFill="1" applyBorder="1" applyAlignment="1">
      <alignment horizontal="right"/>
    </xf>
    <xf numFmtId="6" fontId="33" fillId="8" borderId="0" xfId="63" applyNumberFormat="1" applyFont="1" applyFill="1" applyAlignment="1">
      <alignment vertical="center"/>
    </xf>
    <xf numFmtId="3" fontId="33" fillId="8" borderId="0" xfId="63" applyNumberFormat="1" applyFont="1" applyFill="1" applyAlignment="1">
      <alignment vertical="center"/>
    </xf>
    <xf numFmtId="38" fontId="33" fillId="8" borderId="10" xfId="13" applyNumberFormat="1" applyFont="1" applyFill="1" applyBorder="1" applyAlignment="1">
      <alignment horizontal="right"/>
    </xf>
    <xf numFmtId="38" fontId="33" fillId="8" borderId="5" xfId="13" applyNumberFormat="1" applyFont="1" applyFill="1" applyBorder="1" applyAlignment="1">
      <alignment horizontal="right"/>
    </xf>
    <xf numFmtId="0" fontId="45" fillId="8" borderId="0" xfId="63" applyFont="1" applyFill="1" applyBorder="1" applyAlignment="1"/>
    <xf numFmtId="38" fontId="45" fillId="8" borderId="10" xfId="63" applyNumberFormat="1" applyFont="1" applyFill="1" applyBorder="1" applyAlignment="1">
      <alignment horizontal="right"/>
    </xf>
    <xf numFmtId="38" fontId="45" fillId="8" borderId="0" xfId="63" applyNumberFormat="1" applyFont="1" applyFill="1" applyBorder="1" applyAlignment="1">
      <alignment horizontal="right"/>
    </xf>
    <xf numFmtId="38" fontId="33" fillId="0" borderId="0" xfId="13" applyNumberFormat="1" applyFont="1" applyFill="1" applyBorder="1" applyAlignment="1">
      <alignment horizontal="right"/>
    </xf>
    <xf numFmtId="38" fontId="39" fillId="8" borderId="0" xfId="13" applyNumberFormat="1" applyFont="1" applyFill="1" applyBorder="1" applyAlignment="1">
      <alignment horizontal="right"/>
    </xf>
    <xf numFmtId="173" fontId="20" fillId="8" borderId="0" xfId="13" applyNumberFormat="1" applyFont="1" applyFill="1" applyBorder="1" applyAlignment="1">
      <alignment horizontal="center"/>
    </xf>
    <xf numFmtId="38" fontId="20" fillId="0" borderId="0" xfId="13" applyNumberFormat="1" applyFont="1" applyFill="1" applyBorder="1" applyAlignment="1">
      <alignment horizontal="center"/>
    </xf>
    <xf numFmtId="6" fontId="33" fillId="0" borderId="5" xfId="13" applyNumberFormat="1" applyFont="1" applyFill="1" applyBorder="1" applyAlignment="1">
      <alignment horizontal="right"/>
    </xf>
    <xf numFmtId="6" fontId="33" fillId="0" borderId="0" xfId="13" applyNumberFormat="1" applyFont="1" applyFill="1" applyBorder="1" applyAlignment="1">
      <alignment horizontal="right"/>
    </xf>
    <xf numFmtId="40" fontId="33" fillId="0" borderId="0" xfId="63" applyNumberFormat="1" applyFont="1" applyBorder="1" applyAlignment="1"/>
    <xf numFmtId="168" fontId="20" fillId="0" borderId="12" xfId="63" applyNumberFormat="1" applyFont="1" applyBorder="1" applyAlignment="1">
      <alignment horizontal="center"/>
    </xf>
    <xf numFmtId="8" fontId="33" fillId="0" borderId="12" xfId="63" applyNumberFormat="1" applyFont="1" applyBorder="1" applyAlignment="1">
      <alignment vertical="center"/>
    </xf>
    <xf numFmtId="7" fontId="33" fillId="0" borderId="12" xfId="63" applyNumberFormat="1" applyFont="1" applyBorder="1" applyAlignment="1">
      <alignment vertical="center"/>
    </xf>
    <xf numFmtId="0" fontId="33" fillId="0" borderId="12" xfId="63" applyFont="1" applyFill="1" applyBorder="1" applyAlignment="1">
      <alignment vertical="center"/>
    </xf>
    <xf numFmtId="37" fontId="33" fillId="0" borderId="12" xfId="63" applyNumberFormat="1" applyFont="1" applyFill="1" applyBorder="1" applyAlignment="1">
      <alignment vertical="center"/>
    </xf>
    <xf numFmtId="37" fontId="33" fillId="0" borderId="12" xfId="63" applyNumberFormat="1" applyFont="1" applyBorder="1" applyAlignment="1">
      <alignment vertical="center"/>
    </xf>
    <xf numFmtId="37" fontId="33" fillId="8" borderId="12" xfId="63" applyNumberFormat="1" applyFont="1" applyFill="1" applyBorder="1" applyAlignment="1">
      <alignment vertical="center"/>
    </xf>
    <xf numFmtId="6" fontId="33" fillId="0" borderId="12" xfId="11" applyNumberFormat="1" applyFont="1" applyBorder="1" applyAlignment="1">
      <alignment horizontal="right"/>
    </xf>
    <xf numFmtId="6" fontId="33" fillId="8" borderId="12" xfId="11" applyNumberFormat="1" applyFont="1" applyFill="1" applyBorder="1" applyAlignment="1">
      <alignment horizontal="right"/>
    </xf>
    <xf numFmtId="38" fontId="33" fillId="0" borderId="12" xfId="63" applyNumberFormat="1" applyFont="1" applyBorder="1" applyAlignment="1"/>
    <xf numFmtId="0" fontId="33" fillId="0" borderId="12" xfId="63" applyFont="1" applyBorder="1"/>
    <xf numFmtId="38" fontId="33" fillId="0" borderId="12" xfId="69" applyNumberFormat="1" applyFont="1" applyBorder="1" applyAlignment="1"/>
    <xf numFmtId="38" fontId="33" fillId="0" borderId="12" xfId="13" applyNumberFormat="1" applyFont="1" applyBorder="1" applyAlignment="1">
      <alignment horizontal="right"/>
    </xf>
    <xf numFmtId="38" fontId="33" fillId="0" borderId="12" xfId="63" applyNumberFormat="1" applyFont="1" applyBorder="1" applyAlignment="1">
      <alignment horizontal="right"/>
    </xf>
    <xf numFmtId="38" fontId="33" fillId="9" borderId="12" xfId="63" applyNumberFormat="1" applyFont="1" applyFill="1" applyBorder="1" applyAlignment="1">
      <alignment horizontal="right"/>
    </xf>
    <xf numFmtId="38" fontId="33" fillId="0" borderId="15" xfId="63" applyNumberFormat="1" applyFont="1" applyBorder="1" applyAlignment="1">
      <alignment horizontal="right"/>
    </xf>
    <xf numFmtId="38" fontId="45" fillId="8" borderId="12" xfId="63" applyNumberFormat="1" applyFont="1" applyFill="1" applyBorder="1" applyAlignment="1">
      <alignment horizontal="right"/>
    </xf>
    <xf numFmtId="38" fontId="45" fillId="0" borderId="12" xfId="63" applyNumberFormat="1" applyFont="1" applyBorder="1" applyAlignment="1">
      <alignment horizontal="right"/>
    </xf>
    <xf numFmtId="0" fontId="34" fillId="0" borderId="0" xfId="61" applyFont="1" applyAlignment="1">
      <alignment horizontal="center"/>
    </xf>
    <xf numFmtId="0" fontId="71" fillId="8" borderId="0" xfId="61" applyFont="1" applyFill="1" applyAlignment="1">
      <alignment horizontal="center"/>
    </xf>
    <xf numFmtId="0" fontId="41" fillId="8" borderId="0" xfId="61" applyFont="1" applyFill="1" applyAlignment="1">
      <alignment horizontal="center"/>
    </xf>
    <xf numFmtId="6" fontId="33" fillId="8" borderId="6" xfId="61" applyNumberFormat="1" applyFont="1" applyFill="1" applyBorder="1" applyAlignment="1">
      <alignment horizontal="right"/>
    </xf>
    <xf numFmtId="10" fontId="25" fillId="0" borderId="0" xfId="61" applyNumberFormat="1" applyFont="1" applyAlignment="1">
      <alignment horizontal="left"/>
    </xf>
    <xf numFmtId="10" fontId="33" fillId="0" borderId="0" xfId="61" applyNumberFormat="1" applyFont="1" applyAlignment="1">
      <alignment horizontal="center"/>
    </xf>
    <xf numFmtId="6" fontId="33" fillId="8" borderId="0" xfId="61" applyNumberFormat="1" applyFont="1" applyFill="1" applyBorder="1" applyAlignment="1">
      <alignment horizontal="right"/>
    </xf>
    <xf numFmtId="0" fontId="33" fillId="8" borderId="0" xfId="0" applyNumberFormat="1" applyFont="1" applyFill="1" applyBorder="1" applyAlignment="1">
      <alignment horizontal="left"/>
    </xf>
    <xf numFmtId="166" fontId="33" fillId="8" borderId="0" xfId="61" applyNumberFormat="1" applyFont="1" applyFill="1" applyBorder="1"/>
    <xf numFmtId="10" fontId="24" fillId="0" borderId="0" xfId="61" applyNumberFormat="1" applyFont="1" applyAlignment="1"/>
    <xf numFmtId="37" fontId="33" fillId="8" borderId="0" xfId="63" applyNumberFormat="1" applyFont="1" applyFill="1" applyAlignment="1"/>
    <xf numFmtId="6" fontId="20" fillId="8" borderId="0" xfId="11" applyNumberFormat="1" applyFont="1" applyFill="1" applyBorder="1" applyAlignment="1">
      <alignment horizontal="right"/>
    </xf>
    <xf numFmtId="0" fontId="20" fillId="0" borderId="12" xfId="63" applyFont="1" applyBorder="1" applyAlignment="1">
      <alignment horizontal="center" vertical="center"/>
    </xf>
    <xf numFmtId="38" fontId="33" fillId="8" borderId="12" xfId="13" applyNumberFormat="1" applyFont="1" applyFill="1" applyBorder="1" applyAlignment="1">
      <alignment horizontal="right"/>
    </xf>
    <xf numFmtId="0" fontId="20" fillId="0" borderId="10" xfId="63" applyFont="1" applyBorder="1" applyAlignment="1">
      <alignment vertical="center"/>
    </xf>
    <xf numFmtId="0" fontId="20" fillId="0" borderId="0" xfId="63" applyFont="1" applyBorder="1" applyAlignment="1">
      <alignment vertical="center"/>
    </xf>
    <xf numFmtId="0" fontId="20" fillId="0" borderId="16" xfId="63" applyFont="1" applyBorder="1" applyAlignment="1">
      <alignment vertical="center"/>
    </xf>
    <xf numFmtId="0" fontId="20" fillId="0" borderId="0" xfId="63" applyFont="1" applyAlignment="1">
      <alignment horizontal="left" vertical="center"/>
    </xf>
    <xf numFmtId="38" fontId="71" fillId="0" borderId="10" xfId="63" applyNumberFormat="1" applyFont="1" applyBorder="1" applyAlignment="1">
      <alignment horizontal="right"/>
    </xf>
    <xf numFmtId="38" fontId="71" fillId="0" borderId="0" xfId="63" applyNumberFormat="1" applyFont="1" applyBorder="1" applyAlignment="1">
      <alignment horizontal="right"/>
    </xf>
    <xf numFmtId="10" fontId="33" fillId="0" borderId="0" xfId="69" applyNumberFormat="1" applyFont="1" applyFill="1" applyBorder="1" applyAlignment="1">
      <alignment horizontal="center"/>
    </xf>
    <xf numFmtId="6" fontId="33" fillId="0" borderId="0" xfId="61" applyNumberFormat="1" applyFont="1"/>
    <xf numFmtId="0" fontId="71" fillId="8" borderId="0" xfId="63" applyFont="1" applyFill="1" applyAlignment="1">
      <alignment horizontal="center" vertical="center"/>
    </xf>
    <xf numFmtId="0" fontId="34" fillId="8" borderId="0" xfId="63" applyFont="1" applyFill="1" applyAlignment="1">
      <alignment horizontal="center" vertical="center"/>
    </xf>
    <xf numFmtId="0" fontId="33" fillId="8" borderId="0" xfId="61" applyFont="1" applyFill="1" applyAlignment="1">
      <alignment horizontal="left"/>
    </xf>
    <xf numFmtId="6" fontId="33" fillId="8" borderId="0" xfId="61" applyNumberFormat="1" applyFont="1" applyFill="1" applyAlignment="1">
      <alignment horizontal="right"/>
    </xf>
    <xf numFmtId="6" fontId="33" fillId="0" borderId="0" xfId="61" applyNumberFormat="1" applyFont="1" applyFill="1" applyBorder="1"/>
    <xf numFmtId="2" fontId="71" fillId="8" borderId="0" xfId="61" applyNumberFormat="1" applyFont="1" applyFill="1"/>
    <xf numFmtId="40" fontId="33" fillId="0" borderId="0" xfId="13" applyNumberFormat="1" applyFont="1" applyBorder="1" applyAlignment="1">
      <alignment horizontal="right"/>
    </xf>
    <xf numFmtId="0" fontId="34" fillId="0" borderId="0" xfId="63" applyFont="1" applyFill="1" applyAlignment="1">
      <alignment vertical="center"/>
    </xf>
    <xf numFmtId="38" fontId="47" fillId="0" borderId="0" xfId="63" applyNumberFormat="1" applyFont="1" applyFill="1" applyAlignment="1">
      <alignment horizontal="center" vertical="center"/>
    </xf>
    <xf numFmtId="10" fontId="47" fillId="0" borderId="0" xfId="63" applyNumberFormat="1" applyFont="1" applyFill="1" applyAlignment="1">
      <alignment horizontal="center" vertical="center"/>
    </xf>
    <xf numFmtId="0" fontId="0" fillId="8" borderId="0" xfId="0" applyFill="1">
      <alignment vertical="center"/>
    </xf>
    <xf numFmtId="0" fontId="48" fillId="8" borderId="0" xfId="0" applyFont="1" applyFill="1">
      <alignment vertical="center"/>
    </xf>
    <xf numFmtId="0" fontId="23" fillId="8" borderId="0" xfId="0" applyFont="1" applyFill="1">
      <alignment vertical="center"/>
    </xf>
    <xf numFmtId="14" fontId="23" fillId="8" borderId="0" xfId="0" applyNumberFormat="1" applyFont="1" applyFill="1">
      <alignment vertical="center"/>
    </xf>
    <xf numFmtId="6" fontId="33" fillId="8" borderId="0" xfId="11" applyNumberFormat="1" applyFont="1" applyFill="1" applyAlignment="1">
      <alignment horizontal="right"/>
    </xf>
    <xf numFmtId="14" fontId="23" fillId="8" borderId="0" xfId="0" applyNumberFormat="1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5" fillId="8" borderId="0" xfId="0" applyFont="1" applyFill="1">
      <alignment vertical="center"/>
    </xf>
    <xf numFmtId="0" fontId="33" fillId="0" borderId="0" xfId="61" applyFont="1" applyFill="1" applyBorder="1" applyAlignment="1">
      <alignment horizontal="center"/>
    </xf>
    <xf numFmtId="0" fontId="33" fillId="8" borderId="10" xfId="63" applyFont="1" applyFill="1" applyBorder="1" applyAlignment="1">
      <alignment vertical="center"/>
    </xf>
    <xf numFmtId="37" fontId="34" fillId="8" borderId="0" xfId="63" applyNumberFormat="1" applyFont="1" applyFill="1" applyBorder="1" applyAlignment="1">
      <alignment vertical="center"/>
    </xf>
    <xf numFmtId="37" fontId="34" fillId="8" borderId="10" xfId="63" applyNumberFormat="1" applyFont="1" applyFill="1" applyBorder="1" applyAlignment="1">
      <alignment vertical="center"/>
    </xf>
    <xf numFmtId="37" fontId="34" fillId="8" borderId="12" xfId="63" applyNumberFormat="1" applyFont="1" applyFill="1" applyBorder="1" applyAlignment="1">
      <alignment vertical="center"/>
    </xf>
    <xf numFmtId="38" fontId="34" fillId="8" borderId="0" xfId="13" applyNumberFormat="1" applyFont="1" applyFill="1" applyBorder="1" applyAlignment="1">
      <alignment horizontal="right"/>
    </xf>
    <xf numFmtId="0" fontId="20" fillId="8" borderId="0" xfId="61" applyFont="1" applyFill="1" applyBorder="1" applyAlignment="1">
      <alignment horizontal="center" vertical="center"/>
    </xf>
    <xf numFmtId="0" fontId="20" fillId="8" borderId="0" xfId="61" applyFont="1" applyFill="1" applyBorder="1" applyAlignment="1">
      <alignment horizontal="left" vertical="center"/>
    </xf>
    <xf numFmtId="0" fontId="46" fillId="8" borderId="0" xfId="63" quotePrefix="1" applyFont="1" applyFill="1" applyBorder="1" applyAlignment="1">
      <alignment horizontal="left" indent="1"/>
    </xf>
    <xf numFmtId="10" fontId="33" fillId="8" borderId="0" xfId="69" applyNumberFormat="1" applyFont="1" applyFill="1" applyBorder="1" applyAlignment="1">
      <alignment horizontal="center"/>
    </xf>
    <xf numFmtId="197" fontId="33" fillId="0" borderId="0" xfId="61" applyNumberFormat="1" applyFont="1" applyFill="1" applyBorder="1" applyAlignment="1">
      <alignment horizontal="right"/>
    </xf>
    <xf numFmtId="5" fontId="20" fillId="0" borderId="6" xfId="61" applyNumberFormat="1" applyFont="1" applyFill="1" applyBorder="1" applyAlignment="1">
      <alignment horizontal="right"/>
    </xf>
    <xf numFmtId="0" fontId="33" fillId="0" borderId="5" xfId="61" applyFont="1" applyBorder="1"/>
    <xf numFmtId="1" fontId="33" fillId="0" borderId="0" xfId="61" applyNumberFormat="1" applyFont="1" applyBorder="1" applyAlignment="1">
      <alignment horizontal="right"/>
    </xf>
    <xf numFmtId="0" fontId="33" fillId="0" borderId="0" xfId="65" applyFont="1" applyFill="1" applyBorder="1" applyAlignment="1" applyProtection="1">
      <alignment horizontal="left" wrapText="1" indent="1"/>
    </xf>
    <xf numFmtId="0" fontId="37" fillId="0" borderId="0" xfId="65" applyFont="1" applyFill="1" applyBorder="1" applyAlignment="1" applyProtection="1">
      <alignment horizontal="left" wrapText="1"/>
    </xf>
    <xf numFmtId="166" fontId="33" fillId="8" borderId="0" xfId="18" applyNumberFormat="1" applyFont="1" applyFill="1" applyBorder="1"/>
    <xf numFmtId="166" fontId="72" fillId="8" borderId="0" xfId="18" applyNumberFormat="1" applyFont="1" applyFill="1" applyBorder="1"/>
    <xf numFmtId="165" fontId="33" fillId="8" borderId="0" xfId="13" applyNumberFormat="1" applyFont="1" applyFill="1" applyBorder="1" applyAlignment="1">
      <alignment horizontal="left"/>
    </xf>
    <xf numFmtId="38" fontId="71" fillId="8" borderId="10" xfId="63" applyNumberFormat="1" applyFont="1" applyFill="1" applyBorder="1" applyAlignment="1">
      <alignment horizontal="right"/>
    </xf>
    <xf numFmtId="38" fontId="71" fillId="8" borderId="0" xfId="63" applyNumberFormat="1" applyFont="1" applyFill="1" applyBorder="1" applyAlignment="1">
      <alignment horizontal="right"/>
    </xf>
    <xf numFmtId="10" fontId="38" fillId="8" borderId="0" xfId="69" applyNumberFormat="1" applyFont="1" applyFill="1" applyBorder="1"/>
    <xf numFmtId="6" fontId="33" fillId="8" borderId="0" xfId="61" applyNumberFormat="1" applyFont="1" applyFill="1" applyBorder="1"/>
    <xf numFmtId="0" fontId="33" fillId="0" borderId="0" xfId="65" applyFont="1" applyFill="1" applyBorder="1" applyAlignment="1">
      <alignment horizontal="center" wrapText="1"/>
    </xf>
    <xf numFmtId="6" fontId="33" fillId="0" borderId="0" xfId="18" applyNumberFormat="1" applyFont="1" applyFill="1" applyBorder="1" applyAlignment="1">
      <alignment vertical="top"/>
    </xf>
    <xf numFmtId="6" fontId="72" fillId="0" borderId="6" xfId="18" applyNumberFormat="1" applyFont="1" applyFill="1" applyBorder="1" applyAlignment="1">
      <alignment vertical="top"/>
    </xf>
    <xf numFmtId="6" fontId="33" fillId="0" borderId="6" xfId="18" applyNumberFormat="1" applyFont="1" applyFill="1" applyBorder="1" applyAlignment="1">
      <alignment vertical="top"/>
    </xf>
    <xf numFmtId="6" fontId="33" fillId="0" borderId="0" xfId="18" applyNumberFormat="1" applyFont="1" applyFill="1" applyBorder="1"/>
    <xf numFmtId="6" fontId="33" fillId="0" borderId="0" xfId="65" applyNumberFormat="1" applyFont="1" applyFill="1" applyBorder="1"/>
    <xf numFmtId="6" fontId="33" fillId="8" borderId="0" xfId="18" applyNumberFormat="1" applyFont="1" applyFill="1" applyBorder="1" applyAlignment="1">
      <alignment vertical="top"/>
    </xf>
    <xf numFmtId="6" fontId="33" fillId="0" borderId="0" xfId="18" applyNumberFormat="1" applyFont="1" applyFill="1" applyBorder="1" applyAlignment="1"/>
    <xf numFmtId="6" fontId="20" fillId="0" borderId="17" xfId="18" applyNumberFormat="1" applyFont="1" applyBorder="1"/>
    <xf numFmtId="6" fontId="20" fillId="0" borderId="0" xfId="18" applyNumberFormat="1" applyFont="1" applyFill="1" applyBorder="1"/>
    <xf numFmtId="6" fontId="20" fillId="0" borderId="9" xfId="18" applyNumberFormat="1" applyFont="1" applyBorder="1"/>
    <xf numFmtId="165" fontId="20" fillId="0" borderId="0" xfId="65" applyNumberFormat="1" applyFont="1" applyFill="1" applyBorder="1" applyAlignment="1" applyProtection="1">
      <alignment horizontal="left" wrapText="1"/>
    </xf>
    <xf numFmtId="40" fontId="33" fillId="8" borderId="0" xfId="13" applyNumberFormat="1" applyFont="1" applyFill="1" applyBorder="1" applyAlignment="1">
      <alignment horizontal="right"/>
    </xf>
    <xf numFmtId="0" fontId="38" fillId="8" borderId="0" xfId="61" applyNumberFormat="1" applyFont="1" applyFill="1" applyBorder="1" applyAlignment="1">
      <alignment horizontal="center"/>
    </xf>
    <xf numFmtId="0" fontId="33" fillId="8" borderId="0" xfId="61" applyFont="1" applyFill="1" applyBorder="1" applyAlignment="1">
      <alignment horizontal="center"/>
    </xf>
    <xf numFmtId="0" fontId="33" fillId="8" borderId="0" xfId="61" applyFont="1" applyFill="1" applyBorder="1" applyAlignment="1">
      <alignment horizontal="center" vertical="center"/>
    </xf>
    <xf numFmtId="6" fontId="23" fillId="8" borderId="0" xfId="0" applyNumberFormat="1" applyFont="1" applyFill="1" applyAlignment="1">
      <alignment horizontal="center" vertical="center"/>
    </xf>
    <xf numFmtId="6" fontId="33" fillId="0" borderId="0" xfId="61" applyNumberFormat="1" applyFont="1" applyAlignment="1">
      <alignment horizontal="center"/>
    </xf>
    <xf numFmtId="3" fontId="33" fillId="8" borderId="0" xfId="64" applyFont="1" applyFill="1" applyBorder="1" applyAlignment="1">
      <alignment horizontal="left"/>
    </xf>
    <xf numFmtId="10" fontId="33" fillId="8" borderId="0" xfId="69" applyNumberFormat="1" applyFont="1" applyFill="1" applyAlignment="1">
      <alignment horizontal="right"/>
    </xf>
    <xf numFmtId="3" fontId="33" fillId="0" borderId="0" xfId="61" applyNumberFormat="1" applyFont="1" applyFill="1" applyAlignment="1">
      <alignment horizontal="left"/>
    </xf>
    <xf numFmtId="199" fontId="33" fillId="8" borderId="0" xfId="61" applyNumberFormat="1" applyFont="1" applyFill="1" applyAlignment="1">
      <alignment horizontal="right"/>
    </xf>
    <xf numFmtId="199" fontId="33" fillId="0" borderId="0" xfId="61" applyNumberFormat="1" applyFont="1" applyAlignment="1">
      <alignment horizontal="right"/>
    </xf>
    <xf numFmtId="0" fontId="33" fillId="0" borderId="0" xfId="65" applyFont="1" applyAlignment="1">
      <alignment horizontal="right"/>
    </xf>
    <xf numFmtId="185" fontId="32" fillId="0" borderId="0" xfId="65" applyNumberFormat="1" applyFont="1" applyFill="1" applyBorder="1" applyAlignment="1" applyProtection="1">
      <alignment horizontal="right" wrapText="1"/>
    </xf>
    <xf numFmtId="191" fontId="33" fillId="0" borderId="0" xfId="0" applyNumberFormat="1" applyFont="1" applyAlignment="1">
      <alignment horizontal="center"/>
    </xf>
    <xf numFmtId="0" fontId="33" fillId="8" borderId="0" xfId="65" applyFont="1" applyFill="1"/>
    <xf numFmtId="0" fontId="33" fillId="8" borderId="0" xfId="65" applyFont="1" applyFill="1" applyBorder="1" applyAlignment="1">
      <alignment horizontal="right"/>
    </xf>
    <xf numFmtId="0" fontId="33" fillId="8" borderId="0" xfId="65" applyFont="1" applyFill="1" applyAlignment="1">
      <alignment horizontal="right"/>
    </xf>
    <xf numFmtId="10" fontId="33" fillId="8" borderId="0" xfId="65" applyNumberFormat="1" applyFont="1" applyFill="1" applyBorder="1" applyAlignment="1">
      <alignment horizontal="center"/>
    </xf>
    <xf numFmtId="0" fontId="33" fillId="8" borderId="0" xfId="65" applyFont="1" applyFill="1" applyBorder="1" applyAlignment="1">
      <alignment horizontal="center"/>
    </xf>
    <xf numFmtId="0" fontId="23" fillId="0" borderId="0" xfId="65" applyFont="1" applyFill="1" applyBorder="1" applyAlignment="1">
      <alignment horizontal="center"/>
    </xf>
    <xf numFmtId="14" fontId="33" fillId="0" borderId="3" xfId="65" applyNumberFormat="1" applyFont="1" applyFill="1" applyBorder="1" applyAlignment="1">
      <alignment horizontal="center"/>
    </xf>
    <xf numFmtId="186" fontId="34" fillId="8" borderId="13" xfId="69" applyNumberFormat="1" applyFont="1" applyFill="1" applyBorder="1" applyAlignment="1">
      <alignment horizontal="center"/>
    </xf>
    <xf numFmtId="186" fontId="34" fillId="8" borderId="18" xfId="69" applyNumberFormat="1" applyFont="1" applyFill="1" applyBorder="1" applyAlignment="1">
      <alignment horizontal="center"/>
    </xf>
    <xf numFmtId="198" fontId="33" fillId="0" borderId="0" xfId="65" applyNumberFormat="1" applyFont="1"/>
    <xf numFmtId="0" fontId="32" fillId="0" borderId="0" xfId="65" applyFont="1" applyAlignment="1">
      <alignment horizontal="right"/>
    </xf>
    <xf numFmtId="6" fontId="33" fillId="8" borderId="0" xfId="18" applyNumberFormat="1" applyFont="1" applyFill="1" applyBorder="1" applyAlignment="1"/>
    <xf numFmtId="0" fontId="20" fillId="0" borderId="0" xfId="61" applyFont="1"/>
    <xf numFmtId="10" fontId="38" fillId="0" borderId="0" xfId="0" applyNumberFormat="1" applyFont="1" applyFill="1" applyBorder="1" applyAlignment="1">
      <alignment vertical="center"/>
    </xf>
    <xf numFmtId="6" fontId="20" fillId="0" borderId="0" xfId="61" applyNumberFormat="1" applyFont="1"/>
    <xf numFmtId="0" fontId="20" fillId="8" borderId="0" xfId="61" applyFont="1" applyFill="1"/>
    <xf numFmtId="201" fontId="71" fillId="8" borderId="0" xfId="61" applyNumberFormat="1" applyFont="1" applyFill="1"/>
    <xf numFmtId="6" fontId="33" fillId="8" borderId="0" xfId="5" applyNumberFormat="1" applyFont="1" applyFill="1" applyBorder="1" applyAlignment="1">
      <alignment horizontal="right"/>
    </xf>
    <xf numFmtId="202" fontId="38" fillId="8" borderId="0" xfId="61" applyNumberFormat="1" applyFont="1" applyFill="1" applyAlignment="1"/>
    <xf numFmtId="203" fontId="33" fillId="0" borderId="0" xfId="61" applyNumberFormat="1" applyFont="1"/>
    <xf numFmtId="166" fontId="33" fillId="0" borderId="0" xfId="61" applyNumberFormat="1" applyFont="1" applyBorder="1" applyAlignment="1">
      <alignment horizontal="right"/>
    </xf>
    <xf numFmtId="0" fontId="20" fillId="0" borderId="19" xfId="61" applyFont="1" applyFill="1" applyBorder="1" applyAlignment="1">
      <alignment horizontal="center"/>
    </xf>
    <xf numFmtId="3" fontId="20" fillId="8" borderId="20" xfId="61" applyNumberFormat="1" applyFont="1" applyFill="1" applyBorder="1" applyAlignment="1">
      <alignment horizontal="center"/>
    </xf>
    <xf numFmtId="0" fontId="33" fillId="8" borderId="0" xfId="0" applyNumberFormat="1" applyFont="1" applyFill="1" applyAlignment="1">
      <alignment horizontal="left" indent="1"/>
    </xf>
    <xf numFmtId="0" fontId="33" fillId="0" borderId="3" xfId="61" applyFont="1" applyFill="1" applyBorder="1" applyAlignment="1">
      <alignment horizontal="center"/>
    </xf>
    <xf numFmtId="196" fontId="33" fillId="0" borderId="3" xfId="5" applyNumberFormat="1" applyFont="1" applyBorder="1" applyAlignment="1">
      <alignment horizontal="center"/>
    </xf>
    <xf numFmtId="195" fontId="33" fillId="0" borderId="3" xfId="5" applyNumberFormat="1" applyFont="1" applyBorder="1" applyAlignment="1">
      <alignment horizontal="right"/>
    </xf>
    <xf numFmtId="6" fontId="33" fillId="8" borderId="3" xfId="5" applyNumberFormat="1" applyFont="1" applyFill="1" applyBorder="1" applyAlignment="1">
      <alignment horizontal="center"/>
    </xf>
    <xf numFmtId="5" fontId="33" fillId="8" borderId="3" xfId="5" applyNumberFormat="1" applyFont="1" applyFill="1" applyBorder="1" applyAlignment="1">
      <alignment horizontal="right"/>
    </xf>
    <xf numFmtId="7" fontId="33" fillId="0" borderId="3" xfId="61" applyNumberFormat="1" applyFont="1" applyFill="1" applyBorder="1" applyAlignment="1">
      <alignment horizontal="right"/>
    </xf>
    <xf numFmtId="195" fontId="20" fillId="8" borderId="20" xfId="61" applyNumberFormat="1" applyFont="1" applyFill="1" applyBorder="1" applyAlignment="1">
      <alignment horizontal="center"/>
    </xf>
    <xf numFmtId="195" fontId="20" fillId="8" borderId="20" xfId="61" applyNumberFormat="1" applyFont="1" applyFill="1" applyBorder="1" applyAlignment="1">
      <alignment horizontal="right"/>
    </xf>
    <xf numFmtId="38" fontId="38" fillId="0" borderId="3" xfId="5" applyNumberFormat="1" applyFont="1" applyFill="1" applyBorder="1" applyAlignment="1">
      <alignment horizontal="left"/>
    </xf>
    <xf numFmtId="0" fontId="74" fillId="8" borderId="0" xfId="61" applyFont="1" applyFill="1" applyBorder="1" applyAlignment="1">
      <alignment vertical="center"/>
    </xf>
    <xf numFmtId="0" fontId="20" fillId="0" borderId="21" xfId="61" applyFont="1" applyBorder="1" applyAlignment="1">
      <alignment horizontal="center"/>
    </xf>
    <xf numFmtId="0" fontId="20" fillId="0" borderId="19" xfId="61" applyFont="1" applyBorder="1" applyAlignment="1">
      <alignment horizontal="center"/>
    </xf>
    <xf numFmtId="0" fontId="34" fillId="0" borderId="3" xfId="61" applyFont="1" applyFill="1" applyBorder="1" applyAlignment="1">
      <alignment horizontal="center"/>
    </xf>
    <xf numFmtId="0" fontId="33" fillId="0" borderId="5" xfId="61" applyFont="1" applyBorder="1" applyAlignment="1">
      <alignment horizontal="left" indent="1"/>
    </xf>
    <xf numFmtId="0" fontId="33" fillId="0" borderId="0" xfId="0" applyFont="1" applyAlignment="1">
      <alignment horizontal="left" vertical="center" indent="1"/>
    </xf>
    <xf numFmtId="0" fontId="33" fillId="0" borderId="0" xfId="61" applyFont="1" applyBorder="1" applyAlignment="1">
      <alignment horizontal="left" indent="1"/>
    </xf>
    <xf numFmtId="0" fontId="20" fillId="0" borderId="0" xfId="61" applyFont="1" applyAlignment="1">
      <alignment horizontal="left" indent="1"/>
    </xf>
    <xf numFmtId="0" fontId="74" fillId="8" borderId="0" xfId="61" applyFont="1" applyFill="1" applyBorder="1" applyAlignment="1"/>
    <xf numFmtId="10" fontId="38" fillId="0" borderId="0" xfId="69" applyNumberFormat="1" applyFont="1" applyBorder="1" applyAlignment="1">
      <alignment horizontal="left"/>
    </xf>
    <xf numFmtId="0" fontId="33" fillId="8" borderId="0" xfId="61" applyFont="1" applyFill="1" applyBorder="1" applyAlignment="1">
      <alignment horizontal="right"/>
    </xf>
    <xf numFmtId="3" fontId="20" fillId="0" borderId="0" xfId="61" applyNumberFormat="1" applyFont="1" applyAlignment="1">
      <alignment horizontal="center"/>
    </xf>
    <xf numFmtId="0" fontId="20" fillId="0" borderId="0" xfId="0" applyFont="1">
      <alignment vertical="center"/>
    </xf>
    <xf numFmtId="0" fontId="20" fillId="0" borderId="0" xfId="61" applyFont="1" applyFill="1" applyBorder="1"/>
    <xf numFmtId="6" fontId="33" fillId="0" borderId="5" xfId="61" applyNumberFormat="1" applyFont="1" applyBorder="1"/>
    <xf numFmtId="0" fontId="33" fillId="8" borderId="5" xfId="61" applyFont="1" applyFill="1" applyBorder="1"/>
    <xf numFmtId="10" fontId="38" fillId="0" borderId="5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horizontal="left"/>
    </xf>
    <xf numFmtId="9" fontId="49" fillId="8" borderId="0" xfId="69" applyNumberFormat="1" applyFont="1" applyFill="1" applyBorder="1" applyAlignment="1">
      <alignment horizontal="center"/>
    </xf>
    <xf numFmtId="9" fontId="49" fillId="0" borderId="0" xfId="69" applyNumberFormat="1" applyFont="1" applyBorder="1" applyAlignment="1">
      <alignment horizontal="center"/>
    </xf>
    <xf numFmtId="9" fontId="53" fillId="0" borderId="0" xfId="69" applyNumberFormat="1" applyFont="1" applyBorder="1" applyAlignment="1">
      <alignment horizontal="center"/>
    </xf>
    <xf numFmtId="0" fontId="20" fillId="0" borderId="22" xfId="63" applyFont="1" applyBorder="1" applyAlignment="1"/>
    <xf numFmtId="37" fontId="33" fillId="0" borderId="23" xfId="63" applyNumberFormat="1" applyFont="1" applyBorder="1" applyAlignment="1"/>
    <xf numFmtId="0" fontId="75" fillId="8" borderId="0" xfId="0" applyFont="1" applyFill="1" applyAlignment="1">
      <alignment wrapText="1"/>
    </xf>
    <xf numFmtId="0" fontId="23" fillId="8" borderId="0" xfId="0" applyFont="1" applyFill="1" applyAlignment="1">
      <alignment horizontal="center"/>
    </xf>
    <xf numFmtId="0" fontId="23" fillId="8" borderId="0" xfId="0" applyFont="1" applyFill="1" applyAlignment="1"/>
    <xf numFmtId="0" fontId="76" fillId="8" borderId="0" xfId="0" applyFont="1" applyFill="1" applyAlignment="1">
      <alignment horizontal="left" vertical="top"/>
    </xf>
    <xf numFmtId="0" fontId="76" fillId="8" borderId="0" xfId="0" applyFont="1" applyFill="1" applyAlignment="1">
      <alignment horizontal="center" vertical="top"/>
    </xf>
    <xf numFmtId="14" fontId="23" fillId="8" borderId="0" xfId="0" applyNumberFormat="1" applyFont="1" applyFill="1" applyAlignment="1">
      <alignment horizontal="center"/>
    </xf>
    <xf numFmtId="0" fontId="23" fillId="8" borderId="0" xfId="0" applyFont="1" applyFill="1" applyBorder="1" applyAlignment="1">
      <alignment horizontal="center" vertical="top" wrapText="1"/>
    </xf>
    <xf numFmtId="0" fontId="77" fillId="8" borderId="0" xfId="0" applyFont="1" applyFill="1" applyBorder="1" applyAlignment="1">
      <alignment horizontal="center" vertical="top" wrapText="1"/>
    </xf>
    <xf numFmtId="14" fontId="23" fillId="8" borderId="0" xfId="0" applyNumberFormat="1" applyFont="1" applyFill="1" applyBorder="1" applyAlignment="1">
      <alignment horizontal="center"/>
    </xf>
    <xf numFmtId="0" fontId="23" fillId="8" borderId="0" xfId="0" applyFont="1" applyFill="1" applyBorder="1">
      <alignment vertical="center"/>
    </xf>
    <xf numFmtId="0" fontId="23" fillId="8" borderId="0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right" vertical="center"/>
    </xf>
    <xf numFmtId="0" fontId="24" fillId="8" borderId="0" xfId="0" applyFont="1" applyFill="1" applyBorder="1" applyAlignment="1">
      <alignment horizontal="right" wrapText="1"/>
    </xf>
    <xf numFmtId="0" fontId="20" fillId="0" borderId="0" xfId="61" applyFont="1" applyAlignment="1">
      <alignment horizontal="center"/>
    </xf>
    <xf numFmtId="0" fontId="54" fillId="8" borderId="16" xfId="0" applyFont="1" applyFill="1" applyBorder="1" applyAlignment="1">
      <alignment horizontal="left" vertical="center"/>
    </xf>
    <xf numFmtId="0" fontId="23" fillId="8" borderId="6" xfId="0" applyFont="1" applyFill="1" applyBorder="1">
      <alignment vertical="center"/>
    </xf>
    <xf numFmtId="0" fontId="23" fillId="8" borderId="24" xfId="0" applyFont="1" applyFill="1" applyBorder="1">
      <alignment vertical="center"/>
    </xf>
    <xf numFmtId="0" fontId="23" fillId="8" borderId="10" xfId="0" applyFont="1" applyFill="1" applyBorder="1">
      <alignment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 vertical="top" wrapText="1"/>
    </xf>
    <xf numFmtId="14" fontId="23" fillId="8" borderId="12" xfId="0" applyNumberFormat="1" applyFont="1" applyFill="1" applyBorder="1" applyAlignment="1">
      <alignment horizontal="center"/>
    </xf>
    <xf numFmtId="0" fontId="23" fillId="8" borderId="11" xfId="0" applyFont="1" applyFill="1" applyBorder="1">
      <alignment vertical="center"/>
    </xf>
    <xf numFmtId="0" fontId="23" fillId="8" borderId="5" xfId="0" applyFont="1" applyFill="1" applyBorder="1">
      <alignment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wrapText="1"/>
    </xf>
    <xf numFmtId="0" fontId="23" fillId="8" borderId="0" xfId="0" applyFont="1" applyFill="1" applyBorder="1" applyAlignment="1">
      <alignment horizontal="center"/>
    </xf>
    <xf numFmtId="0" fontId="77" fillId="8" borderId="0" xfId="0" applyFont="1" applyFill="1" applyBorder="1" applyAlignment="1">
      <alignment horizontal="center"/>
    </xf>
    <xf numFmtId="0" fontId="76" fillId="8" borderId="0" xfId="0" applyFont="1" applyFill="1" applyBorder="1" applyAlignment="1">
      <alignment horizontal="left" vertical="top"/>
    </xf>
    <xf numFmtId="0" fontId="24" fillId="8" borderId="0" xfId="0" applyFont="1" applyFill="1">
      <alignment vertical="center"/>
    </xf>
    <xf numFmtId="6" fontId="33" fillId="0" borderId="0" xfId="65" applyNumberFormat="1" applyFont="1"/>
    <xf numFmtId="6" fontId="20" fillId="0" borderId="0" xfId="65" applyNumberFormat="1" applyFont="1"/>
    <xf numFmtId="8" fontId="33" fillId="0" borderId="0" xfId="65" applyNumberFormat="1" applyFont="1"/>
    <xf numFmtId="6" fontId="33" fillId="8" borderId="0" xfId="18" applyNumberFormat="1" applyFont="1" applyFill="1" applyBorder="1"/>
    <xf numFmtId="166" fontId="33" fillId="8" borderId="0" xfId="18" applyNumberFormat="1" applyFont="1" applyFill="1"/>
    <xf numFmtId="166" fontId="72" fillId="8" borderId="0" xfId="18" applyNumberFormat="1" applyFont="1" applyFill="1"/>
    <xf numFmtId="184" fontId="20" fillId="8" borderId="0" xfId="65" applyNumberFormat="1" applyFont="1" applyFill="1" applyBorder="1" applyAlignment="1">
      <alignment vertical="center"/>
    </xf>
    <xf numFmtId="184" fontId="20" fillId="0" borderId="0" xfId="65" applyNumberFormat="1" applyFont="1" applyFill="1" applyBorder="1" applyAlignment="1">
      <alignment vertical="center"/>
    </xf>
    <xf numFmtId="0" fontId="20" fillId="8" borderId="0" xfId="61" applyFont="1" applyFill="1" applyBorder="1" applyAlignment="1"/>
    <xf numFmtId="0" fontId="20" fillId="8" borderId="0" xfId="61" applyFont="1" applyFill="1" applyBorder="1"/>
    <xf numFmtId="6" fontId="20" fillId="8" borderId="0" xfId="61" applyNumberFormat="1" applyFont="1" applyFill="1" applyBorder="1"/>
    <xf numFmtId="9" fontId="33" fillId="0" borderId="0" xfId="61" applyNumberFormat="1" applyFont="1" applyAlignment="1">
      <alignment horizontal="center"/>
    </xf>
    <xf numFmtId="9" fontId="33" fillId="0" borderId="5" xfId="61" applyNumberFormat="1" applyFont="1" applyBorder="1" applyAlignment="1">
      <alignment horizontal="center"/>
    </xf>
    <xf numFmtId="0" fontId="37" fillId="8" borderId="0" xfId="61" applyFont="1" applyFill="1" applyAlignment="1">
      <alignment horizontal="center"/>
    </xf>
    <xf numFmtId="10" fontId="33" fillId="8" borderId="0" xfId="69" applyNumberFormat="1" applyFont="1" applyFill="1" applyAlignment="1">
      <alignment horizontal="center"/>
    </xf>
    <xf numFmtId="10" fontId="33" fillId="8" borderId="5" xfId="69" applyNumberFormat="1" applyFont="1" applyFill="1" applyBorder="1" applyAlignment="1">
      <alignment horizontal="center"/>
    </xf>
    <xf numFmtId="10" fontId="33" fillId="8" borderId="0" xfId="61" applyNumberFormat="1" applyFont="1" applyFill="1" applyBorder="1" applyAlignment="1">
      <alignment horizontal="center"/>
    </xf>
    <xf numFmtId="1" fontId="33" fillId="0" borderId="0" xfId="65" applyNumberFormat="1" applyFont="1" applyAlignment="1">
      <alignment horizontal="center"/>
    </xf>
    <xf numFmtId="1" fontId="33" fillId="0" borderId="0" xfId="65" applyNumberFormat="1" applyFont="1" applyAlignment="1">
      <alignment horizontal="right"/>
    </xf>
    <xf numFmtId="40" fontId="71" fillId="8" borderId="0" xfId="13" applyNumberFormat="1" applyFont="1" applyFill="1" applyBorder="1" applyAlignment="1">
      <alignment horizontal="right"/>
    </xf>
    <xf numFmtId="0" fontId="33" fillId="0" borderId="0" xfId="63" applyFont="1" applyBorder="1" applyAlignment="1">
      <alignment horizontal="center" vertical="center"/>
    </xf>
    <xf numFmtId="0" fontId="78" fillId="0" borderId="0" xfId="66" applyFont="1" applyAlignment="1"/>
    <xf numFmtId="168" fontId="20" fillId="8" borderId="12" xfId="63" applyNumberFormat="1" applyFont="1" applyFill="1" applyBorder="1" applyAlignment="1">
      <alignment horizontal="center"/>
    </xf>
    <xf numFmtId="1" fontId="20" fillId="8" borderId="10" xfId="63" applyNumberFormat="1" applyFont="1" applyFill="1" applyBorder="1" applyAlignment="1">
      <alignment horizontal="center"/>
    </xf>
    <xf numFmtId="1" fontId="20" fillId="8" borderId="0" xfId="63" applyNumberFormat="1" applyFont="1" applyFill="1" applyBorder="1" applyAlignment="1">
      <alignment horizontal="center"/>
    </xf>
    <xf numFmtId="0" fontId="33" fillId="8" borderId="0" xfId="0" applyFont="1" applyFill="1">
      <alignment vertical="center"/>
    </xf>
    <xf numFmtId="0" fontId="39" fillId="8" borderId="0" xfId="61" applyFont="1" applyFill="1" applyAlignment="1">
      <alignment horizontal="center"/>
    </xf>
    <xf numFmtId="0" fontId="20" fillId="8" borderId="0" xfId="61" applyFont="1" applyFill="1" applyBorder="1" applyAlignment="1">
      <alignment horizontal="center"/>
    </xf>
    <xf numFmtId="0" fontId="33" fillId="8" borderId="0" xfId="61" applyFont="1" applyFill="1" applyAlignment="1">
      <alignment horizontal="right"/>
    </xf>
    <xf numFmtId="166" fontId="33" fillId="8" borderId="0" xfId="61" applyNumberFormat="1" applyFont="1" applyFill="1" applyBorder="1" applyAlignment="1"/>
    <xf numFmtId="9" fontId="33" fillId="0" borderId="0" xfId="69" applyFont="1" applyBorder="1" applyAlignment="1">
      <alignment horizontal="right"/>
    </xf>
    <xf numFmtId="10" fontId="33" fillId="0" borderId="0" xfId="69" applyNumberFormat="1" applyFont="1" applyAlignment="1">
      <alignment horizontal="left"/>
    </xf>
    <xf numFmtId="174" fontId="38" fillId="8" borderId="0" xfId="0" applyNumberFormat="1" applyFont="1" applyFill="1" applyBorder="1" applyAlignment="1">
      <alignment vertical="center"/>
    </xf>
    <xf numFmtId="0" fontId="33" fillId="8" borderId="0" xfId="0" applyFont="1" applyFill="1" applyBorder="1" applyAlignment="1">
      <alignment horizontal="left"/>
    </xf>
    <xf numFmtId="10" fontId="20" fillId="0" borderId="25" xfId="69" applyNumberFormat="1" applyFont="1" applyBorder="1" applyAlignment="1">
      <alignment vertical="center"/>
    </xf>
    <xf numFmtId="10" fontId="33" fillId="0" borderId="0" xfId="69" applyNumberFormat="1" applyFont="1" applyBorder="1"/>
    <xf numFmtId="0" fontId="33" fillId="0" borderId="0" xfId="65" applyFont="1" applyFill="1" applyBorder="1" applyAlignment="1" applyProtection="1">
      <alignment horizontal="left" wrapText="1"/>
    </xf>
    <xf numFmtId="0" fontId="20" fillId="8" borderId="0" xfId="65" applyFont="1" applyFill="1"/>
    <xf numFmtId="6" fontId="20" fillId="8" borderId="0" xfId="65" applyNumberFormat="1" applyFont="1" applyFill="1"/>
    <xf numFmtId="8" fontId="20" fillId="8" borderId="0" xfId="65" applyNumberFormat="1" applyFont="1" applyFill="1"/>
    <xf numFmtId="6" fontId="33" fillId="8" borderId="0" xfId="65" applyNumberFormat="1" applyFont="1" applyFill="1"/>
    <xf numFmtId="8" fontId="33" fillId="8" borderId="0" xfId="65" applyNumberFormat="1" applyFont="1" applyFill="1"/>
    <xf numFmtId="38" fontId="33" fillId="8" borderId="10" xfId="63" applyNumberFormat="1" applyFont="1" applyFill="1" applyBorder="1" applyAlignment="1">
      <alignment horizontal="right"/>
    </xf>
    <xf numFmtId="38" fontId="33" fillId="8" borderId="0" xfId="63" applyNumberFormat="1" applyFont="1" applyFill="1" applyBorder="1" applyAlignment="1">
      <alignment horizontal="right"/>
    </xf>
    <xf numFmtId="38" fontId="33" fillId="8" borderId="12" xfId="63" applyNumberFormat="1" applyFont="1" applyFill="1" applyBorder="1" applyAlignment="1">
      <alignment horizontal="right"/>
    </xf>
    <xf numFmtId="0" fontId="33" fillId="8" borderId="0" xfId="63" applyFont="1" applyFill="1" applyBorder="1" applyAlignment="1">
      <alignment horizontal="center" vertical="center"/>
    </xf>
    <xf numFmtId="37" fontId="38" fillId="8" borderId="0" xfId="63" applyNumberFormat="1" applyFont="1" applyFill="1" applyBorder="1" applyAlignment="1">
      <alignment horizontal="right"/>
    </xf>
    <xf numFmtId="0" fontId="34" fillId="0" borderId="26" xfId="61" applyFont="1" applyBorder="1" applyAlignment="1">
      <alignment horizontal="center"/>
    </xf>
    <xf numFmtId="0" fontId="34" fillId="0" borderId="26" xfId="61" applyFont="1" applyBorder="1" applyAlignment="1">
      <alignment horizontal="right"/>
    </xf>
    <xf numFmtId="0" fontId="33" fillId="8" borderId="0" xfId="65" applyNumberFormat="1" applyFont="1" applyFill="1" applyAlignment="1">
      <alignment horizontal="left" indent="1"/>
    </xf>
    <xf numFmtId="10" fontId="71" fillId="8" borderId="27" xfId="69" applyNumberFormat="1" applyFont="1" applyFill="1" applyBorder="1" applyAlignment="1">
      <alignment horizontal="center"/>
    </xf>
    <xf numFmtId="10" fontId="71" fillId="8" borderId="28" xfId="69" applyNumberFormat="1" applyFont="1" applyFill="1" applyBorder="1" applyAlignment="1">
      <alignment horizontal="center"/>
    </xf>
    <xf numFmtId="10" fontId="38" fillId="0" borderId="0" xfId="61" applyNumberFormat="1" applyFont="1" applyAlignment="1">
      <alignment horizontal="center"/>
    </xf>
    <xf numFmtId="0" fontId="54" fillId="8" borderId="0" xfId="0" applyFont="1" applyFill="1" applyBorder="1" applyAlignment="1">
      <alignment horizontal="left" vertical="center"/>
    </xf>
    <xf numFmtId="0" fontId="24" fillId="8" borderId="0" xfId="0" applyFont="1" applyFill="1" applyBorder="1" applyAlignment="1">
      <alignment horizontal="center" vertical="top" wrapText="1"/>
    </xf>
    <xf numFmtId="195" fontId="75" fillId="8" borderId="0" xfId="0" applyNumberFormat="1" applyFont="1" applyFill="1" applyBorder="1" applyAlignment="1">
      <alignment horizontal="center" vertical="top"/>
    </xf>
    <xf numFmtId="166" fontId="75" fillId="8" borderId="0" xfId="0" applyNumberFormat="1" applyFont="1" applyFill="1" applyBorder="1" applyAlignment="1">
      <alignment horizontal="right" vertical="top"/>
    </xf>
    <xf numFmtId="0" fontId="24" fillId="8" borderId="0" xfId="0" applyFont="1" applyFill="1" applyBorder="1" applyAlignment="1">
      <alignment horizontal="center" vertical="center"/>
    </xf>
    <xf numFmtId="0" fontId="75" fillId="8" borderId="0" xfId="0" applyFont="1" applyFill="1" applyAlignment="1">
      <alignment horizontal="center" vertical="top"/>
    </xf>
    <xf numFmtId="0" fontId="79" fillId="8" borderId="0" xfId="0" applyFont="1" applyFill="1" applyAlignment="1">
      <alignment horizontal="center" vertical="top"/>
    </xf>
    <xf numFmtId="10" fontId="58" fillId="0" borderId="0" xfId="61" applyNumberFormat="1" applyFont="1" applyAlignment="1"/>
    <xf numFmtId="174" fontId="33" fillId="0" borderId="0" xfId="61" applyNumberFormat="1" applyFont="1" applyBorder="1" applyAlignment="1">
      <alignment horizontal="center"/>
    </xf>
    <xf numFmtId="174" fontId="33" fillId="0" borderId="0" xfId="61" applyNumberFormat="1" applyFont="1" applyFill="1" applyBorder="1" applyAlignment="1">
      <alignment horizontal="center"/>
    </xf>
    <xf numFmtId="183" fontId="20" fillId="8" borderId="14" xfId="61" applyNumberFormat="1" applyFont="1" applyFill="1" applyBorder="1" applyAlignment="1">
      <alignment horizontal="center"/>
    </xf>
    <xf numFmtId="183" fontId="20" fillId="8" borderId="13" xfId="61" applyNumberFormat="1" applyFont="1" applyFill="1" applyBorder="1" applyAlignment="1">
      <alignment horizontal="center"/>
    </xf>
    <xf numFmtId="183" fontId="20" fillId="8" borderId="18" xfId="61" applyNumberFormat="1" applyFont="1" applyFill="1" applyBorder="1" applyAlignment="1">
      <alignment horizontal="center"/>
    </xf>
    <xf numFmtId="0" fontId="20" fillId="0" borderId="14" xfId="61" applyFont="1" applyFill="1" applyBorder="1" applyAlignment="1">
      <alignment horizontal="center"/>
    </xf>
    <xf numFmtId="0" fontId="20" fillId="0" borderId="18" xfId="61" applyFont="1" applyFill="1" applyBorder="1" applyAlignment="1">
      <alignment horizontal="center"/>
    </xf>
    <xf numFmtId="176" fontId="24" fillId="8" borderId="0" xfId="0" applyNumberFormat="1" applyFont="1" applyFill="1" applyAlignment="1"/>
    <xf numFmtId="0" fontId="24" fillId="8" borderId="0" xfId="0" applyFont="1" applyFill="1" applyAlignment="1">
      <alignment horizontal="right" vertical="center"/>
    </xf>
    <xf numFmtId="0" fontId="34" fillId="8" borderId="24" xfId="63" applyFont="1" applyFill="1" applyBorder="1" applyAlignment="1">
      <alignment vertical="center"/>
    </xf>
    <xf numFmtId="0" fontId="33" fillId="8" borderId="0" xfId="63" applyFont="1" applyFill="1" applyBorder="1" applyAlignment="1">
      <alignment vertical="center"/>
    </xf>
    <xf numFmtId="0" fontId="33" fillId="8" borderId="12" xfId="63" applyFont="1" applyFill="1" applyBorder="1" applyAlignment="1">
      <alignment vertical="center"/>
    </xf>
    <xf numFmtId="0" fontId="33" fillId="0" borderId="24" xfId="63" applyFont="1" applyBorder="1" applyAlignment="1">
      <alignment vertical="center"/>
    </xf>
    <xf numFmtId="0" fontId="33" fillId="0" borderId="12" xfId="63" applyFont="1" applyBorder="1" applyAlignment="1">
      <alignment vertical="center"/>
    </xf>
    <xf numFmtId="179" fontId="35" fillId="0" borderId="12" xfId="63" applyNumberFormat="1" applyFont="1" applyBorder="1" applyAlignment="1">
      <alignment horizontal="left" vertical="center"/>
    </xf>
    <xf numFmtId="179" fontId="33" fillId="0" borderId="12" xfId="63" applyNumberFormat="1" applyFont="1" applyBorder="1" applyAlignment="1">
      <alignment horizontal="left" vertical="center"/>
    </xf>
    <xf numFmtId="8" fontId="33" fillId="0" borderId="12" xfId="11" applyNumberFormat="1" applyFont="1" applyFill="1" applyBorder="1" applyAlignment="1">
      <alignment horizontal="right"/>
    </xf>
    <xf numFmtId="0" fontId="33" fillId="0" borderId="15" xfId="63" applyFont="1" applyFill="1" applyBorder="1" applyAlignment="1">
      <alignment vertical="center"/>
    </xf>
    <xf numFmtId="0" fontId="33" fillId="0" borderId="0" xfId="63" applyFont="1" applyFill="1" applyBorder="1" applyAlignment="1"/>
    <xf numFmtId="37" fontId="33" fillId="0" borderId="24" xfId="63" applyNumberFormat="1" applyFont="1" applyFill="1" applyBorder="1" applyAlignment="1">
      <alignment vertical="center"/>
    </xf>
    <xf numFmtId="0" fontId="33" fillId="8" borderId="0" xfId="63" applyFont="1" applyFill="1" applyBorder="1" applyAlignment="1"/>
    <xf numFmtId="0" fontId="34" fillId="8" borderId="0" xfId="63" applyFont="1" applyFill="1" applyBorder="1" applyAlignment="1"/>
    <xf numFmtId="0" fontId="34" fillId="0" borderId="0" xfId="63" applyFont="1" applyFill="1" applyBorder="1" applyAlignment="1"/>
    <xf numFmtId="37" fontId="20" fillId="0" borderId="0" xfId="63" applyNumberFormat="1" applyFont="1" applyBorder="1" applyAlignment="1"/>
    <xf numFmtId="6" fontId="33" fillId="0" borderId="12" xfId="13" applyNumberFormat="1" applyFont="1" applyBorder="1" applyAlignment="1">
      <alignment horizontal="right"/>
    </xf>
    <xf numFmtId="0" fontId="20" fillId="8" borderId="0" xfId="63" applyFont="1" applyFill="1" applyBorder="1" applyAlignment="1"/>
    <xf numFmtId="0" fontId="80" fillId="8" borderId="0" xfId="63" applyFont="1" applyFill="1" applyBorder="1" applyAlignment="1"/>
    <xf numFmtId="37" fontId="20" fillId="8" borderId="0" xfId="63" applyNumberFormat="1" applyFont="1" applyFill="1" applyBorder="1" applyAlignment="1">
      <alignment vertical="center"/>
    </xf>
    <xf numFmtId="6" fontId="20" fillId="8" borderId="12" xfId="13" applyNumberFormat="1" applyFont="1" applyFill="1" applyBorder="1" applyAlignment="1">
      <alignment horizontal="right"/>
    </xf>
    <xf numFmtId="6" fontId="33" fillId="8" borderId="12" xfId="13" applyNumberFormat="1" applyFont="1" applyFill="1" applyBorder="1" applyAlignment="1">
      <alignment horizontal="right"/>
    </xf>
    <xf numFmtId="0" fontId="33" fillId="8" borderId="0" xfId="63" applyFont="1" applyFill="1" applyBorder="1" applyAlignment="1">
      <alignment horizontal="left"/>
    </xf>
    <xf numFmtId="37" fontId="20" fillId="8" borderId="0" xfId="63" applyNumberFormat="1" applyFont="1" applyFill="1" applyBorder="1" applyAlignment="1"/>
    <xf numFmtId="0" fontId="20" fillId="0" borderId="0" xfId="63" applyFont="1" applyBorder="1" applyAlignment="1"/>
    <xf numFmtId="9" fontId="33" fillId="0" borderId="0" xfId="69" applyFont="1" applyBorder="1"/>
    <xf numFmtId="10" fontId="33" fillId="0" borderId="12" xfId="69" applyNumberFormat="1" applyFont="1" applyBorder="1" applyAlignment="1"/>
    <xf numFmtId="9" fontId="33" fillId="0" borderId="0" xfId="69" applyFont="1" applyBorder="1" applyAlignment="1">
      <alignment vertical="center"/>
    </xf>
    <xf numFmtId="37" fontId="33" fillId="8" borderId="0" xfId="63" applyNumberFormat="1" applyFont="1" applyFill="1" applyBorder="1" applyAlignment="1"/>
    <xf numFmtId="37" fontId="33" fillId="9" borderId="0" xfId="63" applyNumberFormat="1" applyFont="1" applyFill="1" applyBorder="1" applyAlignment="1"/>
    <xf numFmtId="37" fontId="33" fillId="9" borderId="0" xfId="63" applyNumberFormat="1" applyFont="1" applyFill="1" applyBorder="1" applyAlignment="1">
      <alignment vertical="center"/>
    </xf>
    <xf numFmtId="38" fontId="33" fillId="9" borderId="12" xfId="13" applyNumberFormat="1" applyFont="1" applyFill="1" applyBorder="1" applyAlignment="1">
      <alignment horizontal="right"/>
    </xf>
    <xf numFmtId="10" fontId="45" fillId="8" borderId="0" xfId="69" applyNumberFormat="1" applyFont="1" applyFill="1" applyBorder="1" applyAlignment="1">
      <alignment vertical="center"/>
    </xf>
    <xf numFmtId="38" fontId="45" fillId="8" borderId="12" xfId="13" applyNumberFormat="1" applyFont="1" applyFill="1" applyBorder="1" applyAlignment="1">
      <alignment horizontal="right"/>
    </xf>
    <xf numFmtId="10" fontId="45" fillId="0" borderId="0" xfId="69" applyNumberFormat="1" applyFont="1" applyBorder="1" applyAlignment="1">
      <alignment vertical="center"/>
    </xf>
    <xf numFmtId="38" fontId="45" fillId="0" borderId="12" xfId="13" applyNumberFormat="1" applyFont="1" applyBorder="1" applyAlignment="1">
      <alignment horizontal="right"/>
    </xf>
    <xf numFmtId="180" fontId="45" fillId="0" borderId="12" xfId="13" applyNumberFormat="1" applyFont="1" applyBorder="1" applyAlignment="1">
      <alignment horizontal="right"/>
    </xf>
    <xf numFmtId="10" fontId="45" fillId="0" borderId="12" xfId="69" applyNumberFormat="1" applyFont="1" applyBorder="1" applyAlignment="1">
      <alignment horizontal="right"/>
    </xf>
    <xf numFmtId="37" fontId="33" fillId="0" borderId="0" xfId="63" applyNumberFormat="1" applyFont="1" applyBorder="1" applyAlignment="1"/>
    <xf numFmtId="10" fontId="33" fillId="0" borderId="12" xfId="69" applyNumberFormat="1" applyFont="1" applyBorder="1" applyAlignment="1">
      <alignment horizontal="right"/>
    </xf>
    <xf numFmtId="0" fontId="34" fillId="8" borderId="12" xfId="63" applyFont="1" applyFill="1" applyBorder="1" applyAlignment="1">
      <alignment horizontal="center" vertical="center"/>
    </xf>
    <xf numFmtId="168" fontId="20" fillId="0" borderId="15" xfId="63" applyNumberFormat="1" applyFont="1" applyBorder="1" applyAlignment="1">
      <alignment horizontal="center"/>
    </xf>
    <xf numFmtId="0" fontId="23" fillId="6" borderId="0" xfId="56" applyFont="1" applyFill="1"/>
    <xf numFmtId="0" fontId="23" fillId="6" borderId="0" xfId="56" applyFont="1" applyFill="1" applyBorder="1"/>
    <xf numFmtId="0" fontId="60" fillId="6" borderId="0" xfId="56" applyFont="1" applyFill="1" applyBorder="1" applyAlignment="1"/>
    <xf numFmtId="0" fontId="61" fillId="8" borderId="0" xfId="56" applyFont="1" applyFill="1" applyBorder="1" applyAlignment="1"/>
    <xf numFmtId="0" fontId="56" fillId="6" borderId="0" xfId="56" applyFont="1" applyFill="1" applyBorder="1" applyAlignment="1">
      <alignment horizontal="center"/>
    </xf>
    <xf numFmtId="178" fontId="33" fillId="0" borderId="6" xfId="61" applyNumberFormat="1" applyFont="1" applyBorder="1" applyAlignment="1">
      <alignment vertical="center"/>
    </xf>
    <xf numFmtId="6" fontId="33" fillId="0" borderId="0" xfId="61" applyNumberFormat="1" applyFont="1" applyAlignment="1">
      <alignment horizontal="left"/>
    </xf>
    <xf numFmtId="166" fontId="33" fillId="8" borderId="0" xfId="18" applyNumberFormat="1" applyFont="1" applyFill="1" applyBorder="1" applyAlignment="1">
      <alignment horizontal="center"/>
    </xf>
    <xf numFmtId="0" fontId="41" fillId="8" borderId="0" xfId="61" applyFont="1" applyFill="1" applyAlignment="1">
      <alignment vertical="center"/>
    </xf>
    <xf numFmtId="0" fontId="33" fillId="0" borderId="0" xfId="61" applyFont="1" applyAlignment="1">
      <alignment horizontal="left"/>
    </xf>
    <xf numFmtId="0" fontId="23" fillId="8" borderId="0" xfId="43" applyFont="1" applyFill="1"/>
    <xf numFmtId="0" fontId="23" fillId="0" borderId="0" xfId="43" applyFont="1"/>
    <xf numFmtId="0" fontId="66" fillId="7" borderId="0" xfId="43" applyFont="1" applyFill="1" applyAlignment="1">
      <alignment horizontal="center"/>
    </xf>
    <xf numFmtId="0" fontId="23" fillId="6" borderId="16" xfId="43" applyFont="1" applyFill="1" applyBorder="1" applyAlignment="1">
      <alignment horizontal="left"/>
    </xf>
    <xf numFmtId="6" fontId="23" fillId="6" borderId="24" xfId="43" applyNumberFormat="1" applyFont="1" applyFill="1" applyBorder="1" applyAlignment="1">
      <alignment horizontal="center"/>
    </xf>
    <xf numFmtId="0" fontId="66" fillId="6" borderId="0" xfId="43" applyFont="1" applyFill="1" applyBorder="1" applyAlignment="1">
      <alignment horizontal="center"/>
    </xf>
    <xf numFmtId="0" fontId="23" fillId="6" borderId="10" xfId="43" applyFont="1" applyFill="1" applyBorder="1"/>
    <xf numFmtId="10" fontId="81" fillId="6" borderId="12" xfId="43" applyNumberFormat="1" applyFont="1" applyFill="1" applyBorder="1"/>
    <xf numFmtId="42" fontId="23" fillId="6" borderId="0" xfId="43" applyNumberFormat="1" applyFont="1" applyFill="1" applyBorder="1" applyAlignment="1">
      <alignment horizontal="center"/>
    </xf>
    <xf numFmtId="0" fontId="23" fillId="6" borderId="16" xfId="43" applyFont="1" applyFill="1" applyBorder="1" applyAlignment="1">
      <alignment horizontal="center"/>
    </xf>
    <xf numFmtId="3" fontId="23" fillId="6" borderId="6" xfId="43" applyNumberFormat="1" applyFont="1" applyFill="1" applyBorder="1" applyAlignment="1">
      <alignment horizontal="center"/>
    </xf>
    <xf numFmtId="3" fontId="23" fillId="6" borderId="24" xfId="43" applyNumberFormat="1" applyFont="1" applyFill="1" applyBorder="1" applyAlignment="1">
      <alignment horizontal="center"/>
    </xf>
    <xf numFmtId="209" fontId="81" fillId="6" borderId="12" xfId="43" applyNumberFormat="1" applyFont="1" applyFill="1" applyBorder="1"/>
    <xf numFmtId="10" fontId="23" fillId="6" borderId="0" xfId="43" applyNumberFormat="1" applyFont="1" applyFill="1" applyBorder="1"/>
    <xf numFmtId="0" fontId="23" fillId="3" borderId="10" xfId="43" applyFont="1" applyFill="1" applyBorder="1" applyAlignment="1">
      <alignment horizontal="center"/>
    </xf>
    <xf numFmtId="3" fontId="23" fillId="3" borderId="0" xfId="43" applyNumberFormat="1" applyFont="1" applyFill="1" applyBorder="1" applyAlignment="1">
      <alignment horizontal="center"/>
    </xf>
    <xf numFmtId="3" fontId="23" fillId="3" borderId="12" xfId="43" applyNumberFormat="1" applyFont="1" applyFill="1" applyBorder="1" applyAlignment="1">
      <alignment horizontal="center"/>
    </xf>
    <xf numFmtId="209" fontId="23" fillId="6" borderId="0" xfId="43" applyNumberFormat="1" applyFont="1" applyFill="1" applyBorder="1"/>
    <xf numFmtId="0" fontId="23" fillId="6" borderId="10" xfId="43" applyFont="1" applyFill="1" applyBorder="1" applyAlignment="1">
      <alignment horizontal="center"/>
    </xf>
    <xf numFmtId="3" fontId="23" fillId="6" borderId="0" xfId="43" applyNumberFormat="1" applyFont="1" applyFill="1" applyBorder="1" applyAlignment="1">
      <alignment horizontal="center"/>
    </xf>
    <xf numFmtId="3" fontId="23" fillId="6" borderId="12" xfId="43" applyNumberFormat="1" applyFont="1" applyFill="1" applyBorder="1" applyAlignment="1">
      <alignment horizontal="center"/>
    </xf>
    <xf numFmtId="0" fontId="23" fillId="6" borderId="10" xfId="39" applyFont="1" applyFill="1" applyBorder="1"/>
    <xf numFmtId="0" fontId="23" fillId="6" borderId="11" xfId="43" applyFont="1" applyFill="1" applyBorder="1"/>
    <xf numFmtId="0" fontId="23" fillId="6" borderId="0" xfId="43" applyFont="1" applyFill="1" applyBorder="1"/>
    <xf numFmtId="0" fontId="23" fillId="3" borderId="11" xfId="43" applyFont="1" applyFill="1" applyBorder="1" applyAlignment="1">
      <alignment horizontal="center"/>
    </xf>
    <xf numFmtId="3" fontId="23" fillId="3" borderId="5" xfId="43" applyNumberFormat="1" applyFont="1" applyFill="1" applyBorder="1" applyAlignment="1">
      <alignment horizontal="center"/>
    </xf>
    <xf numFmtId="3" fontId="23" fillId="3" borderId="15" xfId="43" applyNumberFormat="1" applyFont="1" applyFill="1" applyBorder="1" applyAlignment="1">
      <alignment horizontal="center"/>
    </xf>
    <xf numFmtId="0" fontId="66" fillId="7" borderId="16" xfId="43" applyFont="1" applyFill="1" applyBorder="1" applyAlignment="1">
      <alignment horizontal="center" wrapText="1"/>
    </xf>
    <xf numFmtId="0" fontId="66" fillId="7" borderId="6" xfId="43" applyFont="1" applyFill="1" applyBorder="1" applyAlignment="1">
      <alignment horizontal="center" wrapText="1"/>
    </xf>
    <xf numFmtId="0" fontId="66" fillId="7" borderId="6" xfId="43" applyFont="1" applyFill="1" applyBorder="1" applyAlignment="1">
      <alignment horizontal="center"/>
    </xf>
    <xf numFmtId="0" fontId="66" fillId="7" borderId="24" xfId="43" applyFont="1" applyFill="1" applyBorder="1" applyAlignment="1">
      <alignment horizontal="center" wrapText="1"/>
    </xf>
    <xf numFmtId="0" fontId="24" fillId="6" borderId="16" xfId="43" applyFont="1" applyFill="1" applyBorder="1" applyAlignment="1">
      <alignment horizontal="center"/>
    </xf>
    <xf numFmtId="0" fontId="24" fillId="6" borderId="6" xfId="43" applyFont="1" applyFill="1" applyBorder="1" applyAlignment="1">
      <alignment horizontal="center"/>
    </xf>
    <xf numFmtId="3" fontId="24" fillId="6" borderId="6" xfId="43" applyNumberFormat="1" applyFont="1" applyFill="1" applyBorder="1" applyAlignment="1">
      <alignment horizontal="center"/>
    </xf>
    <xf numFmtId="3" fontId="24" fillId="6" borderId="24" xfId="43" applyNumberFormat="1" applyFont="1" applyFill="1" applyBorder="1" applyAlignment="1">
      <alignment horizontal="center"/>
    </xf>
    <xf numFmtId="0" fontId="24" fillId="6" borderId="10" xfId="43" applyFont="1" applyFill="1" applyBorder="1" applyAlignment="1">
      <alignment horizontal="center"/>
    </xf>
    <xf numFmtId="0" fontId="24" fillId="6" borderId="0" xfId="43" applyFont="1" applyFill="1" applyBorder="1" applyAlignment="1">
      <alignment horizontal="center"/>
    </xf>
    <xf numFmtId="3" fontId="24" fillId="6" borderId="0" xfId="43" applyNumberFormat="1" applyFont="1" applyFill="1" applyBorder="1" applyAlignment="1">
      <alignment horizontal="center"/>
    </xf>
    <xf numFmtId="3" fontId="24" fillId="6" borderId="12" xfId="43" applyNumberFormat="1" applyFont="1" applyFill="1" applyBorder="1" applyAlignment="1">
      <alignment horizontal="center"/>
    </xf>
    <xf numFmtId="0" fontId="23" fillId="6" borderId="0" xfId="43" applyFont="1" applyFill="1" applyAlignment="1">
      <alignment horizontal="center"/>
    </xf>
    <xf numFmtId="0" fontId="24" fillId="6" borderId="11" xfId="43" applyFont="1" applyFill="1" applyBorder="1" applyAlignment="1">
      <alignment horizontal="center"/>
    </xf>
    <xf numFmtId="0" fontId="24" fillId="6" borderId="5" xfId="43" applyFont="1" applyFill="1" applyBorder="1" applyAlignment="1">
      <alignment horizontal="center"/>
    </xf>
    <xf numFmtId="3" fontId="24" fillId="6" borderId="5" xfId="43" applyNumberFormat="1" applyFont="1" applyFill="1" applyBorder="1" applyAlignment="1">
      <alignment horizontal="center"/>
    </xf>
    <xf numFmtId="3" fontId="24" fillId="6" borderId="15" xfId="43" applyNumberFormat="1" applyFont="1" applyFill="1" applyBorder="1" applyAlignment="1">
      <alignment horizontal="center"/>
    </xf>
    <xf numFmtId="0" fontId="64" fillId="3" borderId="10" xfId="43" applyFont="1" applyFill="1" applyBorder="1" applyAlignment="1">
      <alignment horizontal="center"/>
    </xf>
    <xf numFmtId="0" fontId="64" fillId="3" borderId="0" xfId="43" applyFont="1" applyFill="1" applyBorder="1" applyAlignment="1">
      <alignment horizontal="center"/>
    </xf>
    <xf numFmtId="3" fontId="64" fillId="3" borderId="0" xfId="43" applyNumberFormat="1" applyFont="1" applyFill="1" applyBorder="1" applyAlignment="1">
      <alignment horizontal="center"/>
    </xf>
    <xf numFmtId="3" fontId="64" fillId="3" borderId="12" xfId="43" applyNumberFormat="1" applyFont="1" applyFill="1" applyBorder="1" applyAlignment="1">
      <alignment horizontal="center"/>
    </xf>
    <xf numFmtId="0" fontId="64" fillId="3" borderId="11" xfId="43" applyFont="1" applyFill="1" applyBorder="1" applyAlignment="1">
      <alignment horizontal="center"/>
    </xf>
    <xf numFmtId="0" fontId="64" fillId="3" borderId="5" xfId="43" applyFont="1" applyFill="1" applyBorder="1" applyAlignment="1">
      <alignment horizontal="center"/>
    </xf>
    <xf numFmtId="3" fontId="64" fillId="3" borderId="5" xfId="43" applyNumberFormat="1" applyFont="1" applyFill="1" applyBorder="1" applyAlignment="1">
      <alignment horizontal="center"/>
    </xf>
    <xf numFmtId="3" fontId="64" fillId="3" borderId="15" xfId="43" applyNumberFormat="1" applyFont="1" applyFill="1" applyBorder="1" applyAlignment="1">
      <alignment horizontal="center"/>
    </xf>
    <xf numFmtId="0" fontId="64" fillId="3" borderId="16" xfId="43" applyFont="1" applyFill="1" applyBorder="1" applyAlignment="1">
      <alignment horizontal="center"/>
    </xf>
    <xf numFmtId="0" fontId="64" fillId="3" borderId="6" xfId="43" applyFont="1" applyFill="1" applyBorder="1" applyAlignment="1">
      <alignment horizontal="center"/>
    </xf>
    <xf numFmtId="3" fontId="64" fillId="3" borderId="6" xfId="43" applyNumberFormat="1" applyFont="1" applyFill="1" applyBorder="1" applyAlignment="1">
      <alignment horizontal="center"/>
    </xf>
    <xf numFmtId="3" fontId="64" fillId="3" borderId="24" xfId="43" applyNumberFormat="1" applyFont="1" applyFill="1" applyBorder="1" applyAlignment="1">
      <alignment horizontal="center"/>
    </xf>
    <xf numFmtId="0" fontId="54" fillId="6" borderId="0" xfId="43" applyFont="1" applyFill="1"/>
    <xf numFmtId="210" fontId="82" fillId="6" borderId="12" xfId="39" applyNumberFormat="1" applyFont="1" applyFill="1" applyBorder="1"/>
    <xf numFmtId="10" fontId="67" fillId="6" borderId="0" xfId="43" applyNumberFormat="1" applyFont="1" applyFill="1" applyBorder="1"/>
    <xf numFmtId="0" fontId="67" fillId="6" borderId="0" xfId="43" applyFont="1" applyFill="1" applyBorder="1"/>
    <xf numFmtId="10" fontId="81" fillId="6" borderId="15" xfId="43" applyNumberFormat="1" applyFont="1" applyFill="1" applyBorder="1"/>
    <xf numFmtId="0" fontId="23" fillId="8" borderId="11" xfId="43" applyFont="1" applyFill="1" applyBorder="1"/>
    <xf numFmtId="38" fontId="33" fillId="8" borderId="0" xfId="63" applyNumberFormat="1" applyFont="1" applyFill="1" applyAlignment="1"/>
    <xf numFmtId="38" fontId="33" fillId="0" borderId="0" xfId="13" applyNumberFormat="1" applyFont="1" applyBorder="1" applyAlignment="1">
      <alignment horizontal="center"/>
    </xf>
    <xf numFmtId="6" fontId="71" fillId="0" borderId="0" xfId="61" applyNumberFormat="1" applyFont="1" applyFill="1" applyBorder="1" applyAlignment="1">
      <alignment horizontal="right"/>
    </xf>
    <xf numFmtId="204" fontId="71" fillId="8" borderId="0" xfId="69" applyNumberFormat="1" applyFont="1" applyFill="1" applyBorder="1" applyAlignment="1">
      <alignment horizontal="right"/>
    </xf>
    <xf numFmtId="0" fontId="33" fillId="10" borderId="0" xfId="65" applyFont="1" applyFill="1" applyBorder="1" applyAlignment="1">
      <alignment horizontal="center" wrapText="1"/>
    </xf>
    <xf numFmtId="186" fontId="34" fillId="10" borderId="13" xfId="69" applyNumberFormat="1" applyFont="1" applyFill="1" applyBorder="1" applyAlignment="1">
      <alignment horizontal="center"/>
    </xf>
    <xf numFmtId="184" fontId="20" fillId="10" borderId="0" xfId="65" applyNumberFormat="1" applyFont="1" applyFill="1" applyBorder="1" applyAlignment="1">
      <alignment vertical="center"/>
    </xf>
    <xf numFmtId="6" fontId="71" fillId="10" borderId="0" xfId="18" applyNumberFormat="1" applyFont="1" applyFill="1" applyBorder="1" applyAlignment="1">
      <alignment vertical="top"/>
    </xf>
    <xf numFmtId="5" fontId="71" fillId="10" borderId="0" xfId="13" applyNumberFormat="1" applyFont="1" applyFill="1" applyBorder="1" applyAlignment="1">
      <alignment vertical="top"/>
    </xf>
    <xf numFmtId="6" fontId="72" fillId="10" borderId="6" xfId="18" applyNumberFormat="1" applyFont="1" applyFill="1" applyBorder="1" applyAlignment="1">
      <alignment vertical="top"/>
    </xf>
    <xf numFmtId="6" fontId="33" fillId="10" borderId="0" xfId="18" applyNumberFormat="1" applyFont="1" applyFill="1" applyBorder="1"/>
    <xf numFmtId="6" fontId="72" fillId="10" borderId="0" xfId="65" applyNumberFormat="1" applyFont="1" applyFill="1" applyBorder="1"/>
    <xf numFmtId="6" fontId="71" fillId="10" borderId="0" xfId="18" applyNumberFormat="1" applyFont="1" applyFill="1" applyBorder="1" applyAlignment="1"/>
    <xf numFmtId="6" fontId="20" fillId="10" borderId="17" xfId="18" applyNumberFormat="1" applyFont="1" applyFill="1" applyBorder="1"/>
    <xf numFmtId="6" fontId="72" fillId="10" borderId="0" xfId="18" applyNumberFormat="1" applyFont="1" applyFill="1" applyBorder="1" applyAlignment="1"/>
    <xf numFmtId="6" fontId="20" fillId="10" borderId="0" xfId="18" applyNumberFormat="1" applyFont="1" applyFill="1" applyBorder="1"/>
    <xf numFmtId="6" fontId="71" fillId="10" borderId="0" xfId="18" applyNumberFormat="1" applyFont="1" applyFill="1" applyBorder="1"/>
    <xf numFmtId="6" fontId="20" fillId="10" borderId="9" xfId="18" applyNumberFormat="1" applyFont="1" applyFill="1" applyBorder="1"/>
    <xf numFmtId="0" fontId="71" fillId="10" borderId="0" xfId="65" applyFont="1" applyFill="1" applyBorder="1" applyAlignment="1">
      <alignment horizontal="center" wrapText="1"/>
    </xf>
    <xf numFmtId="0" fontId="34" fillId="0" borderId="0" xfId="61" applyFont="1"/>
    <xf numFmtId="0" fontId="33" fillId="0" borderId="5" xfId="61" applyFont="1" applyFill="1" applyBorder="1" applyAlignment="1">
      <alignment horizontal="left" indent="1"/>
    </xf>
    <xf numFmtId="0" fontId="33" fillId="0" borderId="5" xfId="61" applyFont="1" applyFill="1" applyBorder="1"/>
    <xf numFmtId="0" fontId="33" fillId="0" borderId="0" xfId="61" applyNumberFormat="1" applyFont="1"/>
    <xf numFmtId="0" fontId="33" fillId="8" borderId="0" xfId="61" applyFont="1" applyFill="1" applyAlignment="1">
      <alignment horizontal="center"/>
    </xf>
    <xf numFmtId="191" fontId="33" fillId="8" borderId="0" xfId="0" applyNumberFormat="1" applyFont="1" applyFill="1" applyAlignment="1">
      <alignment horizontal="center"/>
    </xf>
    <xf numFmtId="0" fontId="34" fillId="8" borderId="0" xfId="63" applyFont="1" applyFill="1" applyAlignment="1">
      <alignment vertical="center"/>
    </xf>
    <xf numFmtId="38" fontId="47" fillId="8" borderId="0" xfId="63" applyNumberFormat="1" applyFont="1" applyFill="1" applyAlignment="1">
      <alignment horizontal="center" vertical="center"/>
    </xf>
    <xf numFmtId="166" fontId="72" fillId="10" borderId="0" xfId="18" applyNumberFormat="1" applyFont="1" applyFill="1" applyBorder="1"/>
    <xf numFmtId="166" fontId="71" fillId="10" borderId="0" xfId="18" applyNumberFormat="1" applyFont="1" applyFill="1" applyBorder="1"/>
    <xf numFmtId="0" fontId="34" fillId="0" borderId="0" xfId="61" applyFont="1" applyAlignment="1">
      <alignment horizontal="right"/>
    </xf>
    <xf numFmtId="0" fontId="33" fillId="0" borderId="10" xfId="66" applyFont="1" applyBorder="1" applyAlignment="1">
      <alignment horizontal="center"/>
    </xf>
    <xf numFmtId="0" fontId="33" fillId="0" borderId="0" xfId="66" applyFont="1" applyBorder="1" applyAlignment="1">
      <alignment horizontal="left"/>
    </xf>
    <xf numFmtId="0" fontId="33" fillId="0" borderId="12" xfId="66" applyFont="1" applyBorder="1" applyAlignment="1">
      <alignment horizontal="center"/>
    </xf>
    <xf numFmtId="0" fontId="33" fillId="8" borderId="10" xfId="63" applyFont="1" applyFill="1" applyBorder="1" applyAlignment="1">
      <alignment horizontal="center" vertical="center"/>
    </xf>
    <xf numFmtId="1" fontId="33" fillId="8" borderId="0" xfId="63" applyNumberFormat="1" applyFont="1" applyFill="1" applyBorder="1" applyAlignment="1">
      <alignment horizontal="center" vertical="center"/>
    </xf>
    <xf numFmtId="1" fontId="20" fillId="8" borderId="12" xfId="63" applyNumberFormat="1" applyFont="1" applyFill="1" applyBorder="1" applyAlignment="1">
      <alignment horizontal="center" vertical="center"/>
    </xf>
    <xf numFmtId="0" fontId="33" fillId="8" borderId="11" xfId="63" applyFont="1" applyFill="1" applyBorder="1" applyAlignment="1">
      <alignment horizontal="center" vertical="center"/>
    </xf>
    <xf numFmtId="1" fontId="33" fillId="8" borderId="5" xfId="63" applyNumberFormat="1" applyFont="1" applyFill="1" applyBorder="1" applyAlignment="1">
      <alignment horizontal="center" vertical="center"/>
    </xf>
    <xf numFmtId="1" fontId="20" fillId="8" borderId="15" xfId="63" applyNumberFormat="1" applyFont="1" applyFill="1" applyBorder="1" applyAlignment="1">
      <alignment horizontal="center" vertical="center"/>
    </xf>
    <xf numFmtId="211" fontId="33" fillId="0" borderId="0" xfId="61" applyNumberFormat="1" applyFont="1" applyAlignment="1">
      <alignment horizontal="left"/>
    </xf>
    <xf numFmtId="166" fontId="20" fillId="8" borderId="10" xfId="61" applyNumberFormat="1" applyFont="1" applyFill="1" applyBorder="1"/>
    <xf numFmtId="0" fontId="20" fillId="8" borderId="10" xfId="61" applyFont="1" applyFill="1" applyBorder="1"/>
    <xf numFmtId="10" fontId="20" fillId="8" borderId="12" xfId="69" applyNumberFormat="1" applyFont="1" applyFill="1" applyBorder="1"/>
    <xf numFmtId="205" fontId="20" fillId="8" borderId="12" xfId="61" applyNumberFormat="1" applyFont="1" applyFill="1" applyBorder="1"/>
    <xf numFmtId="0" fontId="20" fillId="0" borderId="10" xfId="61" applyFont="1" applyBorder="1"/>
    <xf numFmtId="6" fontId="20" fillId="8" borderId="12" xfId="61" applyNumberFormat="1" applyFont="1" applyFill="1" applyBorder="1"/>
    <xf numFmtId="166" fontId="20" fillId="8" borderId="11" xfId="61" applyNumberFormat="1" applyFont="1" applyFill="1" applyBorder="1"/>
    <xf numFmtId="200" fontId="38" fillId="8" borderId="0" xfId="61" applyNumberFormat="1" applyFont="1" applyFill="1" applyAlignment="1">
      <alignment horizontal="right"/>
    </xf>
    <xf numFmtId="0" fontId="33" fillId="8" borderId="0" xfId="66" applyFont="1" applyFill="1" applyAlignment="1">
      <alignment horizontal="center"/>
    </xf>
    <xf numFmtId="1" fontId="33" fillId="8" borderId="0" xfId="63" applyNumberFormat="1" applyFont="1" applyFill="1" applyAlignment="1">
      <alignment horizontal="center" vertical="center"/>
    </xf>
    <xf numFmtId="0" fontId="33" fillId="8" borderId="0" xfId="66" applyFont="1" applyFill="1"/>
    <xf numFmtId="166" fontId="20" fillId="0" borderId="0" xfId="61" applyNumberFormat="1" applyFont="1"/>
    <xf numFmtId="0" fontId="20" fillId="0" borderId="0" xfId="63" applyFont="1" applyBorder="1" applyAlignment="1">
      <alignment horizontal="center" vertical="center"/>
    </xf>
    <xf numFmtId="0" fontId="20" fillId="0" borderId="0" xfId="63" applyNumberFormat="1" applyFont="1" applyBorder="1" applyAlignment="1">
      <alignment horizontal="center"/>
    </xf>
    <xf numFmtId="0" fontId="49" fillId="8" borderId="6" xfId="61" applyFont="1" applyFill="1" applyBorder="1" applyAlignment="1">
      <alignment vertical="center"/>
    </xf>
    <xf numFmtId="166" fontId="33" fillId="8" borderId="6" xfId="61" applyNumberFormat="1" applyFont="1" applyFill="1" applyBorder="1" applyAlignment="1">
      <alignment vertical="center"/>
    </xf>
    <xf numFmtId="0" fontId="33" fillId="0" borderId="0" xfId="61" applyFont="1" applyBorder="1" applyAlignment="1">
      <alignment vertical="center"/>
    </xf>
    <xf numFmtId="166" fontId="33" fillId="0" borderId="0" xfId="61" applyNumberFormat="1" applyFont="1" applyBorder="1" applyAlignment="1">
      <alignment vertical="center"/>
    </xf>
    <xf numFmtId="178" fontId="33" fillId="0" borderId="0" xfId="61" applyNumberFormat="1" applyFont="1" applyBorder="1" applyAlignment="1">
      <alignment vertical="center"/>
    </xf>
    <xf numFmtId="6" fontId="20" fillId="8" borderId="29" xfId="13" applyNumberFormat="1" applyFont="1" applyFill="1" applyBorder="1" applyAlignment="1">
      <alignment horizontal="center"/>
    </xf>
    <xf numFmtId="6" fontId="20" fillId="8" borderId="29" xfId="13" applyNumberFormat="1" applyFont="1" applyFill="1" applyBorder="1" applyAlignment="1"/>
    <xf numFmtId="8" fontId="32" fillId="8" borderId="29" xfId="13" applyFont="1" applyFill="1" applyBorder="1" applyAlignment="1">
      <alignment horizontal="right"/>
    </xf>
    <xf numFmtId="38" fontId="33" fillId="0" borderId="5" xfId="13" applyNumberFormat="1" applyFont="1" applyBorder="1" applyAlignment="1">
      <alignment horizontal="right"/>
    </xf>
    <xf numFmtId="0" fontId="33" fillId="0" borderId="11" xfId="63" applyFont="1" applyFill="1" applyBorder="1" applyAlignment="1">
      <alignment vertical="center"/>
    </xf>
    <xf numFmtId="168" fontId="20" fillId="8" borderId="11" xfId="63" applyNumberFormat="1" applyFont="1" applyFill="1" applyBorder="1" applyAlignment="1">
      <alignment horizontal="center"/>
    </xf>
    <xf numFmtId="38" fontId="71" fillId="0" borderId="0" xfId="13" applyNumberFormat="1" applyFont="1" applyBorder="1" applyAlignment="1">
      <alignment horizontal="right"/>
    </xf>
    <xf numFmtId="5" fontId="71" fillId="8" borderId="0" xfId="13" applyNumberFormat="1" applyFont="1" applyFill="1" applyBorder="1" applyAlignment="1">
      <alignment vertical="top"/>
    </xf>
    <xf numFmtId="0" fontId="82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top"/>
    </xf>
    <xf numFmtId="195" fontId="82" fillId="8" borderId="0" xfId="0" applyNumberFormat="1" applyFont="1" applyFill="1" applyBorder="1" applyAlignment="1">
      <alignment horizontal="center" vertical="top"/>
    </xf>
    <xf numFmtId="0" fontId="82" fillId="8" borderId="0" xfId="0" applyFont="1" applyFill="1" applyBorder="1" applyAlignment="1">
      <alignment horizontal="left" vertical="top"/>
    </xf>
    <xf numFmtId="14" fontId="82" fillId="8" borderId="0" xfId="0" applyNumberFormat="1" applyFont="1" applyFill="1" applyBorder="1" applyAlignment="1">
      <alignment horizontal="center"/>
    </xf>
    <xf numFmtId="166" fontId="82" fillId="8" borderId="0" xfId="0" applyNumberFormat="1" applyFont="1" applyFill="1" applyBorder="1" applyAlignment="1">
      <alignment horizontal="right" vertical="top"/>
    </xf>
    <xf numFmtId="0" fontId="33" fillId="8" borderId="0" xfId="65" applyFont="1" applyFill="1" applyBorder="1" applyAlignment="1">
      <alignment horizontal="center" wrapText="1"/>
    </xf>
    <xf numFmtId="6" fontId="71" fillId="8" borderId="0" xfId="18" applyNumberFormat="1" applyFont="1" applyFill="1" applyBorder="1" applyAlignment="1">
      <alignment vertical="top"/>
    </xf>
    <xf numFmtId="6" fontId="72" fillId="8" borderId="6" xfId="18" applyNumberFormat="1" applyFont="1" applyFill="1" applyBorder="1" applyAlignment="1">
      <alignment vertical="top"/>
    </xf>
    <xf numFmtId="6" fontId="72" fillId="8" borderId="0" xfId="65" applyNumberFormat="1" applyFont="1" applyFill="1" applyBorder="1"/>
    <xf numFmtId="6" fontId="20" fillId="8" borderId="17" xfId="18" applyNumberFormat="1" applyFont="1" applyFill="1" applyBorder="1"/>
    <xf numFmtId="6" fontId="72" fillId="8" borderId="0" xfId="18" applyNumberFormat="1" applyFont="1" applyFill="1" applyBorder="1" applyAlignment="1"/>
    <xf numFmtId="6" fontId="20" fillId="8" borderId="0" xfId="18" applyNumberFormat="1" applyFont="1" applyFill="1" applyBorder="1"/>
    <xf numFmtId="6" fontId="71" fillId="8" borderId="0" xfId="18" applyNumberFormat="1" applyFont="1" applyFill="1" applyBorder="1"/>
    <xf numFmtId="6" fontId="20" fillId="8" borderId="9" xfId="18" applyNumberFormat="1" applyFont="1" applyFill="1" applyBorder="1"/>
    <xf numFmtId="6" fontId="71" fillId="8" borderId="0" xfId="61" applyNumberFormat="1" applyFont="1" applyFill="1"/>
    <xf numFmtId="1" fontId="38" fillId="8" borderId="0" xfId="61" applyNumberFormat="1" applyFont="1" applyFill="1" applyAlignment="1">
      <alignment horizontal="center"/>
    </xf>
    <xf numFmtId="166" fontId="38" fillId="8" borderId="0" xfId="61" applyNumberFormat="1" applyFont="1" applyFill="1"/>
    <xf numFmtId="166" fontId="33" fillId="8" borderId="0" xfId="61" applyNumberFormat="1" applyFont="1" applyFill="1"/>
    <xf numFmtId="166" fontId="39" fillId="8" borderId="0" xfId="61" applyNumberFormat="1" applyFont="1" applyFill="1"/>
    <xf numFmtId="0" fontId="20" fillId="0" borderId="20" xfId="61" applyFont="1" applyBorder="1" applyAlignment="1">
      <alignment vertical="center"/>
    </xf>
    <xf numFmtId="38" fontId="38" fillId="0" borderId="30" xfId="5" applyNumberFormat="1" applyFont="1" applyFill="1" applyBorder="1" applyAlignment="1">
      <alignment horizontal="left"/>
    </xf>
    <xf numFmtId="0" fontId="33" fillId="0" borderId="30" xfId="61" applyFont="1" applyFill="1" applyBorder="1" applyAlignment="1">
      <alignment horizontal="center"/>
    </xf>
    <xf numFmtId="196" fontId="33" fillId="0" borderId="30" xfId="5" applyNumberFormat="1" applyFont="1" applyBorder="1" applyAlignment="1">
      <alignment horizontal="center"/>
    </xf>
    <xf numFmtId="195" fontId="33" fillId="0" borderId="30" xfId="5" applyNumberFormat="1" applyFont="1" applyBorder="1" applyAlignment="1">
      <alignment horizontal="right"/>
    </xf>
    <xf numFmtId="196" fontId="33" fillId="0" borderId="20" xfId="5" applyNumberFormat="1" applyFont="1" applyBorder="1" applyAlignment="1">
      <alignment horizontal="center"/>
    </xf>
    <xf numFmtId="195" fontId="33" fillId="0" borderId="20" xfId="5" applyNumberFormat="1" applyFont="1" applyBorder="1" applyAlignment="1">
      <alignment horizontal="right"/>
    </xf>
    <xf numFmtId="6" fontId="33" fillId="8" borderId="20" xfId="5" applyNumberFormat="1" applyFont="1" applyFill="1" applyBorder="1" applyAlignment="1">
      <alignment horizontal="center"/>
    </xf>
    <xf numFmtId="5" fontId="33" fillId="8" borderId="20" xfId="5" applyNumberFormat="1" applyFont="1" applyFill="1" applyBorder="1" applyAlignment="1">
      <alignment horizontal="right"/>
    </xf>
    <xf numFmtId="166" fontId="83" fillId="8" borderId="0" xfId="0" applyNumberFormat="1" applyFont="1" applyFill="1" applyBorder="1" applyAlignment="1">
      <alignment horizontal="right" vertical="top"/>
    </xf>
    <xf numFmtId="8" fontId="23" fillId="8" borderId="0" xfId="13" applyFont="1" applyFill="1" applyBorder="1" applyAlignment="1">
      <alignment horizontal="center" vertical="top"/>
    </xf>
    <xf numFmtId="10" fontId="33" fillId="0" borderId="12" xfId="69" applyNumberFormat="1" applyFont="1" applyFill="1" applyBorder="1" applyAlignment="1">
      <alignment horizontal="right"/>
    </xf>
    <xf numFmtId="212" fontId="20" fillId="8" borderId="0" xfId="13" applyNumberFormat="1" applyFont="1" applyFill="1" applyBorder="1" applyAlignment="1">
      <alignment horizontal="center"/>
    </xf>
    <xf numFmtId="6" fontId="20" fillId="8" borderId="0" xfId="61" applyNumberFormat="1" applyFont="1" applyFill="1" applyBorder="1" applyAlignment="1">
      <alignment horizontal="right"/>
    </xf>
    <xf numFmtId="6" fontId="33" fillId="0" borderId="0" xfId="61" applyNumberFormat="1" applyFont="1" applyBorder="1" applyAlignment="1">
      <alignment horizontal="center"/>
    </xf>
    <xf numFmtId="166" fontId="20" fillId="8" borderId="0" xfId="61" applyNumberFormat="1" applyFont="1" applyFill="1" applyBorder="1"/>
    <xf numFmtId="166" fontId="20" fillId="8" borderId="16" xfId="61" applyNumberFormat="1" applyFont="1" applyFill="1" applyBorder="1"/>
    <xf numFmtId="0" fontId="33" fillId="8" borderId="24" xfId="61" applyFont="1" applyFill="1" applyBorder="1"/>
    <xf numFmtId="10" fontId="20" fillId="0" borderId="12" xfId="61" applyNumberFormat="1" applyFont="1" applyBorder="1"/>
    <xf numFmtId="1" fontId="33" fillId="0" borderId="0" xfId="61" applyNumberFormat="1" applyFont="1" applyAlignment="1">
      <alignment horizontal="left"/>
    </xf>
    <xf numFmtId="0" fontId="33" fillId="8" borderId="0" xfId="61" applyFont="1" applyFill="1" applyBorder="1" applyAlignment="1">
      <alignment horizontal="left"/>
    </xf>
    <xf numFmtId="6" fontId="33" fillId="8" borderId="0" xfId="61" applyNumberFormat="1" applyFont="1" applyFill="1"/>
    <xf numFmtId="174" fontId="33" fillId="8" borderId="0" xfId="61" applyNumberFormat="1" applyFont="1" applyFill="1" applyBorder="1" applyAlignment="1">
      <alignment horizontal="left"/>
    </xf>
    <xf numFmtId="174" fontId="20" fillId="8" borderId="0" xfId="61" applyNumberFormat="1" applyFont="1" applyFill="1" applyBorder="1" applyAlignment="1">
      <alignment horizontal="left"/>
    </xf>
    <xf numFmtId="166" fontId="33" fillId="8" borderId="0" xfId="61" applyNumberFormat="1" applyFont="1" applyFill="1" applyBorder="1" applyAlignment="1">
      <alignment horizontal="right"/>
    </xf>
    <xf numFmtId="166" fontId="37" fillId="8" borderId="0" xfId="61" applyNumberFormat="1" applyFont="1" applyFill="1" applyBorder="1"/>
    <xf numFmtId="0" fontId="20" fillId="8" borderId="0" xfId="61" applyFont="1" applyFill="1" applyBorder="1" applyAlignment="1">
      <alignment horizontal="left" indent="1"/>
    </xf>
    <xf numFmtId="0" fontId="33" fillId="8" borderId="0" xfId="61" applyFont="1" applyFill="1" applyBorder="1" applyAlignment="1">
      <alignment wrapText="1"/>
    </xf>
    <xf numFmtId="174" fontId="33" fillId="8" borderId="0" xfId="61" applyNumberFormat="1" applyFont="1" applyFill="1" applyBorder="1" applyAlignment="1">
      <alignment horizontal="center"/>
    </xf>
    <xf numFmtId="213" fontId="20" fillId="8" borderId="15" xfId="61" applyNumberFormat="1" applyFont="1" applyFill="1" applyBorder="1"/>
    <xf numFmtId="0" fontId="78" fillId="0" borderId="0" xfId="61" applyFont="1" applyFill="1" applyBorder="1"/>
    <xf numFmtId="10" fontId="33" fillId="0" borderId="0" xfId="61" applyNumberFormat="1" applyFont="1" applyFill="1" applyBorder="1"/>
    <xf numFmtId="166" fontId="71" fillId="0" borderId="0" xfId="61" applyNumberFormat="1" applyFont="1" applyFill="1" applyBorder="1"/>
    <xf numFmtId="10" fontId="38" fillId="0" borderId="0" xfId="61" applyNumberFormat="1" applyFont="1" applyAlignment="1">
      <alignment horizontal="right"/>
    </xf>
    <xf numFmtId="2" fontId="33" fillId="0" borderId="0" xfId="61" applyNumberFormat="1" applyFont="1" applyAlignment="1">
      <alignment horizontal="center"/>
    </xf>
    <xf numFmtId="9" fontId="71" fillId="0" borderId="0" xfId="69" applyFont="1" applyBorder="1" applyAlignment="1">
      <alignment horizontal="right"/>
    </xf>
    <xf numFmtId="214" fontId="33" fillId="8" borderId="0" xfId="61" applyNumberFormat="1" applyFont="1" applyFill="1"/>
    <xf numFmtId="167" fontId="33" fillId="0" borderId="0" xfId="60" applyNumberFormat="1" applyFont="1" applyFill="1" applyBorder="1" applyAlignment="1" applyProtection="1">
      <alignment horizontal="right"/>
      <protection locked="0"/>
    </xf>
    <xf numFmtId="10" fontId="33" fillId="0" borderId="0" xfId="69" applyNumberFormat="1" applyFont="1" applyBorder="1" applyAlignment="1">
      <alignment horizontal="left"/>
    </xf>
    <xf numFmtId="0" fontId="20" fillId="0" borderId="0" xfId="61" applyFont="1" applyFill="1" applyBorder="1" applyAlignment="1">
      <alignment horizontal="center"/>
    </xf>
    <xf numFmtId="0" fontId="39" fillId="0" borderId="0" xfId="61" applyFont="1" applyBorder="1" applyAlignment="1">
      <alignment horizontal="center"/>
    </xf>
    <xf numFmtId="0" fontId="71" fillId="8" borderId="0" xfId="61" applyFont="1" applyFill="1" applyBorder="1" applyAlignment="1">
      <alignment horizontal="center"/>
    </xf>
    <xf numFmtId="10" fontId="33" fillId="8" borderId="0" xfId="61" applyNumberFormat="1" applyFont="1" applyFill="1" applyBorder="1"/>
    <xf numFmtId="1" fontId="20" fillId="8" borderId="0" xfId="63" applyNumberFormat="1" applyFont="1" applyFill="1" applyBorder="1" applyAlignment="1">
      <alignment horizontal="center" vertical="center"/>
    </xf>
    <xf numFmtId="37" fontId="33" fillId="0" borderId="21" xfId="63" applyNumberFormat="1" applyFont="1" applyFill="1" applyBorder="1" applyAlignment="1">
      <alignment vertical="center"/>
    </xf>
    <xf numFmtId="37" fontId="20" fillId="0" borderId="21" xfId="63" applyNumberFormat="1" applyFont="1" applyFill="1" applyBorder="1" applyAlignment="1">
      <alignment horizontal="center" vertical="center"/>
    </xf>
    <xf numFmtId="37" fontId="20" fillId="8" borderId="21" xfId="63" applyNumberFormat="1" applyFont="1" applyFill="1" applyBorder="1" applyAlignment="1">
      <alignment horizontal="center" vertical="center"/>
    </xf>
    <xf numFmtId="37" fontId="34" fillId="8" borderId="21" xfId="63" applyNumberFormat="1" applyFont="1" applyFill="1" applyBorder="1" applyAlignment="1">
      <alignment vertical="center"/>
    </xf>
    <xf numFmtId="0" fontId="33" fillId="0" borderId="21" xfId="63" applyFont="1" applyFill="1" applyBorder="1" applyAlignment="1">
      <alignment vertical="center"/>
    </xf>
    <xf numFmtId="38" fontId="33" fillId="0" borderId="21" xfId="13" applyNumberFormat="1" applyFont="1" applyBorder="1" applyAlignment="1">
      <alignment horizontal="right"/>
    </xf>
    <xf numFmtId="38" fontId="33" fillId="0" borderId="21" xfId="63" applyNumberFormat="1" applyFont="1" applyBorder="1" applyAlignment="1"/>
    <xf numFmtId="0" fontId="33" fillId="0" borderId="21" xfId="63" applyFont="1" applyBorder="1"/>
    <xf numFmtId="38" fontId="33" fillId="0" borderId="21" xfId="69" applyNumberFormat="1" applyFont="1" applyBorder="1" applyAlignment="1"/>
    <xf numFmtId="38" fontId="33" fillId="8" borderId="21" xfId="63" applyNumberFormat="1" applyFont="1" applyFill="1" applyBorder="1" applyAlignment="1">
      <alignment horizontal="right"/>
    </xf>
    <xf numFmtId="38" fontId="33" fillId="0" borderId="21" xfId="63" applyNumberFormat="1" applyFont="1" applyBorder="1" applyAlignment="1">
      <alignment horizontal="right"/>
    </xf>
    <xf numFmtId="38" fontId="45" fillId="0" borderId="21" xfId="63" applyNumberFormat="1" applyFont="1" applyBorder="1" applyAlignment="1">
      <alignment horizontal="right"/>
    </xf>
    <xf numFmtId="37" fontId="45" fillId="0" borderId="21" xfId="63" applyNumberFormat="1" applyFont="1" applyBorder="1" applyAlignment="1">
      <alignment vertical="center"/>
    </xf>
    <xf numFmtId="37" fontId="74" fillId="11" borderId="0" xfId="63" applyNumberFormat="1" applyFont="1" applyFill="1" applyBorder="1" applyAlignment="1"/>
    <xf numFmtId="0" fontId="84" fillId="11" borderId="0" xfId="63" applyFont="1" applyFill="1" applyBorder="1" applyAlignment="1"/>
    <xf numFmtId="37" fontId="84" fillId="11" borderId="0" xfId="63" applyNumberFormat="1" applyFont="1" applyFill="1" applyBorder="1" applyAlignment="1">
      <alignment vertical="center"/>
    </xf>
    <xf numFmtId="37" fontId="74" fillId="11" borderId="14" xfId="63" applyNumberFormat="1" applyFont="1" applyFill="1" applyBorder="1" applyAlignment="1"/>
    <xf numFmtId="0" fontId="84" fillId="11" borderId="13" xfId="63" applyFont="1" applyFill="1" applyBorder="1" applyAlignment="1"/>
    <xf numFmtId="37" fontId="84" fillId="11" borderId="13" xfId="63" applyNumberFormat="1" applyFont="1" applyFill="1" applyBorder="1" applyAlignment="1">
      <alignment vertical="center"/>
    </xf>
    <xf numFmtId="37" fontId="84" fillId="11" borderId="18" xfId="63" applyNumberFormat="1" applyFont="1" applyFill="1" applyBorder="1" applyAlignment="1">
      <alignment vertical="center"/>
    </xf>
    <xf numFmtId="37" fontId="84" fillId="11" borderId="3" xfId="63" applyNumberFormat="1" applyFont="1" applyFill="1" applyBorder="1" applyAlignment="1">
      <alignment vertical="center"/>
    </xf>
    <xf numFmtId="6" fontId="84" fillId="11" borderId="13" xfId="13" applyNumberFormat="1" applyFont="1" applyFill="1" applyBorder="1" applyAlignment="1">
      <alignment horizontal="right"/>
    </xf>
    <xf numFmtId="6" fontId="84" fillId="11" borderId="13" xfId="11" applyNumberFormat="1" applyFont="1" applyFill="1" applyBorder="1" applyAlignment="1">
      <alignment horizontal="right"/>
    </xf>
    <xf numFmtId="6" fontId="84" fillId="11" borderId="18" xfId="11" applyNumberFormat="1" applyFont="1" applyFill="1" applyBorder="1" applyAlignment="1">
      <alignment horizontal="right"/>
    </xf>
    <xf numFmtId="9" fontId="84" fillId="11" borderId="0" xfId="69" applyFont="1" applyFill="1" applyBorder="1" applyAlignment="1">
      <alignment vertical="center"/>
    </xf>
    <xf numFmtId="38" fontId="84" fillId="11" borderId="12" xfId="13" applyNumberFormat="1" applyFont="1" applyFill="1" applyBorder="1" applyAlignment="1">
      <alignment horizontal="right"/>
    </xf>
    <xf numFmtId="38" fontId="84" fillId="11" borderId="21" xfId="13" applyNumberFormat="1" applyFont="1" applyFill="1" applyBorder="1" applyAlignment="1">
      <alignment horizontal="right"/>
    </xf>
    <xf numFmtId="38" fontId="84" fillId="11" borderId="0" xfId="13" applyNumberFormat="1" applyFont="1" applyFill="1" applyBorder="1" applyAlignment="1">
      <alignment horizontal="right"/>
    </xf>
    <xf numFmtId="38" fontId="84" fillId="11" borderId="0" xfId="63" applyNumberFormat="1" applyFont="1" applyFill="1" applyBorder="1" applyAlignment="1">
      <alignment horizontal="right"/>
    </xf>
    <xf numFmtId="0" fontId="84" fillId="11" borderId="0" xfId="63" applyFont="1" applyFill="1" applyBorder="1"/>
    <xf numFmtId="38" fontId="84" fillId="11" borderId="12" xfId="63" applyNumberFormat="1" applyFont="1" applyFill="1" applyBorder="1" applyAlignment="1"/>
    <xf numFmtId="38" fontId="84" fillId="11" borderId="21" xfId="63" applyNumberFormat="1" applyFont="1" applyFill="1" applyBorder="1" applyAlignment="1"/>
    <xf numFmtId="38" fontId="84" fillId="11" borderId="0" xfId="63" applyNumberFormat="1" applyFont="1" applyFill="1" applyBorder="1" applyAlignment="1"/>
    <xf numFmtId="38" fontId="84" fillId="11" borderId="12" xfId="63" applyNumberFormat="1" applyFont="1" applyFill="1" applyBorder="1" applyAlignment="1">
      <alignment horizontal="right"/>
    </xf>
    <xf numFmtId="38" fontId="84" fillId="11" borderId="21" xfId="63" applyNumberFormat="1" applyFont="1" applyFill="1" applyBorder="1" applyAlignment="1">
      <alignment horizontal="right"/>
    </xf>
    <xf numFmtId="10" fontId="84" fillId="11" borderId="12" xfId="69" applyNumberFormat="1" applyFont="1" applyFill="1" applyBorder="1" applyAlignment="1">
      <alignment horizontal="right"/>
    </xf>
    <xf numFmtId="38" fontId="84" fillId="11" borderId="20" xfId="63" applyNumberFormat="1" applyFont="1" applyFill="1" applyBorder="1" applyAlignment="1">
      <alignment horizontal="right"/>
    </xf>
    <xf numFmtId="10" fontId="54" fillId="0" borderId="0" xfId="61" applyNumberFormat="1" applyFont="1" applyAlignment="1">
      <alignment horizontal="left"/>
    </xf>
    <xf numFmtId="0" fontId="74" fillId="11" borderId="0" xfId="63" applyFont="1" applyFill="1" applyAlignment="1"/>
    <xf numFmtId="37" fontId="84" fillId="11" borderId="0" xfId="63" applyNumberFormat="1" applyFont="1" applyFill="1" applyAlignment="1"/>
    <xf numFmtId="37" fontId="84" fillId="11" borderId="0" xfId="63" applyNumberFormat="1" applyFont="1" applyFill="1" applyAlignment="1">
      <alignment vertical="center"/>
    </xf>
    <xf numFmtId="0" fontId="20" fillId="0" borderId="0" xfId="63" applyFont="1" applyFill="1" applyBorder="1" applyAlignment="1"/>
    <xf numFmtId="37" fontId="20" fillId="0" borderId="19" xfId="63" applyNumberFormat="1" applyFont="1" applyFill="1" applyBorder="1" applyAlignment="1">
      <alignment horizontal="center" vertical="center"/>
    </xf>
    <xf numFmtId="38" fontId="20" fillId="8" borderId="0" xfId="13" applyNumberFormat="1" applyFont="1" applyFill="1" applyBorder="1" applyAlignment="1">
      <alignment horizontal="center"/>
    </xf>
    <xf numFmtId="201" fontId="20" fillId="8" borderId="0" xfId="13" applyNumberFormat="1" applyFont="1" applyFill="1" applyBorder="1" applyAlignment="1">
      <alignment horizontal="center"/>
    </xf>
    <xf numFmtId="0" fontId="20" fillId="0" borderId="0" xfId="63" applyFont="1" applyFill="1" applyAlignment="1">
      <alignment vertical="center"/>
    </xf>
    <xf numFmtId="166" fontId="37" fillId="0" borderId="0" xfId="61" applyNumberFormat="1" applyFont="1" applyFill="1" applyBorder="1"/>
    <xf numFmtId="0" fontId="20" fillId="0" borderId="0" xfId="61" applyFont="1" applyFill="1" applyBorder="1" applyAlignment="1">
      <alignment horizontal="left" indent="1"/>
    </xf>
    <xf numFmtId="166" fontId="20" fillId="0" borderId="0" xfId="61" applyNumberFormat="1" applyFont="1" applyFill="1" applyBorder="1"/>
    <xf numFmtId="0" fontId="33" fillId="0" borderId="0" xfId="61" applyFont="1" applyFill="1" applyBorder="1" applyAlignment="1">
      <alignment wrapText="1"/>
    </xf>
    <xf numFmtId="10" fontId="20" fillId="0" borderId="0" xfId="69" applyNumberFormat="1" applyFont="1" applyFill="1" applyBorder="1"/>
    <xf numFmtId="205" fontId="20" fillId="0" borderId="0" xfId="61" applyNumberFormat="1" applyFont="1" applyFill="1" applyBorder="1"/>
    <xf numFmtId="6" fontId="20" fillId="0" borderId="0" xfId="61" applyNumberFormat="1" applyFont="1" applyFill="1" applyBorder="1"/>
    <xf numFmtId="10" fontId="20" fillId="0" borderId="0" xfId="61" applyNumberFormat="1" applyFont="1" applyFill="1" applyBorder="1"/>
    <xf numFmtId="213" fontId="20" fillId="0" borderId="0" xfId="61" applyNumberFormat="1" applyFont="1" applyFill="1" applyBorder="1"/>
    <xf numFmtId="0" fontId="54" fillId="8" borderId="0" xfId="40" applyFont="1" applyFill="1">
      <alignment vertical="center"/>
    </xf>
    <xf numFmtId="0" fontId="23" fillId="8" borderId="0" xfId="40" applyFont="1" applyFill="1">
      <alignment vertical="center"/>
    </xf>
    <xf numFmtId="0" fontId="24" fillId="8" borderId="0" xfId="40" applyFont="1" applyFill="1">
      <alignment vertical="center"/>
    </xf>
    <xf numFmtId="0" fontId="23" fillId="8" borderId="0" xfId="40" applyFont="1" applyFill="1" applyAlignment="1">
      <alignment horizontal="center" vertical="top" wrapText="1"/>
    </xf>
    <xf numFmtId="0" fontId="24" fillId="8" borderId="0" xfId="40" applyFont="1" applyFill="1" applyAlignment="1">
      <alignment horizontal="center" vertical="top" wrapText="1"/>
    </xf>
    <xf numFmtId="0" fontId="69" fillId="8" borderId="0" xfId="28" applyFont="1" applyFill="1" applyAlignment="1" applyProtection="1">
      <alignment vertical="center"/>
    </xf>
    <xf numFmtId="37" fontId="33" fillId="18" borderId="0" xfId="63" applyNumberFormat="1" applyFont="1" applyFill="1" applyBorder="1" applyAlignment="1">
      <alignment vertical="center"/>
    </xf>
    <xf numFmtId="6" fontId="33" fillId="18" borderId="0" xfId="11" applyNumberFormat="1" applyFont="1" applyFill="1" applyBorder="1" applyAlignment="1">
      <alignment horizontal="right"/>
    </xf>
    <xf numFmtId="40" fontId="71" fillId="18" borderId="0" xfId="13" applyNumberFormat="1" applyFont="1" applyFill="1" applyBorder="1" applyAlignment="1">
      <alignment horizontal="right"/>
    </xf>
    <xf numFmtId="38" fontId="33" fillId="18" borderId="11" xfId="13" applyNumberFormat="1" applyFont="1" applyFill="1" applyBorder="1" applyAlignment="1">
      <alignment horizontal="right"/>
    </xf>
    <xf numFmtId="38" fontId="33" fillId="18" borderId="0" xfId="13" applyNumberFormat="1" applyFont="1" applyFill="1" applyBorder="1" applyAlignment="1">
      <alignment horizontal="right"/>
    </xf>
    <xf numFmtId="38" fontId="33" fillId="18" borderId="0" xfId="63" applyNumberFormat="1" applyFont="1" applyFill="1" applyBorder="1" applyAlignment="1"/>
    <xf numFmtId="0" fontId="33" fillId="18" borderId="0" xfId="63" applyFont="1" applyFill="1" applyBorder="1"/>
    <xf numFmtId="38" fontId="33" fillId="18" borderId="0" xfId="69" applyNumberFormat="1" applyFont="1" applyFill="1" applyBorder="1" applyAlignment="1"/>
    <xf numFmtId="38" fontId="33" fillId="18" borderId="11" xfId="69" applyNumberFormat="1" applyFont="1" applyFill="1" applyBorder="1" applyAlignment="1"/>
    <xf numFmtId="38" fontId="33" fillId="18" borderId="0" xfId="63" applyNumberFormat="1" applyFont="1" applyFill="1" applyBorder="1" applyAlignment="1">
      <alignment horizontal="right"/>
    </xf>
    <xf numFmtId="38" fontId="33" fillId="18" borderId="11" xfId="63" applyNumberFormat="1" applyFont="1" applyFill="1" applyBorder="1" applyAlignment="1"/>
    <xf numFmtId="38" fontId="45" fillId="18" borderId="0" xfId="63" applyNumberFormat="1" applyFont="1" applyFill="1" applyBorder="1" applyAlignment="1">
      <alignment horizontal="right"/>
    </xf>
    <xf numFmtId="38" fontId="45" fillId="18" borderId="11" xfId="63" applyNumberFormat="1" applyFont="1" applyFill="1" applyBorder="1" applyAlignment="1">
      <alignment horizontal="right"/>
    </xf>
    <xf numFmtId="37" fontId="45" fillId="18" borderId="0" xfId="63" applyNumberFormat="1" applyFont="1" applyFill="1" applyBorder="1" applyAlignment="1">
      <alignment vertical="center"/>
    </xf>
    <xf numFmtId="38" fontId="33" fillId="18" borderId="13" xfId="63" applyNumberFormat="1" applyFont="1" applyFill="1" applyBorder="1" applyAlignment="1">
      <alignment horizontal="right"/>
    </xf>
    <xf numFmtId="37" fontId="38" fillId="18" borderId="0" xfId="63" applyNumberFormat="1" applyFont="1" applyFill="1" applyBorder="1" applyAlignment="1">
      <alignment horizontal="right"/>
    </xf>
    <xf numFmtId="38" fontId="33" fillId="18" borderId="5" xfId="63" applyNumberFormat="1" applyFont="1" applyFill="1" applyBorder="1" applyAlignment="1">
      <alignment horizontal="right"/>
    </xf>
    <xf numFmtId="37" fontId="34" fillId="18" borderId="0" xfId="63" applyNumberFormat="1" applyFont="1" applyFill="1" applyBorder="1" applyAlignment="1">
      <alignment vertical="center"/>
    </xf>
    <xf numFmtId="0" fontId="33" fillId="18" borderId="0" xfId="63" applyFont="1" applyFill="1" applyBorder="1" applyAlignment="1">
      <alignment vertical="center"/>
    </xf>
    <xf numFmtId="38" fontId="33" fillId="19" borderId="0" xfId="13" applyNumberFormat="1" applyFont="1" applyFill="1" applyBorder="1" applyAlignment="1">
      <alignment horizontal="right"/>
    </xf>
    <xf numFmtId="38" fontId="33" fillId="19" borderId="0" xfId="63" applyNumberFormat="1" applyFont="1" applyFill="1" applyAlignment="1">
      <alignment horizontal="right"/>
    </xf>
    <xf numFmtId="38" fontId="71" fillId="19" borderId="0" xfId="13" applyNumberFormat="1" applyFont="1" applyFill="1" applyBorder="1" applyAlignment="1">
      <alignment horizontal="right"/>
    </xf>
    <xf numFmtId="38" fontId="33" fillId="13" borderId="0" xfId="13" applyNumberFormat="1" applyFont="1" applyFill="1" applyBorder="1" applyAlignment="1">
      <alignment horizontal="right"/>
    </xf>
    <xf numFmtId="38" fontId="33" fillId="13" borderId="0" xfId="63" applyNumberFormat="1" applyFont="1" applyFill="1" applyAlignment="1">
      <alignment horizontal="right"/>
    </xf>
    <xf numFmtId="38" fontId="33" fillId="13" borderId="0" xfId="63" applyNumberFormat="1" applyFont="1" applyFill="1" applyBorder="1" applyAlignment="1"/>
    <xf numFmtId="38" fontId="23" fillId="8" borderId="0" xfId="0" applyNumberFormat="1" applyFont="1" applyFill="1">
      <alignment vertical="center"/>
    </xf>
    <xf numFmtId="0" fontId="54" fillId="8" borderId="0" xfId="0" applyFont="1" applyFill="1">
      <alignment vertical="center"/>
    </xf>
    <xf numFmtId="40" fontId="23" fillId="8" borderId="0" xfId="0" applyNumberFormat="1" applyFont="1" applyFill="1">
      <alignment vertical="center"/>
    </xf>
    <xf numFmtId="0" fontId="23" fillId="8" borderId="0" xfId="63" applyFont="1" applyFill="1" applyAlignment="1">
      <alignment vertical="center"/>
    </xf>
    <xf numFmtId="0" fontId="77" fillId="8" borderId="0" xfId="63" applyFont="1" applyFill="1" applyBorder="1" applyAlignment="1"/>
    <xf numFmtId="8" fontId="23" fillId="8" borderId="0" xfId="0" applyNumberFormat="1" applyFont="1" applyFill="1">
      <alignment vertical="center"/>
    </xf>
    <xf numFmtId="179" fontId="23" fillId="8" borderId="0" xfId="0" applyNumberFormat="1" applyFont="1" applyFill="1">
      <alignment vertical="center"/>
    </xf>
    <xf numFmtId="40" fontId="23" fillId="8" borderId="5" xfId="0" applyNumberFormat="1" applyFont="1" applyFill="1" applyBorder="1">
      <alignment vertical="center"/>
    </xf>
    <xf numFmtId="0" fontId="23" fillId="18" borderId="0" xfId="0" applyFont="1" applyFill="1">
      <alignment vertical="center"/>
    </xf>
    <xf numFmtId="0" fontId="23" fillId="18" borderId="5" xfId="0" applyFont="1" applyFill="1" applyBorder="1">
      <alignment vertical="center"/>
    </xf>
    <xf numFmtId="0" fontId="23" fillId="18" borderId="0" xfId="0" applyFont="1" applyFill="1" applyBorder="1">
      <alignment vertical="center"/>
    </xf>
    <xf numFmtId="40" fontId="23" fillId="8" borderId="0" xfId="0" applyNumberFormat="1" applyFont="1" applyFill="1" applyBorder="1">
      <alignment vertical="center"/>
    </xf>
    <xf numFmtId="40" fontId="23" fillId="18" borderId="5" xfId="0" applyNumberFormat="1" applyFont="1" applyFill="1" applyBorder="1">
      <alignment vertical="center"/>
    </xf>
    <xf numFmtId="40" fontId="24" fillId="8" borderId="0" xfId="0" applyNumberFormat="1" applyFont="1" applyFill="1">
      <alignment vertical="center"/>
    </xf>
    <xf numFmtId="6" fontId="24" fillId="8" borderId="0" xfId="0" applyNumberFormat="1" applyFont="1" applyFill="1">
      <alignment vertical="center"/>
    </xf>
    <xf numFmtId="0" fontId="24" fillId="18" borderId="0" xfId="0" applyFont="1" applyFill="1" applyAlignment="1">
      <alignment horizontal="center" vertical="center"/>
    </xf>
    <xf numFmtId="6" fontId="24" fillId="18" borderId="0" xfId="0" applyNumberFormat="1" applyFont="1" applyFill="1" applyAlignment="1">
      <alignment horizontal="center" vertical="center"/>
    </xf>
    <xf numFmtId="215" fontId="23" fillId="8" borderId="0" xfId="0" applyNumberFormat="1" applyFont="1" applyFill="1" applyAlignment="1">
      <alignment horizontal="left" vertical="center" indent="1"/>
    </xf>
    <xf numFmtId="201" fontId="24" fillId="8" borderId="0" xfId="0" applyNumberFormat="1" applyFont="1" applyFill="1">
      <alignment vertical="center"/>
    </xf>
    <xf numFmtId="10" fontId="71" fillId="18" borderId="31" xfId="69" applyNumberFormat="1" applyFont="1" applyFill="1" applyBorder="1" applyAlignment="1">
      <alignment horizontal="center"/>
    </xf>
    <xf numFmtId="215" fontId="33" fillId="19" borderId="0" xfId="0" applyNumberFormat="1" applyFont="1" applyFill="1" applyAlignment="1">
      <alignment horizontal="left" vertical="center" indent="1"/>
    </xf>
    <xf numFmtId="37" fontId="33" fillId="19" borderId="0" xfId="63" applyNumberFormat="1" applyFont="1" applyFill="1" applyBorder="1" applyAlignment="1">
      <alignment vertical="center"/>
    </xf>
    <xf numFmtId="6" fontId="33" fillId="19" borderId="10" xfId="11" applyNumberFormat="1" applyFont="1" applyFill="1" applyBorder="1" applyAlignment="1">
      <alignment horizontal="right"/>
    </xf>
    <xf numFmtId="6" fontId="33" fillId="19" borderId="0" xfId="11" applyNumberFormat="1" applyFont="1" applyFill="1" applyBorder="1" applyAlignment="1">
      <alignment horizontal="right"/>
    </xf>
    <xf numFmtId="6" fontId="33" fillId="19" borderId="12" xfId="11" applyNumberFormat="1" applyFont="1" applyFill="1" applyBorder="1" applyAlignment="1">
      <alignment horizontal="right"/>
    </xf>
    <xf numFmtId="0" fontId="33" fillId="19" borderId="0" xfId="0" applyFont="1" applyFill="1">
      <alignment vertical="center"/>
    </xf>
    <xf numFmtId="38" fontId="33" fillId="19" borderId="0" xfId="0" applyNumberFormat="1" applyFont="1" applyFill="1">
      <alignment vertical="center"/>
    </xf>
    <xf numFmtId="38" fontId="33" fillId="18" borderId="0" xfId="0" applyNumberFormat="1" applyFont="1" applyFill="1">
      <alignment vertical="center"/>
    </xf>
    <xf numFmtId="38" fontId="33" fillId="18" borderId="0" xfId="0" applyNumberFormat="1" applyFont="1" applyFill="1" applyBorder="1">
      <alignment vertical="center"/>
    </xf>
    <xf numFmtId="38" fontId="33" fillId="19" borderId="0" xfId="0" applyNumberFormat="1" applyFont="1" applyFill="1" applyBorder="1">
      <alignment vertical="center"/>
    </xf>
    <xf numFmtId="38" fontId="33" fillId="18" borderId="5" xfId="0" applyNumberFormat="1" applyFont="1" applyFill="1" applyBorder="1">
      <alignment vertical="center"/>
    </xf>
    <xf numFmtId="38" fontId="33" fillId="19" borderId="5" xfId="0" applyNumberFormat="1" applyFont="1" applyFill="1" applyBorder="1">
      <alignment vertical="center"/>
    </xf>
    <xf numFmtId="179" fontId="33" fillId="8" borderId="0" xfId="63" applyNumberFormat="1" applyFont="1" applyFill="1" applyAlignment="1">
      <alignment horizontal="center" vertical="center"/>
    </xf>
    <xf numFmtId="10" fontId="23" fillId="8" borderId="15" xfId="69" applyNumberFormat="1" applyFont="1" applyFill="1" applyBorder="1"/>
    <xf numFmtId="216" fontId="33" fillId="19" borderId="12" xfId="13" applyNumberFormat="1" applyFont="1" applyFill="1" applyBorder="1" applyAlignment="1">
      <alignment horizontal="right"/>
    </xf>
    <xf numFmtId="216" fontId="33" fillId="19" borderId="15" xfId="13" applyNumberFormat="1" applyFont="1" applyFill="1" applyBorder="1" applyAlignment="1">
      <alignment horizontal="right"/>
    </xf>
    <xf numFmtId="0" fontId="92" fillId="8" borderId="0" xfId="28" applyFont="1" applyFill="1" applyAlignment="1" applyProtection="1">
      <alignment vertical="center"/>
    </xf>
    <xf numFmtId="0" fontId="94" fillId="8" borderId="0" xfId="56" applyFont="1" applyFill="1" applyBorder="1" applyAlignment="1"/>
    <xf numFmtId="0" fontId="93" fillId="6" borderId="0" xfId="56" applyFont="1" applyFill="1" applyBorder="1" applyAlignment="1"/>
    <xf numFmtId="0" fontId="63" fillId="6" borderId="0" xfId="56" applyFont="1" applyFill="1" applyAlignment="1"/>
    <xf numFmtId="0" fontId="52" fillId="6" borderId="0" xfId="56" applyFont="1" applyFill="1" applyAlignment="1"/>
    <xf numFmtId="0" fontId="91" fillId="6" borderId="0" xfId="92" applyFont="1" applyFill="1" applyBorder="1" applyAlignment="1">
      <alignment vertical="center"/>
    </xf>
    <xf numFmtId="0" fontId="96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top"/>
    </xf>
    <xf numFmtId="195" fontId="83" fillId="8" borderId="0" xfId="0" applyNumberFormat="1" applyFont="1" applyFill="1" applyBorder="1" applyAlignment="1">
      <alignment horizontal="center" vertical="top"/>
    </xf>
    <xf numFmtId="0" fontId="83" fillId="8" borderId="0" xfId="0" applyFont="1" applyFill="1" applyBorder="1" applyAlignment="1">
      <alignment horizontal="left" vertical="top"/>
    </xf>
    <xf numFmtId="14" fontId="83" fillId="8" borderId="0" xfId="0" applyNumberFormat="1" applyFont="1" applyFill="1" applyBorder="1" applyAlignment="1">
      <alignment horizontal="center"/>
    </xf>
    <xf numFmtId="8" fontId="96" fillId="8" borderId="0" xfId="13" applyFont="1" applyFill="1" applyBorder="1" applyAlignment="1">
      <alignment horizontal="center" vertical="top"/>
    </xf>
    <xf numFmtId="184" fontId="20" fillId="8" borderId="0" xfId="65" applyNumberFormat="1" applyFont="1" applyFill="1" applyBorder="1" applyAlignment="1">
      <alignment horizontal="center" vertical="center"/>
    </xf>
    <xf numFmtId="166" fontId="33" fillId="20" borderId="0" xfId="18" applyNumberFormat="1" applyFont="1" applyFill="1" applyBorder="1" applyAlignment="1">
      <alignment horizontal="center"/>
    </xf>
    <xf numFmtId="6" fontId="33" fillId="20" borderId="0" xfId="18" applyNumberFormat="1" applyFont="1" applyFill="1" applyBorder="1" applyAlignment="1">
      <alignment horizontal="center"/>
    </xf>
    <xf numFmtId="166" fontId="72" fillId="20" borderId="0" xfId="18" applyNumberFormat="1" applyFont="1" applyFill="1" applyBorder="1" applyAlignment="1">
      <alignment horizontal="center"/>
    </xf>
    <xf numFmtId="6" fontId="20" fillId="10" borderId="0" xfId="18" applyNumberFormat="1" applyFont="1" applyFill="1" applyBorder="1" applyAlignment="1"/>
    <xf numFmtId="0" fontId="61" fillId="8" borderId="0" xfId="0" applyFont="1" applyFill="1" applyBorder="1" applyAlignment="1">
      <alignment horizontal="center" vertical="center"/>
    </xf>
    <xf numFmtId="0" fontId="92" fillId="8" borderId="0" xfId="28" applyFont="1" applyFill="1" applyAlignment="1" applyProtection="1">
      <alignment horizontal="center" vertical="center"/>
    </xf>
    <xf numFmtId="0" fontId="94" fillId="8" borderId="0" xfId="56" applyFont="1" applyFill="1" applyBorder="1" applyAlignment="1">
      <alignment horizontal="center" wrapText="1"/>
    </xf>
    <xf numFmtId="0" fontId="63" fillId="6" borderId="0" xfId="56" applyFont="1" applyFill="1" applyAlignment="1">
      <alignment horizontal="center"/>
    </xf>
    <xf numFmtId="0" fontId="93" fillId="6" borderId="0" xfId="56" applyFont="1" applyFill="1" applyBorder="1" applyAlignment="1">
      <alignment horizontal="center"/>
    </xf>
    <xf numFmtId="0" fontId="90" fillId="6" borderId="0" xfId="56" applyFont="1" applyFill="1" applyAlignment="1">
      <alignment horizontal="center"/>
    </xf>
    <xf numFmtId="0" fontId="95" fillId="6" borderId="14" xfId="92" applyFont="1" applyFill="1" applyBorder="1" applyAlignment="1">
      <alignment horizontal="center" vertical="center"/>
    </xf>
    <xf numFmtId="0" fontId="95" fillId="6" borderId="13" xfId="92" applyFont="1" applyFill="1" applyBorder="1" applyAlignment="1">
      <alignment horizontal="center" vertical="center"/>
    </xf>
    <xf numFmtId="0" fontId="95" fillId="6" borderId="18" xfId="92" applyFont="1" applyFill="1" applyBorder="1" applyAlignment="1">
      <alignment horizontal="center" vertical="center"/>
    </xf>
    <xf numFmtId="0" fontId="62" fillId="6" borderId="0" xfId="56" applyFont="1" applyFill="1" applyBorder="1" applyAlignment="1">
      <alignment horizontal="center"/>
    </xf>
    <xf numFmtId="0" fontId="86" fillId="8" borderId="0" xfId="60" applyFont="1" applyFill="1" applyBorder="1" applyAlignment="1" applyProtection="1">
      <alignment horizontal="center"/>
    </xf>
    <xf numFmtId="166" fontId="20" fillId="0" borderId="0" xfId="61" applyNumberFormat="1" applyFont="1" applyBorder="1" applyAlignment="1">
      <alignment horizontal="center"/>
    </xf>
    <xf numFmtId="0" fontId="20" fillId="0" borderId="0" xfId="61" applyFont="1" applyBorder="1" applyAlignment="1">
      <alignment horizontal="center"/>
    </xf>
    <xf numFmtId="0" fontId="68" fillId="9" borderId="16" xfId="61" applyFont="1" applyFill="1" applyBorder="1" applyAlignment="1">
      <alignment horizontal="center" vertical="center" wrapText="1"/>
    </xf>
    <xf numFmtId="0" fontId="68" fillId="9" borderId="6" xfId="61" applyFont="1" applyFill="1" applyBorder="1" applyAlignment="1">
      <alignment horizontal="center" vertical="center" wrapText="1"/>
    </xf>
    <xf numFmtId="0" fontId="68" fillId="9" borderId="24" xfId="61" applyFont="1" applyFill="1" applyBorder="1" applyAlignment="1">
      <alignment horizontal="center" vertical="center" wrapText="1"/>
    </xf>
    <xf numFmtId="0" fontId="68" fillId="9" borderId="10" xfId="61" applyFont="1" applyFill="1" applyBorder="1" applyAlignment="1">
      <alignment horizontal="center" vertical="center" wrapText="1"/>
    </xf>
    <xf numFmtId="0" fontId="68" fillId="9" borderId="0" xfId="61" applyFont="1" applyFill="1" applyBorder="1" applyAlignment="1">
      <alignment horizontal="center" vertical="center" wrapText="1"/>
    </xf>
    <xf numFmtId="0" fontId="68" fillId="9" borderId="12" xfId="61" applyFont="1" applyFill="1" applyBorder="1" applyAlignment="1">
      <alignment horizontal="center" vertical="center" wrapText="1"/>
    </xf>
    <xf numFmtId="0" fontId="68" fillId="9" borderId="11" xfId="61" applyFont="1" applyFill="1" applyBorder="1" applyAlignment="1">
      <alignment horizontal="center" vertical="center" wrapText="1"/>
    </xf>
    <xf numFmtId="0" fontId="68" fillId="9" borderId="5" xfId="61" applyFont="1" applyFill="1" applyBorder="1" applyAlignment="1">
      <alignment horizontal="center" vertical="center" wrapText="1"/>
    </xf>
    <xf numFmtId="0" fontId="68" fillId="9" borderId="15" xfId="61" applyFont="1" applyFill="1" applyBorder="1" applyAlignment="1">
      <alignment horizontal="center" vertical="center" wrapText="1"/>
    </xf>
    <xf numFmtId="0" fontId="33" fillId="0" borderId="0" xfId="61" applyFont="1" applyFill="1" applyBorder="1" applyAlignment="1">
      <alignment horizontal="center"/>
    </xf>
    <xf numFmtId="0" fontId="43" fillId="16" borderId="16" xfId="61" applyFont="1" applyFill="1" applyBorder="1" applyAlignment="1">
      <alignment horizontal="center" vertical="center"/>
    </xf>
    <xf numFmtId="0" fontId="43" fillId="16" borderId="6" xfId="61" applyFont="1" applyFill="1" applyBorder="1" applyAlignment="1">
      <alignment horizontal="center" vertical="center"/>
    </xf>
    <xf numFmtId="0" fontId="43" fillId="16" borderId="24" xfId="61" applyFont="1" applyFill="1" applyBorder="1" applyAlignment="1">
      <alignment horizontal="center" vertical="center"/>
    </xf>
    <xf numFmtId="0" fontId="43" fillId="16" borderId="10" xfId="61" applyFont="1" applyFill="1" applyBorder="1" applyAlignment="1">
      <alignment horizontal="center" vertical="center"/>
    </xf>
    <xf numFmtId="0" fontId="43" fillId="16" borderId="0" xfId="61" applyFont="1" applyFill="1" applyBorder="1" applyAlignment="1">
      <alignment horizontal="center" vertical="center"/>
    </xf>
    <xf numFmtId="0" fontId="43" fillId="16" borderId="12" xfId="61" applyFont="1" applyFill="1" applyBorder="1" applyAlignment="1">
      <alignment horizontal="center" vertical="center"/>
    </xf>
    <xf numFmtId="0" fontId="43" fillId="16" borderId="11" xfId="61" applyFont="1" applyFill="1" applyBorder="1" applyAlignment="1">
      <alignment horizontal="center" vertical="center"/>
    </xf>
    <xf numFmtId="0" fontId="43" fillId="16" borderId="5" xfId="61" applyFont="1" applyFill="1" applyBorder="1" applyAlignment="1">
      <alignment horizontal="center" vertical="center"/>
    </xf>
    <xf numFmtId="0" fontId="43" fillId="16" borderId="15" xfId="61" applyFont="1" applyFill="1" applyBorder="1" applyAlignment="1">
      <alignment horizontal="center" vertical="center"/>
    </xf>
    <xf numFmtId="0" fontId="68" fillId="17" borderId="16" xfId="61" applyFont="1" applyFill="1" applyBorder="1" applyAlignment="1">
      <alignment horizontal="center" vertical="center"/>
    </xf>
    <xf numFmtId="0" fontId="68" fillId="17" borderId="6" xfId="61" applyFont="1" applyFill="1" applyBorder="1" applyAlignment="1">
      <alignment horizontal="center" vertical="center"/>
    </xf>
    <xf numFmtId="0" fontId="68" fillId="17" borderId="24" xfId="61" applyFont="1" applyFill="1" applyBorder="1" applyAlignment="1">
      <alignment horizontal="center" vertical="center"/>
    </xf>
    <xf numFmtId="0" fontId="68" fillId="17" borderId="10" xfId="61" applyFont="1" applyFill="1" applyBorder="1" applyAlignment="1">
      <alignment horizontal="center" vertical="center"/>
    </xf>
    <xf numFmtId="0" fontId="68" fillId="17" borderId="0" xfId="61" applyFont="1" applyFill="1" applyBorder="1" applyAlignment="1">
      <alignment horizontal="center" vertical="center"/>
    </xf>
    <xf numFmtId="0" fontId="68" fillId="17" borderId="12" xfId="61" applyFont="1" applyFill="1" applyBorder="1" applyAlignment="1">
      <alignment horizontal="center" vertical="center"/>
    </xf>
    <xf numFmtId="0" fontId="68" fillId="17" borderId="11" xfId="61" applyFont="1" applyFill="1" applyBorder="1" applyAlignment="1">
      <alignment horizontal="center" vertical="center"/>
    </xf>
    <xf numFmtId="0" fontId="68" fillId="17" borderId="5" xfId="61" applyFont="1" applyFill="1" applyBorder="1" applyAlignment="1">
      <alignment horizontal="center" vertical="center"/>
    </xf>
    <xf numFmtId="0" fontId="68" fillId="17" borderId="15" xfId="61" applyFont="1" applyFill="1" applyBorder="1" applyAlignment="1">
      <alignment horizontal="center" vertical="center"/>
    </xf>
    <xf numFmtId="166" fontId="74" fillId="0" borderId="0" xfId="61" applyNumberFormat="1" applyFont="1" applyFill="1" applyBorder="1" applyAlignment="1">
      <alignment horizontal="center"/>
    </xf>
    <xf numFmtId="0" fontId="68" fillId="12" borderId="16" xfId="61" applyFont="1" applyFill="1" applyBorder="1" applyAlignment="1">
      <alignment horizontal="center" vertical="center"/>
    </xf>
    <xf numFmtId="0" fontId="68" fillId="12" borderId="6" xfId="61" applyFont="1" applyFill="1" applyBorder="1" applyAlignment="1">
      <alignment horizontal="center" vertical="center"/>
    </xf>
    <xf numFmtId="0" fontId="68" fillId="12" borderId="24" xfId="61" applyFont="1" applyFill="1" applyBorder="1" applyAlignment="1">
      <alignment horizontal="center" vertical="center"/>
    </xf>
    <xf numFmtId="0" fontId="68" fillId="12" borderId="10" xfId="61" applyFont="1" applyFill="1" applyBorder="1" applyAlignment="1">
      <alignment horizontal="center" vertical="center"/>
    </xf>
    <xf numFmtId="0" fontId="68" fillId="12" borderId="0" xfId="61" applyFont="1" applyFill="1" applyBorder="1" applyAlignment="1">
      <alignment horizontal="center" vertical="center"/>
    </xf>
    <xf numFmtId="0" fontId="68" fillId="12" borderId="12" xfId="61" applyFont="1" applyFill="1" applyBorder="1" applyAlignment="1">
      <alignment horizontal="center" vertical="center"/>
    </xf>
    <xf numFmtId="0" fontId="68" fillId="12" borderId="11" xfId="61" applyFont="1" applyFill="1" applyBorder="1" applyAlignment="1">
      <alignment horizontal="center" vertical="center"/>
    </xf>
    <xf numFmtId="0" fontId="68" fillId="12" borderId="5" xfId="61" applyFont="1" applyFill="1" applyBorder="1" applyAlignment="1">
      <alignment horizontal="center" vertical="center"/>
    </xf>
    <xf numFmtId="0" fontId="68" fillId="12" borderId="15" xfId="61" applyFont="1" applyFill="1" applyBorder="1" applyAlignment="1">
      <alignment horizontal="center" vertical="center"/>
    </xf>
    <xf numFmtId="0" fontId="68" fillId="13" borderId="16" xfId="61" applyFont="1" applyFill="1" applyBorder="1" applyAlignment="1">
      <alignment horizontal="center" vertical="center"/>
    </xf>
    <xf numFmtId="0" fontId="68" fillId="13" borderId="6" xfId="61" applyFont="1" applyFill="1" applyBorder="1" applyAlignment="1">
      <alignment horizontal="center" vertical="center"/>
    </xf>
    <xf numFmtId="0" fontId="68" fillId="13" borderId="24" xfId="61" applyFont="1" applyFill="1" applyBorder="1" applyAlignment="1">
      <alignment horizontal="center" vertical="center"/>
    </xf>
    <xf numFmtId="0" fontId="68" fillId="13" borderId="10" xfId="61" applyFont="1" applyFill="1" applyBorder="1" applyAlignment="1">
      <alignment horizontal="center" vertical="center"/>
    </xf>
    <xf numFmtId="0" fontId="68" fillId="13" borderId="0" xfId="61" applyFont="1" applyFill="1" applyBorder="1" applyAlignment="1">
      <alignment horizontal="center" vertical="center"/>
    </xf>
    <xf numFmtId="0" fontId="68" fillId="13" borderId="12" xfId="61" applyFont="1" applyFill="1" applyBorder="1" applyAlignment="1">
      <alignment horizontal="center" vertical="center"/>
    </xf>
    <xf numFmtId="0" fontId="68" fillId="13" borderId="11" xfId="61" applyFont="1" applyFill="1" applyBorder="1" applyAlignment="1">
      <alignment horizontal="center" vertical="center"/>
    </xf>
    <xf numFmtId="0" fontId="68" fillId="13" borderId="5" xfId="61" applyFont="1" applyFill="1" applyBorder="1" applyAlignment="1">
      <alignment horizontal="center" vertical="center"/>
    </xf>
    <xf numFmtId="0" fontId="68" fillId="13" borderId="15" xfId="61" applyFont="1" applyFill="1" applyBorder="1" applyAlignment="1">
      <alignment horizontal="center" vertical="center"/>
    </xf>
    <xf numFmtId="0" fontId="78" fillId="0" borderId="0" xfId="61" applyFont="1" applyBorder="1" applyAlignment="1">
      <alignment horizontal="center"/>
    </xf>
    <xf numFmtId="0" fontId="33" fillId="0" borderId="0" xfId="61" applyFont="1" applyBorder="1" applyAlignment="1">
      <alignment horizontal="center" wrapText="1"/>
    </xf>
    <xf numFmtId="6" fontId="20" fillId="8" borderId="0" xfId="61" applyNumberFormat="1" applyFont="1" applyFill="1" applyBorder="1" applyAlignment="1">
      <alignment horizontal="center"/>
    </xf>
    <xf numFmtId="0" fontId="68" fillId="14" borderId="16" xfId="61" applyFont="1" applyFill="1" applyBorder="1" applyAlignment="1">
      <alignment horizontal="center" vertical="center" wrapText="1"/>
    </xf>
    <xf numFmtId="0" fontId="68" fillId="14" borderId="6" xfId="61" applyFont="1" applyFill="1" applyBorder="1" applyAlignment="1">
      <alignment horizontal="center" vertical="center" wrapText="1"/>
    </xf>
    <xf numFmtId="0" fontId="68" fillId="14" borderId="24" xfId="61" applyFont="1" applyFill="1" applyBorder="1" applyAlignment="1">
      <alignment horizontal="center" vertical="center" wrapText="1"/>
    </xf>
    <xf numFmtId="0" fontId="68" fillId="14" borderId="10" xfId="61" applyFont="1" applyFill="1" applyBorder="1" applyAlignment="1">
      <alignment horizontal="center" vertical="center" wrapText="1"/>
    </xf>
    <xf numFmtId="0" fontId="68" fillId="14" borderId="0" xfId="61" applyFont="1" applyFill="1" applyBorder="1" applyAlignment="1">
      <alignment horizontal="center" vertical="center" wrapText="1"/>
    </xf>
    <xf numFmtId="0" fontId="68" fillId="14" borderId="12" xfId="61" applyFont="1" applyFill="1" applyBorder="1" applyAlignment="1">
      <alignment horizontal="center" vertical="center" wrapText="1"/>
    </xf>
    <xf numFmtId="0" fontId="68" fillId="14" borderId="11" xfId="61" applyFont="1" applyFill="1" applyBorder="1" applyAlignment="1">
      <alignment horizontal="center" vertical="center" wrapText="1"/>
    </xf>
    <xf numFmtId="0" fontId="68" fillId="14" borderId="5" xfId="61" applyFont="1" applyFill="1" applyBorder="1" applyAlignment="1">
      <alignment horizontal="center" vertical="center" wrapText="1"/>
    </xf>
    <xf numFmtId="0" fontId="68" fillId="14" borderId="15" xfId="61" applyFont="1" applyFill="1" applyBorder="1" applyAlignment="1">
      <alignment horizontal="center" vertical="center" wrapText="1"/>
    </xf>
    <xf numFmtId="0" fontId="68" fillId="15" borderId="16" xfId="61" applyFont="1" applyFill="1" applyBorder="1" applyAlignment="1">
      <alignment horizontal="center" vertical="center"/>
    </xf>
    <xf numFmtId="0" fontId="68" fillId="15" borderId="6" xfId="61" applyFont="1" applyFill="1" applyBorder="1" applyAlignment="1">
      <alignment horizontal="center" vertical="center"/>
    </xf>
    <xf numFmtId="0" fontId="68" fillId="15" borderId="24" xfId="61" applyFont="1" applyFill="1" applyBorder="1" applyAlignment="1">
      <alignment horizontal="center" vertical="center"/>
    </xf>
    <xf numFmtId="0" fontId="68" fillId="15" borderId="10" xfId="61" applyFont="1" applyFill="1" applyBorder="1" applyAlignment="1">
      <alignment horizontal="center" vertical="center"/>
    </xf>
    <xf numFmtId="0" fontId="68" fillId="15" borderId="0" xfId="61" applyFont="1" applyFill="1" applyBorder="1" applyAlignment="1">
      <alignment horizontal="center" vertical="center"/>
    </xf>
    <xf numFmtId="0" fontId="68" fillId="15" borderId="12" xfId="61" applyFont="1" applyFill="1" applyBorder="1" applyAlignment="1">
      <alignment horizontal="center" vertical="center"/>
    </xf>
    <xf numFmtId="0" fontId="68" fillId="15" borderId="11" xfId="61" applyFont="1" applyFill="1" applyBorder="1" applyAlignment="1">
      <alignment horizontal="center" vertical="center"/>
    </xf>
    <xf numFmtId="0" fontId="68" fillId="15" borderId="5" xfId="61" applyFont="1" applyFill="1" applyBorder="1" applyAlignment="1">
      <alignment horizontal="center" vertical="center"/>
    </xf>
    <xf numFmtId="0" fontId="68" fillId="15" borderId="15" xfId="61" applyFont="1" applyFill="1" applyBorder="1" applyAlignment="1">
      <alignment horizontal="center" vertical="center"/>
    </xf>
    <xf numFmtId="166" fontId="74" fillId="8" borderId="0" xfId="61" applyNumberFormat="1" applyFont="1" applyFill="1" applyBorder="1" applyAlignment="1">
      <alignment horizontal="center"/>
    </xf>
    <xf numFmtId="0" fontId="43" fillId="8" borderId="0" xfId="60" applyFont="1" applyFill="1" applyBorder="1" applyAlignment="1" applyProtection="1">
      <alignment horizontal="center"/>
    </xf>
    <xf numFmtId="193" fontId="82" fillId="0" borderId="0" xfId="62" applyNumberFormat="1" applyFont="1" applyBorder="1" applyAlignment="1" applyProtection="1">
      <alignment horizontal="center"/>
      <protection locked="0"/>
    </xf>
    <xf numFmtId="0" fontId="74" fillId="11" borderId="14" xfId="61" applyFont="1" applyFill="1" applyBorder="1" applyAlignment="1">
      <alignment horizontal="center" vertical="center"/>
    </xf>
    <xf numFmtId="0" fontId="74" fillId="11" borderId="13" xfId="61" applyFont="1" applyFill="1" applyBorder="1" applyAlignment="1">
      <alignment horizontal="center" vertical="center"/>
    </xf>
    <xf numFmtId="0" fontId="74" fillId="11" borderId="18" xfId="61" applyFont="1" applyFill="1" applyBorder="1" applyAlignment="1">
      <alignment horizontal="center" vertical="center"/>
    </xf>
    <xf numFmtId="0" fontId="20" fillId="8" borderId="6" xfId="61" applyFont="1" applyFill="1" applyBorder="1" applyAlignment="1">
      <alignment horizontal="center" vertical="center"/>
    </xf>
    <xf numFmtId="0" fontId="20" fillId="8" borderId="0" xfId="61" applyFont="1" applyFill="1" applyBorder="1" applyAlignment="1">
      <alignment horizontal="center" vertical="center"/>
    </xf>
    <xf numFmtId="0" fontId="34" fillId="0" borderId="26" xfId="61" applyFont="1" applyBorder="1" applyAlignment="1">
      <alignment horizontal="center"/>
    </xf>
    <xf numFmtId="207" fontId="33" fillId="8" borderId="0" xfId="61" applyNumberFormat="1" applyFont="1" applyFill="1" applyAlignment="1">
      <alignment horizontal="right"/>
    </xf>
    <xf numFmtId="0" fontId="74" fillId="11" borderId="10" xfId="61" applyFont="1" applyFill="1" applyBorder="1" applyAlignment="1">
      <alignment horizontal="center" vertical="center"/>
    </xf>
    <xf numFmtId="0" fontId="74" fillId="11" borderId="0" xfId="61" applyFont="1" applyFill="1" applyBorder="1" applyAlignment="1">
      <alignment horizontal="center" vertical="center"/>
    </xf>
    <xf numFmtId="166" fontId="20" fillId="0" borderId="14" xfId="61" applyNumberFormat="1" applyFont="1" applyBorder="1" applyAlignment="1">
      <alignment horizontal="center"/>
    </xf>
    <xf numFmtId="166" fontId="20" fillId="0" borderId="18" xfId="61" applyNumberFormat="1" applyFont="1" applyBorder="1" applyAlignment="1">
      <alignment horizontal="center"/>
    </xf>
    <xf numFmtId="0" fontId="33" fillId="0" borderId="0" xfId="61" applyFont="1" applyAlignment="1">
      <alignment horizontal="right"/>
    </xf>
    <xf numFmtId="0" fontId="20" fillId="0" borderId="14" xfId="61" applyFont="1" applyBorder="1" applyAlignment="1">
      <alignment horizontal="center"/>
    </xf>
    <xf numFmtId="0" fontId="20" fillId="0" borderId="18" xfId="61" applyFont="1" applyBorder="1" applyAlignment="1">
      <alignment horizontal="center"/>
    </xf>
    <xf numFmtId="166" fontId="74" fillId="11" borderId="16" xfId="61" applyNumberFormat="1" applyFont="1" applyFill="1" applyBorder="1" applyAlignment="1">
      <alignment horizontal="center"/>
    </xf>
    <xf numFmtId="166" fontId="74" fillId="11" borderId="24" xfId="61" applyNumberFormat="1" applyFont="1" applyFill="1" applyBorder="1" applyAlignment="1">
      <alignment horizontal="center"/>
    </xf>
    <xf numFmtId="208" fontId="33" fillId="8" borderId="0" xfId="61" applyNumberFormat="1" applyFont="1" applyFill="1" applyAlignment="1">
      <alignment horizontal="right"/>
    </xf>
    <xf numFmtId="0" fontId="74" fillId="11" borderId="14" xfId="61" applyFont="1" applyFill="1" applyBorder="1" applyAlignment="1">
      <alignment horizontal="center"/>
    </xf>
    <xf numFmtId="0" fontId="74" fillId="11" borderId="13" xfId="61" applyFont="1" applyFill="1" applyBorder="1" applyAlignment="1">
      <alignment horizontal="center"/>
    </xf>
    <xf numFmtId="0" fontId="74" fillId="11" borderId="18" xfId="61" applyFont="1" applyFill="1" applyBorder="1" applyAlignment="1">
      <alignment horizontal="center"/>
    </xf>
    <xf numFmtId="10" fontId="71" fillId="8" borderId="6" xfId="61" applyNumberFormat="1" applyFont="1" applyFill="1" applyBorder="1" applyAlignment="1">
      <alignment horizontal="center" vertical="center"/>
    </xf>
    <xf numFmtId="10" fontId="71" fillId="8" borderId="0" xfId="61" applyNumberFormat="1" applyFont="1" applyFill="1" applyBorder="1" applyAlignment="1">
      <alignment horizontal="center" vertical="center"/>
    </xf>
    <xf numFmtId="206" fontId="34" fillId="0" borderId="0" xfId="69" applyNumberFormat="1" applyFont="1" applyAlignment="1">
      <alignment horizontal="right"/>
    </xf>
    <xf numFmtId="0" fontId="33" fillId="0" borderId="0" xfId="61" applyFont="1" applyAlignment="1">
      <alignment horizontal="left"/>
    </xf>
    <xf numFmtId="0" fontId="20" fillId="13" borderId="16" xfId="63" applyFont="1" applyFill="1" applyBorder="1" applyAlignment="1">
      <alignment horizontal="center" vertical="center"/>
    </xf>
    <xf numFmtId="0" fontId="20" fillId="13" borderId="6" xfId="63" applyFont="1" applyFill="1" applyBorder="1" applyAlignment="1">
      <alignment horizontal="center" vertical="center"/>
    </xf>
    <xf numFmtId="0" fontId="20" fillId="13" borderId="24" xfId="63" applyFont="1" applyFill="1" applyBorder="1" applyAlignment="1">
      <alignment horizontal="center" vertical="center"/>
    </xf>
    <xf numFmtId="0" fontId="20" fillId="13" borderId="11" xfId="63" applyFont="1" applyFill="1" applyBorder="1" applyAlignment="1">
      <alignment horizontal="center" vertical="center"/>
    </xf>
    <xf numFmtId="0" fontId="20" fillId="13" borderId="5" xfId="63" applyFont="1" applyFill="1" applyBorder="1" applyAlignment="1">
      <alignment horizontal="center" vertical="center"/>
    </xf>
    <xf numFmtId="0" fontId="20" fillId="13" borderId="15" xfId="63" applyFont="1" applyFill="1" applyBorder="1" applyAlignment="1">
      <alignment horizontal="center" vertical="center"/>
    </xf>
    <xf numFmtId="192" fontId="33" fillId="8" borderId="0" xfId="11" applyNumberFormat="1" applyFont="1" applyFill="1" applyBorder="1" applyAlignment="1">
      <alignment horizontal="right"/>
    </xf>
    <xf numFmtId="192" fontId="33" fillId="8" borderId="12" xfId="11" applyNumberFormat="1" applyFont="1" applyFill="1" applyBorder="1" applyAlignment="1">
      <alignment horizontal="right"/>
    </xf>
    <xf numFmtId="0" fontId="20" fillId="0" borderId="16" xfId="66" applyFont="1" applyBorder="1" applyAlignment="1">
      <alignment horizontal="center"/>
    </xf>
    <xf numFmtId="0" fontId="20" fillId="0" borderId="6" xfId="66" applyFont="1" applyBorder="1" applyAlignment="1">
      <alignment horizontal="center"/>
    </xf>
    <xf numFmtId="0" fontId="20" fillId="0" borderId="24" xfId="66" applyFont="1" applyBorder="1" applyAlignment="1">
      <alignment horizontal="center"/>
    </xf>
    <xf numFmtId="0" fontId="85" fillId="0" borderId="0" xfId="66" applyFont="1" applyAlignment="1">
      <alignment horizontal="center" wrapText="1"/>
    </xf>
    <xf numFmtId="0" fontId="20" fillId="0" borderId="0" xfId="63" applyFont="1" applyBorder="1" applyAlignment="1">
      <alignment horizontal="center" vertical="center" wrapText="1"/>
    </xf>
    <xf numFmtId="0" fontId="34" fillId="8" borderId="16" xfId="63" applyFont="1" applyFill="1" applyBorder="1" applyAlignment="1">
      <alignment horizontal="center" vertical="center"/>
    </xf>
    <xf numFmtId="0" fontId="34" fillId="8" borderId="6" xfId="63" applyFont="1" applyFill="1" applyBorder="1" applyAlignment="1">
      <alignment horizontal="center" vertical="center"/>
    </xf>
    <xf numFmtId="194" fontId="49" fillId="8" borderId="0" xfId="63" applyNumberFormat="1" applyFont="1" applyFill="1" applyBorder="1" applyAlignment="1">
      <alignment horizontal="left"/>
    </xf>
    <xf numFmtId="194" fontId="49" fillId="8" borderId="12" xfId="63" applyNumberFormat="1" applyFont="1" applyFill="1" applyBorder="1" applyAlignment="1">
      <alignment horizontal="left"/>
    </xf>
    <xf numFmtId="0" fontId="61" fillId="8" borderId="0" xfId="0" applyFont="1" applyFill="1" applyAlignment="1">
      <alignment horizontal="center" vertical="center"/>
    </xf>
    <xf numFmtId="0" fontId="24" fillId="0" borderId="16" xfId="65" applyFont="1" applyFill="1" applyBorder="1" applyAlignment="1">
      <alignment horizontal="center"/>
    </xf>
    <xf numFmtId="0" fontId="24" fillId="0" borderId="6" xfId="65" applyFont="1" applyFill="1" applyBorder="1" applyAlignment="1">
      <alignment horizontal="center"/>
    </xf>
    <xf numFmtId="0" fontId="24" fillId="0" borderId="24" xfId="65" applyFont="1" applyFill="1" applyBorder="1" applyAlignment="1">
      <alignment horizontal="center"/>
    </xf>
    <xf numFmtId="0" fontId="23" fillId="0" borderId="11" xfId="65" applyFont="1" applyFill="1" applyBorder="1" applyAlignment="1">
      <alignment horizontal="center"/>
    </xf>
    <xf numFmtId="0" fontId="23" fillId="0" borderId="5" xfId="65" applyFont="1" applyFill="1" applyBorder="1" applyAlignment="1">
      <alignment horizontal="center"/>
    </xf>
    <xf numFmtId="0" fontId="23" fillId="0" borderId="15" xfId="65" applyFont="1" applyFill="1" applyBorder="1" applyAlignment="1">
      <alignment horizontal="center"/>
    </xf>
    <xf numFmtId="0" fontId="66" fillId="7" borderId="10" xfId="43" applyFont="1" applyFill="1" applyBorder="1" applyAlignment="1">
      <alignment horizontal="center"/>
    </xf>
    <xf numFmtId="0" fontId="66" fillId="7" borderId="12" xfId="43" applyFont="1" applyFill="1" applyBorder="1" applyAlignment="1">
      <alignment horizontal="center"/>
    </xf>
    <xf numFmtId="0" fontId="66" fillId="7" borderId="0" xfId="43" applyFont="1" applyFill="1" applyAlignment="1">
      <alignment horizontal="center"/>
    </xf>
  </cellXfs>
  <cellStyles count="93">
    <cellStyle name="_Comma" xfId="1"/>
    <cellStyle name="_Currency" xfId="2"/>
    <cellStyle name="_Multiple" xfId="3"/>
    <cellStyle name="Actual Date" xfId="4"/>
    <cellStyle name="Comma" xfId="5" builtinId="3"/>
    <cellStyle name="Comma 10" xfId="6"/>
    <cellStyle name="Comma 12" xfId="7"/>
    <cellStyle name="Comma 2" xfId="8"/>
    <cellStyle name="Comma 2 2" xfId="9"/>
    <cellStyle name="Comma 3" xfId="10"/>
    <cellStyle name="Comma_3Cash Flow Analysis" xfId="11"/>
    <cellStyle name="Curr?ncy [0]_Sheet1_1" xfId="12"/>
    <cellStyle name="Currency" xfId="13" builtinId="4"/>
    <cellStyle name="Currency 2" xfId="14"/>
    <cellStyle name="Currency 3" xfId="15"/>
    <cellStyle name="Currency 4" xfId="16"/>
    <cellStyle name="Currency 5" xfId="17"/>
    <cellStyle name="Currency_Pentagon City-Row Operating Expenses-Variance" xfId="18"/>
    <cellStyle name="Date" xfId="19"/>
    <cellStyle name="Fixed" xfId="20"/>
    <cellStyle name="FORMULA" xfId="21"/>
    <cellStyle name="Grey" xfId="22"/>
    <cellStyle name="HEADER" xfId="23"/>
    <cellStyle name="Heading1" xfId="24"/>
    <cellStyle name="Heading2" xfId="25"/>
    <cellStyle name="HIDE" xfId="26"/>
    <cellStyle name="HIGHLIGHT" xfId="27"/>
    <cellStyle name="Hyperlink" xfId="28" builtinId="8"/>
    <cellStyle name="Hyperlink 2" xfId="29"/>
    <cellStyle name="Input [yellow]" xfId="30"/>
    <cellStyle name="LINK" xfId="31"/>
    <cellStyle name="MainData" xfId="32"/>
    <cellStyle name="MajorTotal" xfId="33"/>
    <cellStyle name="no dec" xfId="34"/>
    <cellStyle name="Nor@„l_IRRSENS" xfId="35"/>
    <cellStyle name="Normal" xfId="0" builtinId="0"/>
    <cellStyle name="Normal - Style1" xfId="36"/>
    <cellStyle name="Normal 10" xfId="37"/>
    <cellStyle name="Normal 11" xfId="38"/>
    <cellStyle name="Normal 12" xfId="39"/>
    <cellStyle name="Normal 13" xfId="40"/>
    <cellStyle name="Normal 2" xfId="41"/>
    <cellStyle name="Normal 2 2" xfId="42"/>
    <cellStyle name="Normal 2 3" xfId="43"/>
    <cellStyle name="Normal 2_Clark Comparison (2)" xfId="44"/>
    <cellStyle name="Normal 28" xfId="45"/>
    <cellStyle name="Normal 3" xfId="46"/>
    <cellStyle name="Normal 3 2" xfId="47"/>
    <cellStyle name="Normal 4" xfId="48"/>
    <cellStyle name="Normal 4 2" xfId="49"/>
    <cellStyle name="Normal 4 3" xfId="50"/>
    <cellStyle name="Normal 4 4" xfId="51"/>
    <cellStyle name="Normal 4 5" xfId="52"/>
    <cellStyle name="Normal 4 6" xfId="53"/>
    <cellStyle name="Normal 4 7" xfId="54"/>
    <cellStyle name="Normal 5" xfId="55"/>
    <cellStyle name="Normal 6" xfId="56"/>
    <cellStyle name="Normal 6 2" xfId="92"/>
    <cellStyle name="Normal 7" xfId="57"/>
    <cellStyle name="Normal 8" xfId="58"/>
    <cellStyle name="Normal 9" xfId="59"/>
    <cellStyle name="Normal_2Assumptions" xfId="60"/>
    <cellStyle name="Normal_2Assumptions (Input)" xfId="61"/>
    <cellStyle name="Normal_2Assumptions_1" xfId="62"/>
    <cellStyle name="Normal_3Cash Flow Analysis" xfId="63"/>
    <cellStyle name="Normal_Initial Yr C.F. from Operations" xfId="64"/>
    <cellStyle name="Normal_Pentagon City-Row Operating Expenses-Variance" xfId="65"/>
    <cellStyle name="Normal_Quick Model" xfId="66"/>
    <cellStyle name="NormalOPrint_Module_E (2)" xfId="67"/>
    <cellStyle name="OVERWRITE" xfId="68"/>
    <cellStyle name="Percent" xfId="69" builtinId="5"/>
    <cellStyle name="Percent [2]" xfId="70"/>
    <cellStyle name="Percent 2" xfId="71"/>
    <cellStyle name="Percent 2 2" xfId="72"/>
    <cellStyle name="Percent 3" xfId="73"/>
    <cellStyle name="Percent 3 2" xfId="74"/>
    <cellStyle name="Percent 4" xfId="75"/>
    <cellStyle name="Percent 4 2" xfId="76"/>
    <cellStyle name="Percent 4 3" xfId="77"/>
    <cellStyle name="Percent 4 4" xfId="78"/>
    <cellStyle name="Percent 4 5" xfId="79"/>
    <cellStyle name="Percent 4 6" xfId="80"/>
    <cellStyle name="Percent 4 7" xfId="81"/>
    <cellStyle name="Percent 5" xfId="82"/>
    <cellStyle name="SubTotal" xfId="83"/>
    <cellStyle name="TableFooter" xfId="84"/>
    <cellStyle name="TableIndent" xfId="85"/>
    <cellStyle name="TableTitle" xfId="86"/>
    <cellStyle name="Title" xfId="87" builtinId="15" customBuiltin="1"/>
    <cellStyle name="Total" xfId="88" builtinId="25" customBuiltin="1"/>
    <cellStyle name="Unprot" xfId="89"/>
    <cellStyle name="Unprot$" xfId="90"/>
    <cellStyle name="Unprotect" xfId="9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/>
        <condense val="0"/>
        <extend val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/>
        <condense val="0"/>
        <extend val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Monthly Impact Of Unit Renovation Program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64368433186782"/>
          <c:y val="0.1649167604049494"/>
          <c:w val="0.86020275401082469"/>
          <c:h val="0.70307161604799473"/>
        </c:manualLayout>
      </c:layout>
      <c:lineChart>
        <c:grouping val="standard"/>
        <c:varyColors val="0"/>
        <c:ser>
          <c:idx val="0"/>
          <c:order val="0"/>
          <c:tx>
            <c:v>Renovated Unit Rent Premium</c:v>
          </c:tx>
          <c:marker>
            <c:symbol val="none"/>
          </c:marker>
          <c:val>
            <c:numRef>
              <c:f>'Monthly Cash Flow Solution'!$P$43:$EQ$43</c:f>
              <c:numCache>
                <c:formatCode>#,##0_);[Red]\(#,##0\)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500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1082.598</c:v>
                </c:pt>
                <c:pt idx="13">
                  <c:v>1082.598</c:v>
                </c:pt>
                <c:pt idx="14">
                  <c:v>1082.598</c:v>
                </c:pt>
                <c:pt idx="15">
                  <c:v>1623.8969999999999</c:v>
                </c:pt>
                <c:pt idx="16">
                  <c:v>2165.1959999999999</c:v>
                </c:pt>
                <c:pt idx="17">
                  <c:v>2165.1959999999999</c:v>
                </c:pt>
                <c:pt idx="18">
                  <c:v>2706.4949999999999</c:v>
                </c:pt>
                <c:pt idx="19">
                  <c:v>2706.4949999999999</c:v>
                </c:pt>
                <c:pt idx="20">
                  <c:v>2706.4949999999999</c:v>
                </c:pt>
                <c:pt idx="21">
                  <c:v>2706.4949999999999</c:v>
                </c:pt>
                <c:pt idx="22">
                  <c:v>2706.4949999999999</c:v>
                </c:pt>
                <c:pt idx="23">
                  <c:v>2706.4949999999999</c:v>
                </c:pt>
                <c:pt idx="24">
                  <c:v>2833.7002649999999</c:v>
                </c:pt>
                <c:pt idx="25">
                  <c:v>2833.7002649999999</c:v>
                </c:pt>
                <c:pt idx="26">
                  <c:v>2833.7002649999999</c:v>
                </c:pt>
                <c:pt idx="27">
                  <c:v>2833.7002649999999</c:v>
                </c:pt>
                <c:pt idx="28">
                  <c:v>2833.7002649999999</c:v>
                </c:pt>
                <c:pt idx="29">
                  <c:v>2833.7002649999999</c:v>
                </c:pt>
                <c:pt idx="30">
                  <c:v>3287.0923073999998</c:v>
                </c:pt>
                <c:pt idx="31">
                  <c:v>3287.0923073999998</c:v>
                </c:pt>
                <c:pt idx="32">
                  <c:v>3400.4403179999999</c:v>
                </c:pt>
                <c:pt idx="33">
                  <c:v>3400.4403179999999</c:v>
                </c:pt>
                <c:pt idx="34">
                  <c:v>3400.4403179999999</c:v>
                </c:pt>
                <c:pt idx="35">
                  <c:v>3400.4403179999999</c:v>
                </c:pt>
                <c:pt idx="36">
                  <c:v>3512.6548484939995</c:v>
                </c:pt>
                <c:pt idx="37">
                  <c:v>3512.6548484939995</c:v>
                </c:pt>
                <c:pt idx="38">
                  <c:v>3512.6548484939995</c:v>
                </c:pt>
                <c:pt idx="39">
                  <c:v>3512.6548484939995</c:v>
                </c:pt>
                <c:pt idx="40">
                  <c:v>3512.6548484939995</c:v>
                </c:pt>
                <c:pt idx="41">
                  <c:v>3512.6548484939995</c:v>
                </c:pt>
                <c:pt idx="42">
                  <c:v>3512.6548484939995</c:v>
                </c:pt>
                <c:pt idx="43">
                  <c:v>3512.6548484939995</c:v>
                </c:pt>
                <c:pt idx="44">
                  <c:v>3512.6548484939995</c:v>
                </c:pt>
                <c:pt idx="45">
                  <c:v>3512.6548484939995</c:v>
                </c:pt>
                <c:pt idx="46">
                  <c:v>3512.6548484939995</c:v>
                </c:pt>
                <c:pt idx="47">
                  <c:v>3512.6548484939995</c:v>
                </c:pt>
                <c:pt idx="48">
                  <c:v>3607.4965294033368</c:v>
                </c:pt>
                <c:pt idx="49">
                  <c:v>3607.4965294033368</c:v>
                </c:pt>
                <c:pt idx="50">
                  <c:v>3607.4965294033368</c:v>
                </c:pt>
                <c:pt idx="51">
                  <c:v>3607.4965294033368</c:v>
                </c:pt>
                <c:pt idx="52">
                  <c:v>3607.4965294033368</c:v>
                </c:pt>
                <c:pt idx="53">
                  <c:v>3607.4965294033368</c:v>
                </c:pt>
                <c:pt idx="54">
                  <c:v>3607.4965294033368</c:v>
                </c:pt>
                <c:pt idx="55">
                  <c:v>3607.4965294033368</c:v>
                </c:pt>
                <c:pt idx="56">
                  <c:v>3607.4965294033368</c:v>
                </c:pt>
                <c:pt idx="57">
                  <c:v>3607.4965294033368</c:v>
                </c:pt>
                <c:pt idx="58">
                  <c:v>3607.4965294033368</c:v>
                </c:pt>
                <c:pt idx="59">
                  <c:v>3607.4965294033368</c:v>
                </c:pt>
                <c:pt idx="60">
                  <c:v>3715.7214252854369</c:v>
                </c:pt>
                <c:pt idx="61">
                  <c:v>3715.7214252854369</c:v>
                </c:pt>
                <c:pt idx="62">
                  <c:v>3715.7214252854369</c:v>
                </c:pt>
                <c:pt idx="63">
                  <c:v>3715.7214252854369</c:v>
                </c:pt>
                <c:pt idx="64">
                  <c:v>3715.7214252854369</c:v>
                </c:pt>
                <c:pt idx="65">
                  <c:v>3715.7214252854369</c:v>
                </c:pt>
                <c:pt idx="66">
                  <c:v>3715.7214252854369</c:v>
                </c:pt>
                <c:pt idx="67">
                  <c:v>3715.7214252854369</c:v>
                </c:pt>
                <c:pt idx="68">
                  <c:v>3715.7214252854369</c:v>
                </c:pt>
                <c:pt idx="69">
                  <c:v>3715.7214252854369</c:v>
                </c:pt>
                <c:pt idx="70">
                  <c:v>3715.7214252854369</c:v>
                </c:pt>
                <c:pt idx="71">
                  <c:v>3715.7214252854369</c:v>
                </c:pt>
                <c:pt idx="72">
                  <c:v>3827.1930680440005</c:v>
                </c:pt>
                <c:pt idx="73">
                  <c:v>3827.1930680440005</c:v>
                </c:pt>
                <c:pt idx="74">
                  <c:v>3827.1930680440005</c:v>
                </c:pt>
                <c:pt idx="75">
                  <c:v>3827.1930680440005</c:v>
                </c:pt>
                <c:pt idx="76">
                  <c:v>3827.1930680440005</c:v>
                </c:pt>
                <c:pt idx="77">
                  <c:v>3827.1930680440005</c:v>
                </c:pt>
                <c:pt idx="78">
                  <c:v>3827.1930680440005</c:v>
                </c:pt>
                <c:pt idx="79">
                  <c:v>3827.1930680440005</c:v>
                </c:pt>
                <c:pt idx="80">
                  <c:v>3827.1930680440005</c:v>
                </c:pt>
                <c:pt idx="81">
                  <c:v>3827.1930680440005</c:v>
                </c:pt>
                <c:pt idx="82">
                  <c:v>3827.1930680440005</c:v>
                </c:pt>
                <c:pt idx="83">
                  <c:v>3827.1930680440005</c:v>
                </c:pt>
                <c:pt idx="84">
                  <c:v>3942.0088600853201</c:v>
                </c:pt>
                <c:pt idx="85">
                  <c:v>3942.0088600853201</c:v>
                </c:pt>
                <c:pt idx="86">
                  <c:v>3942.0088600853201</c:v>
                </c:pt>
                <c:pt idx="87">
                  <c:v>3942.0088600853201</c:v>
                </c:pt>
                <c:pt idx="88">
                  <c:v>3942.0088600853201</c:v>
                </c:pt>
                <c:pt idx="89">
                  <c:v>3942.0088600853201</c:v>
                </c:pt>
                <c:pt idx="90">
                  <c:v>3942.0088600853201</c:v>
                </c:pt>
                <c:pt idx="91">
                  <c:v>3942.0088600853201</c:v>
                </c:pt>
                <c:pt idx="92">
                  <c:v>3942.0088600853201</c:v>
                </c:pt>
                <c:pt idx="93">
                  <c:v>3942.0088600853201</c:v>
                </c:pt>
                <c:pt idx="94">
                  <c:v>3942.0088600853201</c:v>
                </c:pt>
                <c:pt idx="95">
                  <c:v>3942.0088600853201</c:v>
                </c:pt>
                <c:pt idx="96">
                  <c:v>4060.2691258878804</c:v>
                </c:pt>
                <c:pt idx="97">
                  <c:v>4060.2691258878804</c:v>
                </c:pt>
                <c:pt idx="98">
                  <c:v>4060.2691258878804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Utility Post-Renovation Savings</c:v>
          </c:tx>
          <c:marker>
            <c:symbol val="none"/>
          </c:marker>
          <c:val>
            <c:numRef>
              <c:f>'Monthly Cash Flow Solution'!$P$64:$EQ$64</c:f>
              <c:numCache>
                <c:formatCode>#,##0_);[Red]\(#,##0\)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5.6725000000000003</c:v>
                </c:pt>
                <c:pt idx="5">
                  <c:v>28.362500000000001</c:v>
                </c:pt>
                <c:pt idx="6">
                  <c:v>56.725000000000001</c:v>
                </c:pt>
                <c:pt idx="7">
                  <c:v>56.725000000000001</c:v>
                </c:pt>
                <c:pt idx="8">
                  <c:v>56.725000000000001</c:v>
                </c:pt>
                <c:pt idx="9">
                  <c:v>56.725000000000001</c:v>
                </c:pt>
                <c:pt idx="10">
                  <c:v>56.725000000000001</c:v>
                </c:pt>
                <c:pt idx="11">
                  <c:v>56.725000000000001</c:v>
                </c:pt>
                <c:pt idx="12">
                  <c:v>58.426749999999998</c:v>
                </c:pt>
                <c:pt idx="13">
                  <c:v>58.426749999999998</c:v>
                </c:pt>
                <c:pt idx="14">
                  <c:v>58.426749999999998</c:v>
                </c:pt>
                <c:pt idx="15">
                  <c:v>87.640124999999998</c:v>
                </c:pt>
                <c:pt idx="16">
                  <c:v>116.8535</c:v>
                </c:pt>
                <c:pt idx="17">
                  <c:v>116.8535</c:v>
                </c:pt>
                <c:pt idx="18">
                  <c:v>146.06687499999998</c:v>
                </c:pt>
                <c:pt idx="19">
                  <c:v>146.06687499999998</c:v>
                </c:pt>
                <c:pt idx="20">
                  <c:v>146.06687499999998</c:v>
                </c:pt>
                <c:pt idx="21">
                  <c:v>146.06687499999998</c:v>
                </c:pt>
                <c:pt idx="22">
                  <c:v>146.06687499999998</c:v>
                </c:pt>
                <c:pt idx="23">
                  <c:v>146.06687499999998</c:v>
                </c:pt>
                <c:pt idx="24">
                  <c:v>150.44888125</c:v>
                </c:pt>
                <c:pt idx="25">
                  <c:v>150.44888125</c:v>
                </c:pt>
                <c:pt idx="26">
                  <c:v>150.44888125</c:v>
                </c:pt>
                <c:pt idx="27">
                  <c:v>150.44888125</c:v>
                </c:pt>
                <c:pt idx="28">
                  <c:v>150.44888125</c:v>
                </c:pt>
                <c:pt idx="29">
                  <c:v>150.44888125</c:v>
                </c:pt>
                <c:pt idx="30">
                  <c:v>174.52070225</c:v>
                </c:pt>
                <c:pt idx="31">
                  <c:v>174.52070225</c:v>
                </c:pt>
                <c:pt idx="32">
                  <c:v>180.5386575</c:v>
                </c:pt>
                <c:pt idx="33">
                  <c:v>180.5386575</c:v>
                </c:pt>
                <c:pt idx="34">
                  <c:v>180.5386575</c:v>
                </c:pt>
                <c:pt idx="35">
                  <c:v>180.5386575</c:v>
                </c:pt>
                <c:pt idx="36">
                  <c:v>185.95481722500006</c:v>
                </c:pt>
                <c:pt idx="37">
                  <c:v>185.95481722500006</c:v>
                </c:pt>
                <c:pt idx="38">
                  <c:v>185.95481722500006</c:v>
                </c:pt>
                <c:pt idx="39">
                  <c:v>185.95481722500006</c:v>
                </c:pt>
                <c:pt idx="40">
                  <c:v>185.95481722500006</c:v>
                </c:pt>
                <c:pt idx="41">
                  <c:v>185.95481722500006</c:v>
                </c:pt>
                <c:pt idx="42">
                  <c:v>185.95481722500006</c:v>
                </c:pt>
                <c:pt idx="43">
                  <c:v>185.95481722500006</c:v>
                </c:pt>
                <c:pt idx="44">
                  <c:v>185.95481722500006</c:v>
                </c:pt>
                <c:pt idx="45">
                  <c:v>185.95481722500006</c:v>
                </c:pt>
                <c:pt idx="46">
                  <c:v>185.95481722500006</c:v>
                </c:pt>
                <c:pt idx="47">
                  <c:v>185.95481722500006</c:v>
                </c:pt>
                <c:pt idx="48">
                  <c:v>191.53346174174999</c:v>
                </c:pt>
                <c:pt idx="49">
                  <c:v>191.53346174174999</c:v>
                </c:pt>
                <c:pt idx="50">
                  <c:v>191.53346174174999</c:v>
                </c:pt>
                <c:pt idx="51">
                  <c:v>191.53346174174999</c:v>
                </c:pt>
                <c:pt idx="52">
                  <c:v>191.53346174174999</c:v>
                </c:pt>
                <c:pt idx="53">
                  <c:v>191.53346174174999</c:v>
                </c:pt>
                <c:pt idx="54">
                  <c:v>191.53346174174999</c:v>
                </c:pt>
                <c:pt idx="55">
                  <c:v>191.53346174174999</c:v>
                </c:pt>
                <c:pt idx="56">
                  <c:v>191.53346174174999</c:v>
                </c:pt>
                <c:pt idx="57">
                  <c:v>191.53346174174999</c:v>
                </c:pt>
                <c:pt idx="58">
                  <c:v>191.53346174174999</c:v>
                </c:pt>
                <c:pt idx="59">
                  <c:v>191.53346174174999</c:v>
                </c:pt>
                <c:pt idx="60">
                  <c:v>197.27946559400249</c:v>
                </c:pt>
                <c:pt idx="61">
                  <c:v>197.27946559400249</c:v>
                </c:pt>
                <c:pt idx="62">
                  <c:v>197.27946559400249</c:v>
                </c:pt>
                <c:pt idx="63">
                  <c:v>197.27946559400249</c:v>
                </c:pt>
                <c:pt idx="64">
                  <c:v>197.27946559400249</c:v>
                </c:pt>
                <c:pt idx="65">
                  <c:v>197.27946559400249</c:v>
                </c:pt>
                <c:pt idx="66">
                  <c:v>197.27946559400249</c:v>
                </c:pt>
                <c:pt idx="67">
                  <c:v>197.27946559400249</c:v>
                </c:pt>
                <c:pt idx="68">
                  <c:v>197.27946559400249</c:v>
                </c:pt>
                <c:pt idx="69">
                  <c:v>197.27946559400249</c:v>
                </c:pt>
                <c:pt idx="70">
                  <c:v>197.27946559400249</c:v>
                </c:pt>
                <c:pt idx="71">
                  <c:v>197.27946559400249</c:v>
                </c:pt>
                <c:pt idx="72">
                  <c:v>203.19784956182258</c:v>
                </c:pt>
                <c:pt idx="73">
                  <c:v>203.19784956182258</c:v>
                </c:pt>
                <c:pt idx="74">
                  <c:v>203.19784956182258</c:v>
                </c:pt>
                <c:pt idx="75">
                  <c:v>203.19784956182258</c:v>
                </c:pt>
                <c:pt idx="76">
                  <c:v>203.19784956182258</c:v>
                </c:pt>
                <c:pt idx="77">
                  <c:v>203.19784956182258</c:v>
                </c:pt>
                <c:pt idx="78">
                  <c:v>203.19784956182258</c:v>
                </c:pt>
                <c:pt idx="79">
                  <c:v>203.19784956182258</c:v>
                </c:pt>
                <c:pt idx="80">
                  <c:v>203.19784956182258</c:v>
                </c:pt>
                <c:pt idx="81">
                  <c:v>203.19784956182258</c:v>
                </c:pt>
                <c:pt idx="82">
                  <c:v>203.19784956182258</c:v>
                </c:pt>
                <c:pt idx="83">
                  <c:v>203.19784956182258</c:v>
                </c:pt>
                <c:pt idx="84">
                  <c:v>209.29378504867725</c:v>
                </c:pt>
                <c:pt idx="85">
                  <c:v>209.29378504867725</c:v>
                </c:pt>
                <c:pt idx="86">
                  <c:v>209.29378504867725</c:v>
                </c:pt>
                <c:pt idx="87">
                  <c:v>209.29378504867725</c:v>
                </c:pt>
                <c:pt idx="88">
                  <c:v>209.29378504867725</c:v>
                </c:pt>
                <c:pt idx="89">
                  <c:v>209.29378504867725</c:v>
                </c:pt>
                <c:pt idx="90">
                  <c:v>209.29378504867725</c:v>
                </c:pt>
                <c:pt idx="91">
                  <c:v>209.29378504867725</c:v>
                </c:pt>
                <c:pt idx="92">
                  <c:v>209.29378504867725</c:v>
                </c:pt>
                <c:pt idx="93">
                  <c:v>209.29378504867725</c:v>
                </c:pt>
                <c:pt idx="94">
                  <c:v>209.29378504867725</c:v>
                </c:pt>
                <c:pt idx="95">
                  <c:v>209.29378504867725</c:v>
                </c:pt>
                <c:pt idx="96">
                  <c:v>215.57259860013755</c:v>
                </c:pt>
                <c:pt idx="97">
                  <c:v>215.57259860013755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R&amp;M Post-Renovation Savings</c:v>
          </c:tx>
          <c:marker>
            <c:symbol val="none"/>
          </c:marker>
          <c:val>
            <c:numRef>
              <c:f>'Monthly Cash Flow Solution'!$P$71:$EQ$71</c:f>
              <c:numCache>
                <c:formatCode>#,##0_);[Red]\(#,##0\)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13.640277777777778</c:v>
                </c:pt>
                <c:pt idx="5">
                  <c:v>68.201388888888886</c:v>
                </c:pt>
                <c:pt idx="6">
                  <c:v>136.40277777777777</c:v>
                </c:pt>
                <c:pt idx="7">
                  <c:v>136.40277777777777</c:v>
                </c:pt>
                <c:pt idx="8">
                  <c:v>136.40277777777777</c:v>
                </c:pt>
                <c:pt idx="9">
                  <c:v>136.40277777777777</c:v>
                </c:pt>
                <c:pt idx="10">
                  <c:v>136.40277777777777</c:v>
                </c:pt>
                <c:pt idx="11">
                  <c:v>136.40277777777777</c:v>
                </c:pt>
                <c:pt idx="12">
                  <c:v>140.49486111111111</c:v>
                </c:pt>
                <c:pt idx="13">
                  <c:v>140.49486111111111</c:v>
                </c:pt>
                <c:pt idx="14">
                  <c:v>140.49486111111111</c:v>
                </c:pt>
                <c:pt idx="15">
                  <c:v>210.74229166666666</c:v>
                </c:pt>
                <c:pt idx="16">
                  <c:v>280.98972222222221</c:v>
                </c:pt>
                <c:pt idx="17">
                  <c:v>280.98972222222221</c:v>
                </c:pt>
                <c:pt idx="18">
                  <c:v>351.23715277777779</c:v>
                </c:pt>
                <c:pt idx="19">
                  <c:v>351.23715277777779</c:v>
                </c:pt>
                <c:pt idx="20">
                  <c:v>351.23715277777779</c:v>
                </c:pt>
                <c:pt idx="21">
                  <c:v>351.23715277777779</c:v>
                </c:pt>
                <c:pt idx="22">
                  <c:v>351.23715277777779</c:v>
                </c:pt>
                <c:pt idx="23">
                  <c:v>351.23715277777779</c:v>
                </c:pt>
                <c:pt idx="24">
                  <c:v>361.77426736111107</c:v>
                </c:pt>
                <c:pt idx="25">
                  <c:v>361.77426736111107</c:v>
                </c:pt>
                <c:pt idx="26">
                  <c:v>361.77426736111107</c:v>
                </c:pt>
                <c:pt idx="27">
                  <c:v>361.77426736111107</c:v>
                </c:pt>
                <c:pt idx="28">
                  <c:v>361.77426736111107</c:v>
                </c:pt>
                <c:pt idx="29">
                  <c:v>361.77426736111107</c:v>
                </c:pt>
                <c:pt idx="30">
                  <c:v>419.65815013888886</c:v>
                </c:pt>
                <c:pt idx="31">
                  <c:v>419.65815013888886</c:v>
                </c:pt>
                <c:pt idx="32">
                  <c:v>434.12912083333327</c:v>
                </c:pt>
                <c:pt idx="33">
                  <c:v>434.12912083333327</c:v>
                </c:pt>
                <c:pt idx="34">
                  <c:v>434.12912083333327</c:v>
                </c:pt>
                <c:pt idx="35">
                  <c:v>434.12912083333327</c:v>
                </c:pt>
                <c:pt idx="36">
                  <c:v>447.1529944583333</c:v>
                </c:pt>
                <c:pt idx="37">
                  <c:v>447.1529944583333</c:v>
                </c:pt>
                <c:pt idx="38">
                  <c:v>447.1529944583333</c:v>
                </c:pt>
                <c:pt idx="39">
                  <c:v>447.1529944583333</c:v>
                </c:pt>
                <c:pt idx="40">
                  <c:v>447.1529944583333</c:v>
                </c:pt>
                <c:pt idx="41">
                  <c:v>447.1529944583333</c:v>
                </c:pt>
                <c:pt idx="42">
                  <c:v>447.1529944583333</c:v>
                </c:pt>
                <c:pt idx="43">
                  <c:v>447.1529944583333</c:v>
                </c:pt>
                <c:pt idx="44">
                  <c:v>447.1529944583333</c:v>
                </c:pt>
                <c:pt idx="45">
                  <c:v>447.1529944583333</c:v>
                </c:pt>
                <c:pt idx="46">
                  <c:v>447.1529944583333</c:v>
                </c:pt>
                <c:pt idx="47">
                  <c:v>447.1529944583333</c:v>
                </c:pt>
                <c:pt idx="48">
                  <c:v>460.56758429208327</c:v>
                </c:pt>
                <c:pt idx="49">
                  <c:v>460.56758429208327</c:v>
                </c:pt>
                <c:pt idx="50">
                  <c:v>460.56758429208327</c:v>
                </c:pt>
                <c:pt idx="51">
                  <c:v>460.56758429208327</c:v>
                </c:pt>
                <c:pt idx="52">
                  <c:v>460.56758429208327</c:v>
                </c:pt>
                <c:pt idx="53">
                  <c:v>460.56758429208327</c:v>
                </c:pt>
                <c:pt idx="54">
                  <c:v>460.56758429208327</c:v>
                </c:pt>
                <c:pt idx="55">
                  <c:v>460.56758429208327</c:v>
                </c:pt>
                <c:pt idx="56">
                  <c:v>460.56758429208327</c:v>
                </c:pt>
                <c:pt idx="57">
                  <c:v>460.56758429208327</c:v>
                </c:pt>
                <c:pt idx="58">
                  <c:v>460.56758429208327</c:v>
                </c:pt>
                <c:pt idx="59">
                  <c:v>460.56758429208327</c:v>
                </c:pt>
                <c:pt idx="60">
                  <c:v>474.38461182084575</c:v>
                </c:pt>
                <c:pt idx="61">
                  <c:v>474.38461182084575</c:v>
                </c:pt>
                <c:pt idx="62">
                  <c:v>474.38461182084575</c:v>
                </c:pt>
                <c:pt idx="63">
                  <c:v>474.38461182084575</c:v>
                </c:pt>
                <c:pt idx="64">
                  <c:v>474.38461182084575</c:v>
                </c:pt>
                <c:pt idx="65">
                  <c:v>474.38461182084575</c:v>
                </c:pt>
                <c:pt idx="66">
                  <c:v>474.38461182084575</c:v>
                </c:pt>
                <c:pt idx="67">
                  <c:v>474.38461182084575</c:v>
                </c:pt>
                <c:pt idx="68">
                  <c:v>474.38461182084575</c:v>
                </c:pt>
                <c:pt idx="69">
                  <c:v>474.38461182084575</c:v>
                </c:pt>
                <c:pt idx="70">
                  <c:v>474.38461182084575</c:v>
                </c:pt>
                <c:pt idx="71">
                  <c:v>474.38461182084575</c:v>
                </c:pt>
                <c:pt idx="72">
                  <c:v>488.61615017547115</c:v>
                </c:pt>
                <c:pt idx="73">
                  <c:v>488.61615017547115</c:v>
                </c:pt>
                <c:pt idx="74">
                  <c:v>488.61615017547115</c:v>
                </c:pt>
                <c:pt idx="75">
                  <c:v>488.61615017547115</c:v>
                </c:pt>
                <c:pt idx="76">
                  <c:v>488.61615017547115</c:v>
                </c:pt>
                <c:pt idx="77">
                  <c:v>488.61615017547115</c:v>
                </c:pt>
                <c:pt idx="78">
                  <c:v>488.61615017547115</c:v>
                </c:pt>
                <c:pt idx="79">
                  <c:v>488.61615017547115</c:v>
                </c:pt>
                <c:pt idx="80">
                  <c:v>488.61615017547115</c:v>
                </c:pt>
                <c:pt idx="81">
                  <c:v>488.61615017547115</c:v>
                </c:pt>
                <c:pt idx="82">
                  <c:v>488.61615017547115</c:v>
                </c:pt>
                <c:pt idx="83">
                  <c:v>488.61615017547115</c:v>
                </c:pt>
                <c:pt idx="84">
                  <c:v>503.27463468073529</c:v>
                </c:pt>
                <c:pt idx="85">
                  <c:v>503.27463468073529</c:v>
                </c:pt>
                <c:pt idx="86">
                  <c:v>503.27463468073529</c:v>
                </c:pt>
                <c:pt idx="87">
                  <c:v>503.27463468073529</c:v>
                </c:pt>
                <c:pt idx="88">
                  <c:v>503.27463468073529</c:v>
                </c:pt>
                <c:pt idx="89">
                  <c:v>503.27463468073529</c:v>
                </c:pt>
                <c:pt idx="90">
                  <c:v>503.27463468073529</c:v>
                </c:pt>
                <c:pt idx="91">
                  <c:v>503.27463468073529</c:v>
                </c:pt>
                <c:pt idx="92">
                  <c:v>503.27463468073529</c:v>
                </c:pt>
                <c:pt idx="93">
                  <c:v>503.27463468073529</c:v>
                </c:pt>
                <c:pt idx="94">
                  <c:v>503.27463468073529</c:v>
                </c:pt>
                <c:pt idx="95">
                  <c:v>503.27463468073529</c:v>
                </c:pt>
                <c:pt idx="96">
                  <c:v>518.37287372115736</c:v>
                </c:pt>
                <c:pt idx="97">
                  <c:v>518.37287372115736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23712"/>
        <c:axId val="83925248"/>
      </c:lineChart>
      <c:catAx>
        <c:axId val="83923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83925248"/>
        <c:crosses val="autoZero"/>
        <c:auto val="1"/>
        <c:lblAlgn val="ctr"/>
        <c:lblOffset val="100"/>
        <c:noMultiLvlLbl val="0"/>
      </c:catAx>
      <c:valAx>
        <c:axId val="83925248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crossAx val="83923712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0.2384547747402152"/>
          <c:y val="0.23176246719160115"/>
          <c:w val="0.54866383833510302"/>
          <c:h val="0.5259251968503937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en-US"/>
              <a:t>Annual Net Operating Income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'Annual Cash Flow'!$E$55:$P$55</c:f>
              <c:numCache>
                <c:formatCode>"$"#,##0_);[Red]\("$"#,##0\)</c:formatCode>
                <c:ptCount val="12"/>
                <c:pt idx="0">
                  <c:v>179714.17333333337</c:v>
                </c:pt>
                <c:pt idx="1">
                  <c:v>198690.62335605122</c:v>
                </c:pt>
                <c:pt idx="2">
                  <c:v>246984.49141334812</c:v>
                </c:pt>
                <c:pt idx="3">
                  <c:v>272830.0547689618</c:v>
                </c:pt>
                <c:pt idx="4">
                  <c:v>279935.38732343039</c:v>
                </c:pt>
                <c:pt idx="5">
                  <c:v>288333.44894313335</c:v>
                </c:pt>
                <c:pt idx="6">
                  <c:v>296983.45241142716</c:v>
                </c:pt>
                <c:pt idx="7">
                  <c:v>305892.95598377002</c:v>
                </c:pt>
                <c:pt idx="8">
                  <c:v>315069.74466328323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51776"/>
        <c:axId val="159478144"/>
      </c:lineChart>
      <c:catAx>
        <c:axId val="1594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59478144"/>
        <c:crosses val="autoZero"/>
        <c:auto val="1"/>
        <c:lblAlgn val="ctr"/>
        <c:lblOffset val="100"/>
        <c:noMultiLvlLbl val="0"/>
      </c:catAx>
      <c:valAx>
        <c:axId val="159478144"/>
        <c:scaling>
          <c:orientation val="minMax"/>
          <c:max val="300000"/>
          <c:min val="100000"/>
        </c:scaling>
        <c:delete val="0"/>
        <c:axPos val="l"/>
        <c:numFmt formatCode="\$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59451776"/>
        <c:crosses val="autoZero"/>
        <c:crossBetween val="between"/>
        <c:majorUnit val="20000"/>
        <c:minorUnit val="2000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372946594423523E-2"/>
          <c:y val="5.6315157046287374E-2"/>
          <c:w val="0.92742305283222159"/>
          <c:h val="0.83591179253253745"/>
        </c:manualLayout>
      </c:layout>
      <c:lineChart>
        <c:grouping val="standard"/>
        <c:varyColors val="0"/>
        <c:ser>
          <c:idx val="1"/>
          <c:order val="0"/>
          <c:tx>
            <c:v>Unrenovated Units in Service</c:v>
          </c:tx>
          <c:marker>
            <c:symbol val="none"/>
          </c:marker>
          <c:cat>
            <c:numRef>
              <c:f>'Monthly Cash Flow Solution'!$P$20:$EQ$20</c:f>
              <c:numCache>
                <c:formatCode>#,##0_);[Red]\(#,##0\)</c:formatCode>
                <c:ptCount val="1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</c:numCache>
            </c:numRef>
          </c:cat>
          <c:val>
            <c:numRef>
              <c:f>'Monthly Cash Flow Solution'!$P$21:$EQ$21</c:f>
              <c:numCache>
                <c:formatCode>#,##0_);[Red]\(#,##0\)</c:formatCode>
                <c:ptCount val="132"/>
                <c:pt idx="0">
                  <c:v>30</c:v>
                </c:pt>
                <c:pt idx="1">
                  <c:v>29</c:v>
                </c:pt>
                <c:pt idx="2">
                  <c:v>25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10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Cumulative Renovated Units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'Monthly Cash Flow Solution'!$P$20:$EQ$20</c:f>
              <c:numCache>
                <c:formatCode>#,##0_);[Red]\(#,##0\)</c:formatCode>
                <c:ptCount val="1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</c:numCache>
            </c:numRef>
          </c:cat>
          <c:val>
            <c:numRef>
              <c:f>'Monthly Cash Flow Solution'!$P$22:$EQ$22</c:f>
              <c:numCache>
                <c:formatCode>#,##0_);[Red]\(#,##0\)</c:formatCode>
                <c:ptCount val="13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30</c:v>
                </c:pt>
                <c:pt idx="121">
                  <c:v>30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2480"/>
        <c:axId val="83974016"/>
      </c:lineChart>
      <c:catAx>
        <c:axId val="83972480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83974016"/>
        <c:crosses val="autoZero"/>
        <c:auto val="1"/>
        <c:lblAlgn val="ctr"/>
        <c:lblOffset val="100"/>
        <c:noMultiLvlLbl val="0"/>
      </c:catAx>
      <c:valAx>
        <c:axId val="83974016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83972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99507770257368"/>
          <c:y val="0.39911775944474776"/>
          <c:w val="0.18729027941716062"/>
          <c:h val="0.22750580998377587"/>
        </c:manualLayout>
      </c:layout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Monthly Net Operating Income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642696902514429E-2"/>
          <c:y val="0.1014010326935096"/>
          <c:w val="0.89378338127799895"/>
          <c:h val="0.7856698245840896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'Monthly Cash Flow Exercise'!$P$75:$EF$75</c:f>
              <c:numCache>
                <c:formatCode>#,##0_);[Red]\(#,##0\)</c:formatCode>
                <c:ptCount val="121"/>
                <c:pt idx="0">
                  <c:v>16279.960833333333</c:v>
                </c:pt>
                <c:pt idx="1">
                  <c:v>16279.960833333336</c:v>
                </c:pt>
                <c:pt idx="2">
                  <c:v>16279.960833333336</c:v>
                </c:pt>
                <c:pt idx="3">
                  <c:v>16279.960833333336</c:v>
                </c:pt>
                <c:pt idx="4">
                  <c:v>16381.633333333335</c:v>
                </c:pt>
                <c:pt idx="5">
                  <c:v>16788.323333333334</c:v>
                </c:pt>
                <c:pt idx="6">
                  <c:v>17296.685833333337</c:v>
                </c:pt>
                <c:pt idx="7">
                  <c:v>17296.685833333337</c:v>
                </c:pt>
                <c:pt idx="8">
                  <c:v>17296.685833333337</c:v>
                </c:pt>
                <c:pt idx="9">
                  <c:v>17296.685833333337</c:v>
                </c:pt>
                <c:pt idx="10">
                  <c:v>17296.685833333337</c:v>
                </c:pt>
                <c:pt idx="11">
                  <c:v>17296.685833333337</c:v>
                </c:pt>
                <c:pt idx="12">
                  <c:v>18274.062714578336</c:v>
                </c:pt>
                <c:pt idx="13">
                  <c:v>18274.062714578336</c:v>
                </c:pt>
                <c:pt idx="14">
                  <c:v>18274.062714578336</c:v>
                </c:pt>
                <c:pt idx="15">
                  <c:v>18822.923129578336</c:v>
                </c:pt>
                <c:pt idx="16">
                  <c:v>19371.783544578335</c:v>
                </c:pt>
                <c:pt idx="17">
                  <c:v>19371.783544578335</c:v>
                </c:pt>
                <c:pt idx="18">
                  <c:v>19920.64395957833</c:v>
                </c:pt>
                <c:pt idx="19">
                  <c:v>19920.64395957833</c:v>
                </c:pt>
                <c:pt idx="20">
                  <c:v>19920.64395957833</c:v>
                </c:pt>
                <c:pt idx="21">
                  <c:v>19920.64395957833</c:v>
                </c:pt>
                <c:pt idx="22">
                  <c:v>19920.64395957833</c:v>
                </c:pt>
                <c:pt idx="23">
                  <c:v>19920.64395957833</c:v>
                </c:pt>
                <c:pt idx="24">
                  <c:v>20980.786167136852</c:v>
                </c:pt>
                <c:pt idx="25">
                  <c:v>20980.786167136852</c:v>
                </c:pt>
                <c:pt idx="26">
                  <c:v>20980.786167136852</c:v>
                </c:pt>
                <c:pt idx="27">
                  <c:v>20980.786167136852</c:v>
                </c:pt>
                <c:pt idx="28">
                  <c:v>20980.786167136852</c:v>
                </c:pt>
                <c:pt idx="29">
                  <c:v>20980.786167136852</c:v>
                </c:pt>
                <c:pt idx="30">
                  <c:v>21440.114348840849</c:v>
                </c:pt>
                <c:pt idx="31">
                  <c:v>21440.114348840849</c:v>
                </c:pt>
                <c:pt idx="32">
                  <c:v>21554.946394266852</c:v>
                </c:pt>
                <c:pt idx="33">
                  <c:v>21554.946394266852</c:v>
                </c:pt>
                <c:pt idx="34">
                  <c:v>21554.946394266852</c:v>
                </c:pt>
                <c:pt idx="35">
                  <c:v>21554.946394266852</c:v>
                </c:pt>
                <c:pt idx="36">
                  <c:v>22288.684902955149</c:v>
                </c:pt>
                <c:pt idx="37">
                  <c:v>22288.684902955149</c:v>
                </c:pt>
                <c:pt idx="38">
                  <c:v>22288.684902955149</c:v>
                </c:pt>
                <c:pt idx="39">
                  <c:v>22288.684902955149</c:v>
                </c:pt>
                <c:pt idx="40">
                  <c:v>22288.684902955149</c:v>
                </c:pt>
                <c:pt idx="41">
                  <c:v>22288.684902955149</c:v>
                </c:pt>
                <c:pt idx="42">
                  <c:v>22288.684902955149</c:v>
                </c:pt>
                <c:pt idx="43">
                  <c:v>22288.684902955149</c:v>
                </c:pt>
                <c:pt idx="44">
                  <c:v>22288.684902955149</c:v>
                </c:pt>
                <c:pt idx="45">
                  <c:v>22288.684902955149</c:v>
                </c:pt>
                <c:pt idx="46">
                  <c:v>22288.684902955149</c:v>
                </c:pt>
                <c:pt idx="47">
                  <c:v>22288.684902955149</c:v>
                </c:pt>
                <c:pt idx="48">
                  <c:v>22867.381359327108</c:v>
                </c:pt>
                <c:pt idx="49">
                  <c:v>22867.381359327108</c:v>
                </c:pt>
                <c:pt idx="50">
                  <c:v>22867.381359327108</c:v>
                </c:pt>
                <c:pt idx="51">
                  <c:v>22867.381359327108</c:v>
                </c:pt>
                <c:pt idx="52">
                  <c:v>22867.381359327108</c:v>
                </c:pt>
                <c:pt idx="53">
                  <c:v>22867.381359327108</c:v>
                </c:pt>
                <c:pt idx="54">
                  <c:v>22867.381359327108</c:v>
                </c:pt>
                <c:pt idx="55">
                  <c:v>22867.381359327108</c:v>
                </c:pt>
                <c:pt idx="56">
                  <c:v>22867.381359327108</c:v>
                </c:pt>
                <c:pt idx="57">
                  <c:v>22867.381359327108</c:v>
                </c:pt>
                <c:pt idx="58">
                  <c:v>22867.381359327108</c:v>
                </c:pt>
                <c:pt idx="59">
                  <c:v>22867.381359327108</c:v>
                </c:pt>
                <c:pt idx="60">
                  <c:v>23553.402800106924</c:v>
                </c:pt>
                <c:pt idx="61">
                  <c:v>23553.402800106924</c:v>
                </c:pt>
                <c:pt idx="62">
                  <c:v>23553.402800106924</c:v>
                </c:pt>
                <c:pt idx="63">
                  <c:v>23553.402800106924</c:v>
                </c:pt>
                <c:pt idx="64">
                  <c:v>23553.402800106924</c:v>
                </c:pt>
                <c:pt idx="65">
                  <c:v>23553.402800106924</c:v>
                </c:pt>
                <c:pt idx="66">
                  <c:v>23553.402800106924</c:v>
                </c:pt>
                <c:pt idx="67">
                  <c:v>23553.402800106924</c:v>
                </c:pt>
                <c:pt idx="68">
                  <c:v>23553.402800106924</c:v>
                </c:pt>
                <c:pt idx="69">
                  <c:v>23553.402800106924</c:v>
                </c:pt>
                <c:pt idx="70">
                  <c:v>23553.402800106924</c:v>
                </c:pt>
                <c:pt idx="71">
                  <c:v>23553.402800106924</c:v>
                </c:pt>
                <c:pt idx="72">
                  <c:v>24260.004884110138</c:v>
                </c:pt>
                <c:pt idx="73">
                  <c:v>24260.004884110138</c:v>
                </c:pt>
                <c:pt idx="74">
                  <c:v>24260.004884110138</c:v>
                </c:pt>
                <c:pt idx="75">
                  <c:v>24260.004884110138</c:v>
                </c:pt>
                <c:pt idx="76">
                  <c:v>24260.004884110138</c:v>
                </c:pt>
                <c:pt idx="77">
                  <c:v>24260.004884110138</c:v>
                </c:pt>
                <c:pt idx="78">
                  <c:v>24260.004884110138</c:v>
                </c:pt>
                <c:pt idx="79">
                  <c:v>24260.004884110138</c:v>
                </c:pt>
                <c:pt idx="80">
                  <c:v>24260.004884110138</c:v>
                </c:pt>
                <c:pt idx="81">
                  <c:v>24260.004884110138</c:v>
                </c:pt>
                <c:pt idx="82">
                  <c:v>24260.004884110138</c:v>
                </c:pt>
                <c:pt idx="83">
                  <c:v>24260.004884110138</c:v>
                </c:pt>
                <c:pt idx="84">
                  <c:v>24987.805030633441</c:v>
                </c:pt>
                <c:pt idx="85">
                  <c:v>24987.805030633441</c:v>
                </c:pt>
                <c:pt idx="86">
                  <c:v>24987.805030633441</c:v>
                </c:pt>
                <c:pt idx="87">
                  <c:v>24987.805030633441</c:v>
                </c:pt>
                <c:pt idx="88">
                  <c:v>24987.805030633441</c:v>
                </c:pt>
                <c:pt idx="89">
                  <c:v>24987.805030633441</c:v>
                </c:pt>
                <c:pt idx="90">
                  <c:v>24987.805030633441</c:v>
                </c:pt>
                <c:pt idx="91">
                  <c:v>24987.805030633441</c:v>
                </c:pt>
                <c:pt idx="92">
                  <c:v>24987.805030633441</c:v>
                </c:pt>
                <c:pt idx="93">
                  <c:v>24987.805030633441</c:v>
                </c:pt>
                <c:pt idx="94">
                  <c:v>24987.805030633441</c:v>
                </c:pt>
                <c:pt idx="95">
                  <c:v>24987.805030633441</c:v>
                </c:pt>
                <c:pt idx="96">
                  <c:v>25737.43918155244</c:v>
                </c:pt>
                <c:pt idx="97">
                  <c:v>27168.193203514249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81984"/>
        <c:axId val="84287872"/>
      </c:lineChart>
      <c:catAx>
        <c:axId val="842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4287872"/>
        <c:crosses val="autoZero"/>
        <c:auto val="1"/>
        <c:lblAlgn val="ctr"/>
        <c:lblOffset val="100"/>
        <c:noMultiLvlLbl val="0"/>
      </c:catAx>
      <c:valAx>
        <c:axId val="84287872"/>
        <c:scaling>
          <c:orientation val="minMax"/>
          <c:max val="26000"/>
          <c:min val="9000"/>
        </c:scaling>
        <c:delete val="0"/>
        <c:axPos val="l"/>
        <c:numFmt formatCode="\$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4281984"/>
        <c:crosses val="autoZero"/>
        <c:crossBetween val="between"/>
        <c:majorUnit val="200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 pitchFamily="34" charset="0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Units Offline From Renovation And Re-Marketing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'Amortized Renovated Unit Losses'!$H$8:$AQ$8</c:f>
              <c:numCache>
                <c:formatCode>"Month"\ #,##0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'Amortized Renovated Unit Losses'!$H$19:$AQ$19</c:f>
              <c:numCache>
                <c:formatCode>#,##0.00_);[Red]\(#,##0.00\)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9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4353408"/>
        <c:axId val="84354944"/>
      </c:barChart>
      <c:catAx>
        <c:axId val="84353408"/>
        <c:scaling>
          <c:orientation val="minMax"/>
        </c:scaling>
        <c:delete val="0"/>
        <c:axPos val="b"/>
        <c:numFmt formatCode="&quot;Month&quot;\ #,##0" sourceLinked="1"/>
        <c:majorTickMark val="none"/>
        <c:minorTickMark val="none"/>
        <c:tickLblPos val="nextTo"/>
        <c:txPr>
          <a:bodyPr rot="-2700000"/>
          <a:lstStyle/>
          <a:p>
            <a:pPr>
              <a:defRPr sz="1200" b="0"/>
            </a:pPr>
            <a:endParaRPr lang="en-US"/>
          </a:p>
        </c:txPr>
        <c:crossAx val="84354944"/>
        <c:crosses val="autoZero"/>
        <c:auto val="1"/>
        <c:lblAlgn val="ctr"/>
        <c:lblOffset val="100"/>
        <c:tickLblSkip val="1"/>
        <c:noMultiLvlLbl val="0"/>
      </c:catAx>
      <c:valAx>
        <c:axId val="84354944"/>
        <c:scaling>
          <c:orientation val="minMax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/>
            </a:pPr>
            <a:endParaRPr lang="en-US"/>
          </a:p>
        </c:txPr>
        <c:crossAx val="843534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Monthly Net Operating Income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365027057533872E-2"/>
          <c:y val="0.13755020080321284"/>
          <c:w val="0.90004168307622223"/>
          <c:h val="0.756760585649685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'Monthly Cash Flow Solution'!$P$80:$EF$80</c:f>
              <c:numCache>
                <c:formatCode>#,##0_);[Red]\(#,##0\)</c:formatCode>
                <c:ptCount val="121"/>
                <c:pt idx="0">
                  <c:v>16279.960833333333</c:v>
                </c:pt>
                <c:pt idx="1">
                  <c:v>15504.760833333336</c:v>
                </c:pt>
                <c:pt idx="2">
                  <c:v>12403.960833333336</c:v>
                </c:pt>
                <c:pt idx="3">
                  <c:v>8527.9608333333381</c:v>
                </c:pt>
                <c:pt idx="4">
                  <c:v>9418.4736111111142</c:v>
                </c:pt>
                <c:pt idx="5">
                  <c:v>12980.524722222224</c:v>
                </c:pt>
                <c:pt idx="6">
                  <c:v>17433.088611111114</c:v>
                </c:pt>
                <c:pt idx="7">
                  <c:v>17433.088611111114</c:v>
                </c:pt>
                <c:pt idx="8">
                  <c:v>17433.088611111114</c:v>
                </c:pt>
                <c:pt idx="9">
                  <c:v>17433.088611111114</c:v>
                </c:pt>
                <c:pt idx="10">
                  <c:v>17433.088611111114</c:v>
                </c:pt>
                <c:pt idx="11">
                  <c:v>17433.088611111114</c:v>
                </c:pt>
                <c:pt idx="12">
                  <c:v>14356.385575689445</c:v>
                </c:pt>
                <c:pt idx="13">
                  <c:v>10298.213575689446</c:v>
                </c:pt>
                <c:pt idx="14">
                  <c:v>10298.213575689446</c:v>
                </c:pt>
                <c:pt idx="15">
                  <c:v>10917.321421245</c:v>
                </c:pt>
                <c:pt idx="16">
                  <c:v>15594.601266800555</c:v>
                </c:pt>
                <c:pt idx="17">
                  <c:v>15594.601266800555</c:v>
                </c:pt>
                <c:pt idx="18">
                  <c:v>20271.88111235611</c:v>
                </c:pt>
                <c:pt idx="19">
                  <c:v>20271.88111235611</c:v>
                </c:pt>
                <c:pt idx="20">
                  <c:v>20271.88111235611</c:v>
                </c:pt>
                <c:pt idx="21">
                  <c:v>20271.88111235611</c:v>
                </c:pt>
                <c:pt idx="22">
                  <c:v>20271.88111235611</c:v>
                </c:pt>
                <c:pt idx="23">
                  <c:v>20271.88111235611</c:v>
                </c:pt>
                <c:pt idx="24">
                  <c:v>21342.560434497962</c:v>
                </c:pt>
                <c:pt idx="25">
                  <c:v>21342.560434497962</c:v>
                </c:pt>
                <c:pt idx="26">
                  <c:v>21342.560434497962</c:v>
                </c:pt>
                <c:pt idx="27">
                  <c:v>17943.435567297962</c:v>
                </c:pt>
                <c:pt idx="28">
                  <c:v>17943.435567297962</c:v>
                </c:pt>
                <c:pt idx="29">
                  <c:v>17093.654350497964</c:v>
                </c:pt>
                <c:pt idx="30">
                  <c:v>21009.991282179737</c:v>
                </c:pt>
                <c:pt idx="31">
                  <c:v>21009.991282179737</c:v>
                </c:pt>
                <c:pt idx="32">
                  <c:v>21989.075515100187</c:v>
                </c:pt>
                <c:pt idx="33">
                  <c:v>21989.075515100187</c:v>
                </c:pt>
                <c:pt idx="34">
                  <c:v>21989.075515100187</c:v>
                </c:pt>
                <c:pt idx="35">
                  <c:v>21989.075515100187</c:v>
                </c:pt>
                <c:pt idx="36">
                  <c:v>22735.837897413483</c:v>
                </c:pt>
                <c:pt idx="37">
                  <c:v>22735.837897413483</c:v>
                </c:pt>
                <c:pt idx="38">
                  <c:v>22735.837897413483</c:v>
                </c:pt>
                <c:pt idx="39">
                  <c:v>22735.837897413483</c:v>
                </c:pt>
                <c:pt idx="40">
                  <c:v>22735.837897413483</c:v>
                </c:pt>
                <c:pt idx="41">
                  <c:v>22735.837897413483</c:v>
                </c:pt>
                <c:pt idx="42">
                  <c:v>22735.837897413483</c:v>
                </c:pt>
                <c:pt idx="43">
                  <c:v>22735.837897413483</c:v>
                </c:pt>
                <c:pt idx="44">
                  <c:v>22735.837897413483</c:v>
                </c:pt>
                <c:pt idx="45">
                  <c:v>22735.837897413483</c:v>
                </c:pt>
                <c:pt idx="46">
                  <c:v>22735.837897413483</c:v>
                </c:pt>
                <c:pt idx="47">
                  <c:v>22735.837897413483</c:v>
                </c:pt>
                <c:pt idx="48">
                  <c:v>23327.948943619194</c:v>
                </c:pt>
                <c:pt idx="49">
                  <c:v>23327.948943619194</c:v>
                </c:pt>
                <c:pt idx="50">
                  <c:v>23327.948943619194</c:v>
                </c:pt>
                <c:pt idx="51">
                  <c:v>23327.948943619194</c:v>
                </c:pt>
                <c:pt idx="52">
                  <c:v>23327.948943619194</c:v>
                </c:pt>
                <c:pt idx="53">
                  <c:v>23327.948943619194</c:v>
                </c:pt>
                <c:pt idx="54">
                  <c:v>23327.948943619194</c:v>
                </c:pt>
                <c:pt idx="55">
                  <c:v>23327.948943619194</c:v>
                </c:pt>
                <c:pt idx="56">
                  <c:v>23327.948943619194</c:v>
                </c:pt>
                <c:pt idx="57">
                  <c:v>23327.948943619194</c:v>
                </c:pt>
                <c:pt idx="58">
                  <c:v>23327.948943619194</c:v>
                </c:pt>
                <c:pt idx="59">
                  <c:v>23327.948943619194</c:v>
                </c:pt>
                <c:pt idx="60">
                  <c:v>24027.787411927769</c:v>
                </c:pt>
                <c:pt idx="61">
                  <c:v>24027.787411927769</c:v>
                </c:pt>
                <c:pt idx="62">
                  <c:v>24027.787411927769</c:v>
                </c:pt>
                <c:pt idx="63">
                  <c:v>24027.787411927769</c:v>
                </c:pt>
                <c:pt idx="64">
                  <c:v>24027.787411927769</c:v>
                </c:pt>
                <c:pt idx="65">
                  <c:v>24027.787411927769</c:v>
                </c:pt>
                <c:pt idx="66">
                  <c:v>24027.787411927769</c:v>
                </c:pt>
                <c:pt idx="67">
                  <c:v>24027.787411927769</c:v>
                </c:pt>
                <c:pt idx="68">
                  <c:v>24027.787411927769</c:v>
                </c:pt>
                <c:pt idx="69">
                  <c:v>24027.787411927769</c:v>
                </c:pt>
                <c:pt idx="70">
                  <c:v>24027.787411927769</c:v>
                </c:pt>
                <c:pt idx="71">
                  <c:v>24027.787411927769</c:v>
                </c:pt>
                <c:pt idx="72">
                  <c:v>24748.621034285607</c:v>
                </c:pt>
                <c:pt idx="73">
                  <c:v>24748.621034285607</c:v>
                </c:pt>
                <c:pt idx="74">
                  <c:v>24748.621034285607</c:v>
                </c:pt>
                <c:pt idx="75">
                  <c:v>24748.621034285607</c:v>
                </c:pt>
                <c:pt idx="76">
                  <c:v>24748.621034285607</c:v>
                </c:pt>
                <c:pt idx="77">
                  <c:v>24748.621034285607</c:v>
                </c:pt>
                <c:pt idx="78">
                  <c:v>24748.621034285607</c:v>
                </c:pt>
                <c:pt idx="79">
                  <c:v>24748.621034285607</c:v>
                </c:pt>
                <c:pt idx="80">
                  <c:v>24748.621034285607</c:v>
                </c:pt>
                <c:pt idx="81">
                  <c:v>24748.621034285607</c:v>
                </c:pt>
                <c:pt idx="82">
                  <c:v>24748.621034285607</c:v>
                </c:pt>
                <c:pt idx="83">
                  <c:v>24748.621034285607</c:v>
                </c:pt>
                <c:pt idx="84">
                  <c:v>25491.079665314177</c:v>
                </c:pt>
                <c:pt idx="85">
                  <c:v>25491.079665314177</c:v>
                </c:pt>
                <c:pt idx="86">
                  <c:v>25491.079665314177</c:v>
                </c:pt>
                <c:pt idx="87">
                  <c:v>25491.079665314177</c:v>
                </c:pt>
                <c:pt idx="88">
                  <c:v>25491.079665314177</c:v>
                </c:pt>
                <c:pt idx="89">
                  <c:v>25491.079665314177</c:v>
                </c:pt>
                <c:pt idx="90">
                  <c:v>25491.079665314177</c:v>
                </c:pt>
                <c:pt idx="91">
                  <c:v>25491.079665314177</c:v>
                </c:pt>
                <c:pt idx="92">
                  <c:v>25491.079665314177</c:v>
                </c:pt>
                <c:pt idx="93">
                  <c:v>25491.079665314177</c:v>
                </c:pt>
                <c:pt idx="94">
                  <c:v>25491.079665314177</c:v>
                </c:pt>
                <c:pt idx="95">
                  <c:v>25491.079665314177</c:v>
                </c:pt>
                <c:pt idx="96">
                  <c:v>26255.812055273596</c:v>
                </c:pt>
                <c:pt idx="97">
                  <c:v>27686.566077235406</c:v>
                </c:pt>
                <c:pt idx="98">
                  <c:v>4060.2691258878804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29888"/>
        <c:axId val="159076736"/>
      </c:lineChart>
      <c:catAx>
        <c:axId val="15902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9076736"/>
        <c:crosses val="autoZero"/>
        <c:auto val="1"/>
        <c:lblAlgn val="ctr"/>
        <c:lblOffset val="100"/>
        <c:noMultiLvlLbl val="0"/>
      </c:catAx>
      <c:valAx>
        <c:axId val="159076736"/>
        <c:scaling>
          <c:orientation val="minMax"/>
        </c:scaling>
        <c:delete val="0"/>
        <c:axPos val="l"/>
        <c:numFmt formatCode="\$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59029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 pitchFamily="34" charset="0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Monthly Impact Of Unit Renovation Program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64368433186782"/>
          <c:y val="0.25428215574929808"/>
          <c:w val="0.86020275401082469"/>
          <c:h val="0.61370599452548324"/>
        </c:manualLayout>
      </c:layout>
      <c:lineChart>
        <c:grouping val="standard"/>
        <c:varyColors val="0"/>
        <c:ser>
          <c:idx val="0"/>
          <c:order val="0"/>
          <c:tx>
            <c:v>Renovated Unit Rent Premium</c:v>
          </c:tx>
          <c:marker>
            <c:symbol val="none"/>
          </c:marker>
          <c:val>
            <c:numRef>
              <c:f>'Monthly Cash Flow Solution'!$P$43:$EQ$43</c:f>
              <c:numCache>
                <c:formatCode>#,##0_);[Red]\(#,##0\)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500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1082.598</c:v>
                </c:pt>
                <c:pt idx="13">
                  <c:v>1082.598</c:v>
                </c:pt>
                <c:pt idx="14">
                  <c:v>1082.598</c:v>
                </c:pt>
                <c:pt idx="15">
                  <c:v>1623.8969999999999</c:v>
                </c:pt>
                <c:pt idx="16">
                  <c:v>2165.1959999999999</c:v>
                </c:pt>
                <c:pt idx="17">
                  <c:v>2165.1959999999999</c:v>
                </c:pt>
                <c:pt idx="18">
                  <c:v>2706.4949999999999</c:v>
                </c:pt>
                <c:pt idx="19">
                  <c:v>2706.4949999999999</c:v>
                </c:pt>
                <c:pt idx="20">
                  <c:v>2706.4949999999999</c:v>
                </c:pt>
                <c:pt idx="21">
                  <c:v>2706.4949999999999</c:v>
                </c:pt>
                <c:pt idx="22">
                  <c:v>2706.4949999999999</c:v>
                </c:pt>
                <c:pt idx="23">
                  <c:v>2706.4949999999999</c:v>
                </c:pt>
                <c:pt idx="24">
                  <c:v>2833.7002649999999</c:v>
                </c:pt>
                <c:pt idx="25">
                  <c:v>2833.7002649999999</c:v>
                </c:pt>
                <c:pt idx="26">
                  <c:v>2833.7002649999999</c:v>
                </c:pt>
                <c:pt idx="27">
                  <c:v>2833.7002649999999</c:v>
                </c:pt>
                <c:pt idx="28">
                  <c:v>2833.7002649999999</c:v>
                </c:pt>
                <c:pt idx="29">
                  <c:v>2833.7002649999999</c:v>
                </c:pt>
                <c:pt idx="30">
                  <c:v>3287.0923073999998</c:v>
                </c:pt>
                <c:pt idx="31">
                  <c:v>3287.0923073999998</c:v>
                </c:pt>
                <c:pt idx="32">
                  <c:v>3400.4403179999999</c:v>
                </c:pt>
                <c:pt idx="33">
                  <c:v>3400.4403179999999</c:v>
                </c:pt>
                <c:pt idx="34">
                  <c:v>3400.4403179999999</c:v>
                </c:pt>
                <c:pt idx="35">
                  <c:v>3400.4403179999999</c:v>
                </c:pt>
                <c:pt idx="36">
                  <c:v>3512.6548484939995</c:v>
                </c:pt>
                <c:pt idx="37">
                  <c:v>3512.6548484939995</c:v>
                </c:pt>
                <c:pt idx="38">
                  <c:v>3512.6548484939995</c:v>
                </c:pt>
                <c:pt idx="39">
                  <c:v>3512.6548484939995</c:v>
                </c:pt>
                <c:pt idx="40">
                  <c:v>3512.6548484939995</c:v>
                </c:pt>
                <c:pt idx="41">
                  <c:v>3512.6548484939995</c:v>
                </c:pt>
                <c:pt idx="42">
                  <c:v>3512.6548484939995</c:v>
                </c:pt>
                <c:pt idx="43">
                  <c:v>3512.6548484939995</c:v>
                </c:pt>
                <c:pt idx="44">
                  <c:v>3512.6548484939995</c:v>
                </c:pt>
                <c:pt idx="45">
                  <c:v>3512.6548484939995</c:v>
                </c:pt>
                <c:pt idx="46">
                  <c:v>3512.6548484939995</c:v>
                </c:pt>
                <c:pt idx="47">
                  <c:v>3512.6548484939995</c:v>
                </c:pt>
                <c:pt idx="48">
                  <c:v>3607.4965294033368</c:v>
                </c:pt>
                <c:pt idx="49">
                  <c:v>3607.4965294033368</c:v>
                </c:pt>
                <c:pt idx="50">
                  <c:v>3607.4965294033368</c:v>
                </c:pt>
                <c:pt idx="51">
                  <c:v>3607.4965294033368</c:v>
                </c:pt>
                <c:pt idx="52">
                  <c:v>3607.4965294033368</c:v>
                </c:pt>
                <c:pt idx="53">
                  <c:v>3607.4965294033368</c:v>
                </c:pt>
                <c:pt idx="54">
                  <c:v>3607.4965294033368</c:v>
                </c:pt>
                <c:pt idx="55">
                  <c:v>3607.4965294033368</c:v>
                </c:pt>
                <c:pt idx="56">
                  <c:v>3607.4965294033368</c:v>
                </c:pt>
                <c:pt idx="57">
                  <c:v>3607.4965294033368</c:v>
                </c:pt>
                <c:pt idx="58">
                  <c:v>3607.4965294033368</c:v>
                </c:pt>
                <c:pt idx="59">
                  <c:v>3607.4965294033368</c:v>
                </c:pt>
                <c:pt idx="60">
                  <c:v>3715.7214252854369</c:v>
                </c:pt>
                <c:pt idx="61">
                  <c:v>3715.7214252854369</c:v>
                </c:pt>
                <c:pt idx="62">
                  <c:v>3715.7214252854369</c:v>
                </c:pt>
                <c:pt idx="63">
                  <c:v>3715.7214252854369</c:v>
                </c:pt>
                <c:pt idx="64">
                  <c:v>3715.7214252854369</c:v>
                </c:pt>
                <c:pt idx="65">
                  <c:v>3715.7214252854369</c:v>
                </c:pt>
                <c:pt idx="66">
                  <c:v>3715.7214252854369</c:v>
                </c:pt>
                <c:pt idx="67">
                  <c:v>3715.7214252854369</c:v>
                </c:pt>
                <c:pt idx="68">
                  <c:v>3715.7214252854369</c:v>
                </c:pt>
                <c:pt idx="69">
                  <c:v>3715.7214252854369</c:v>
                </c:pt>
                <c:pt idx="70">
                  <c:v>3715.7214252854369</c:v>
                </c:pt>
                <c:pt idx="71">
                  <c:v>3715.7214252854369</c:v>
                </c:pt>
                <c:pt idx="72">
                  <c:v>3827.1930680440005</c:v>
                </c:pt>
                <c:pt idx="73">
                  <c:v>3827.1930680440005</c:v>
                </c:pt>
                <c:pt idx="74">
                  <c:v>3827.1930680440005</c:v>
                </c:pt>
                <c:pt idx="75">
                  <c:v>3827.1930680440005</c:v>
                </c:pt>
                <c:pt idx="76">
                  <c:v>3827.1930680440005</c:v>
                </c:pt>
                <c:pt idx="77">
                  <c:v>3827.1930680440005</c:v>
                </c:pt>
                <c:pt idx="78">
                  <c:v>3827.1930680440005</c:v>
                </c:pt>
                <c:pt idx="79">
                  <c:v>3827.1930680440005</c:v>
                </c:pt>
                <c:pt idx="80">
                  <c:v>3827.1930680440005</c:v>
                </c:pt>
                <c:pt idx="81">
                  <c:v>3827.1930680440005</c:v>
                </c:pt>
                <c:pt idx="82">
                  <c:v>3827.1930680440005</c:v>
                </c:pt>
                <c:pt idx="83">
                  <c:v>3827.1930680440005</c:v>
                </c:pt>
                <c:pt idx="84">
                  <c:v>3942.0088600853201</c:v>
                </c:pt>
                <c:pt idx="85">
                  <c:v>3942.0088600853201</c:v>
                </c:pt>
                <c:pt idx="86">
                  <c:v>3942.0088600853201</c:v>
                </c:pt>
                <c:pt idx="87">
                  <c:v>3942.0088600853201</c:v>
                </c:pt>
                <c:pt idx="88">
                  <c:v>3942.0088600853201</c:v>
                </c:pt>
                <c:pt idx="89">
                  <c:v>3942.0088600853201</c:v>
                </c:pt>
                <c:pt idx="90">
                  <c:v>3942.0088600853201</c:v>
                </c:pt>
                <c:pt idx="91">
                  <c:v>3942.0088600853201</c:v>
                </c:pt>
                <c:pt idx="92">
                  <c:v>3942.0088600853201</c:v>
                </c:pt>
                <c:pt idx="93">
                  <c:v>3942.0088600853201</c:v>
                </c:pt>
                <c:pt idx="94">
                  <c:v>3942.0088600853201</c:v>
                </c:pt>
                <c:pt idx="95">
                  <c:v>3942.0088600853201</c:v>
                </c:pt>
                <c:pt idx="96">
                  <c:v>4060.2691258878804</c:v>
                </c:pt>
                <c:pt idx="97">
                  <c:v>4060.2691258878804</c:v>
                </c:pt>
                <c:pt idx="98">
                  <c:v>4060.2691258878804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Utility Post-Renovation Savings</c:v>
          </c:tx>
          <c:marker>
            <c:symbol val="none"/>
          </c:marker>
          <c:val>
            <c:numRef>
              <c:f>'Monthly Cash Flow Solution'!$P$64:$EQ$64</c:f>
              <c:numCache>
                <c:formatCode>#,##0_);[Red]\(#,##0\)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5.6725000000000003</c:v>
                </c:pt>
                <c:pt idx="5">
                  <c:v>28.362500000000001</c:v>
                </c:pt>
                <c:pt idx="6">
                  <c:v>56.725000000000001</c:v>
                </c:pt>
                <c:pt idx="7">
                  <c:v>56.725000000000001</c:v>
                </c:pt>
                <c:pt idx="8">
                  <c:v>56.725000000000001</c:v>
                </c:pt>
                <c:pt idx="9">
                  <c:v>56.725000000000001</c:v>
                </c:pt>
                <c:pt idx="10">
                  <c:v>56.725000000000001</c:v>
                </c:pt>
                <c:pt idx="11">
                  <c:v>56.725000000000001</c:v>
                </c:pt>
                <c:pt idx="12">
                  <c:v>58.426749999999998</c:v>
                </c:pt>
                <c:pt idx="13">
                  <c:v>58.426749999999998</c:v>
                </c:pt>
                <c:pt idx="14">
                  <c:v>58.426749999999998</c:v>
                </c:pt>
                <c:pt idx="15">
                  <c:v>87.640124999999998</c:v>
                </c:pt>
                <c:pt idx="16">
                  <c:v>116.8535</c:v>
                </c:pt>
                <c:pt idx="17">
                  <c:v>116.8535</c:v>
                </c:pt>
                <c:pt idx="18">
                  <c:v>146.06687499999998</c:v>
                </c:pt>
                <c:pt idx="19">
                  <c:v>146.06687499999998</c:v>
                </c:pt>
                <c:pt idx="20">
                  <c:v>146.06687499999998</c:v>
                </c:pt>
                <c:pt idx="21">
                  <c:v>146.06687499999998</c:v>
                </c:pt>
                <c:pt idx="22">
                  <c:v>146.06687499999998</c:v>
                </c:pt>
                <c:pt idx="23">
                  <c:v>146.06687499999998</c:v>
                </c:pt>
                <c:pt idx="24">
                  <c:v>150.44888125</c:v>
                </c:pt>
                <c:pt idx="25">
                  <c:v>150.44888125</c:v>
                </c:pt>
                <c:pt idx="26">
                  <c:v>150.44888125</c:v>
                </c:pt>
                <c:pt idx="27">
                  <c:v>150.44888125</c:v>
                </c:pt>
                <c:pt idx="28">
                  <c:v>150.44888125</c:v>
                </c:pt>
                <c:pt idx="29">
                  <c:v>150.44888125</c:v>
                </c:pt>
                <c:pt idx="30">
                  <c:v>174.52070225</c:v>
                </c:pt>
                <c:pt idx="31">
                  <c:v>174.52070225</c:v>
                </c:pt>
                <c:pt idx="32">
                  <c:v>180.5386575</c:v>
                </c:pt>
                <c:pt idx="33">
                  <c:v>180.5386575</c:v>
                </c:pt>
                <c:pt idx="34">
                  <c:v>180.5386575</c:v>
                </c:pt>
                <c:pt idx="35">
                  <c:v>180.5386575</c:v>
                </c:pt>
                <c:pt idx="36">
                  <c:v>185.95481722500006</c:v>
                </c:pt>
                <c:pt idx="37">
                  <c:v>185.95481722500006</c:v>
                </c:pt>
                <c:pt idx="38">
                  <c:v>185.95481722500006</c:v>
                </c:pt>
                <c:pt idx="39">
                  <c:v>185.95481722500006</c:v>
                </c:pt>
                <c:pt idx="40">
                  <c:v>185.95481722500006</c:v>
                </c:pt>
                <c:pt idx="41">
                  <c:v>185.95481722500006</c:v>
                </c:pt>
                <c:pt idx="42">
                  <c:v>185.95481722500006</c:v>
                </c:pt>
                <c:pt idx="43">
                  <c:v>185.95481722500006</c:v>
                </c:pt>
                <c:pt idx="44">
                  <c:v>185.95481722500006</c:v>
                </c:pt>
                <c:pt idx="45">
                  <c:v>185.95481722500006</c:v>
                </c:pt>
                <c:pt idx="46">
                  <c:v>185.95481722500006</c:v>
                </c:pt>
                <c:pt idx="47">
                  <c:v>185.95481722500006</c:v>
                </c:pt>
                <c:pt idx="48">
                  <c:v>191.53346174174999</c:v>
                </c:pt>
                <c:pt idx="49">
                  <c:v>191.53346174174999</c:v>
                </c:pt>
                <c:pt idx="50">
                  <c:v>191.53346174174999</c:v>
                </c:pt>
                <c:pt idx="51">
                  <c:v>191.53346174174999</c:v>
                </c:pt>
                <c:pt idx="52">
                  <c:v>191.53346174174999</c:v>
                </c:pt>
                <c:pt idx="53">
                  <c:v>191.53346174174999</c:v>
                </c:pt>
                <c:pt idx="54">
                  <c:v>191.53346174174999</c:v>
                </c:pt>
                <c:pt idx="55">
                  <c:v>191.53346174174999</c:v>
                </c:pt>
                <c:pt idx="56">
                  <c:v>191.53346174174999</c:v>
                </c:pt>
                <c:pt idx="57">
                  <c:v>191.53346174174999</c:v>
                </c:pt>
                <c:pt idx="58">
                  <c:v>191.53346174174999</c:v>
                </c:pt>
                <c:pt idx="59">
                  <c:v>191.53346174174999</c:v>
                </c:pt>
                <c:pt idx="60">
                  <c:v>197.27946559400249</c:v>
                </c:pt>
                <c:pt idx="61">
                  <c:v>197.27946559400249</c:v>
                </c:pt>
                <c:pt idx="62">
                  <c:v>197.27946559400249</c:v>
                </c:pt>
                <c:pt idx="63">
                  <c:v>197.27946559400249</c:v>
                </c:pt>
                <c:pt idx="64">
                  <c:v>197.27946559400249</c:v>
                </c:pt>
                <c:pt idx="65">
                  <c:v>197.27946559400249</c:v>
                </c:pt>
                <c:pt idx="66">
                  <c:v>197.27946559400249</c:v>
                </c:pt>
                <c:pt idx="67">
                  <c:v>197.27946559400249</c:v>
                </c:pt>
                <c:pt idx="68">
                  <c:v>197.27946559400249</c:v>
                </c:pt>
                <c:pt idx="69">
                  <c:v>197.27946559400249</c:v>
                </c:pt>
                <c:pt idx="70">
                  <c:v>197.27946559400249</c:v>
                </c:pt>
                <c:pt idx="71">
                  <c:v>197.27946559400249</c:v>
                </c:pt>
                <c:pt idx="72">
                  <c:v>203.19784956182258</c:v>
                </c:pt>
                <c:pt idx="73">
                  <c:v>203.19784956182258</c:v>
                </c:pt>
                <c:pt idx="74">
                  <c:v>203.19784956182258</c:v>
                </c:pt>
                <c:pt idx="75">
                  <c:v>203.19784956182258</c:v>
                </c:pt>
                <c:pt idx="76">
                  <c:v>203.19784956182258</c:v>
                </c:pt>
                <c:pt idx="77">
                  <c:v>203.19784956182258</c:v>
                </c:pt>
                <c:pt idx="78">
                  <c:v>203.19784956182258</c:v>
                </c:pt>
                <c:pt idx="79">
                  <c:v>203.19784956182258</c:v>
                </c:pt>
                <c:pt idx="80">
                  <c:v>203.19784956182258</c:v>
                </c:pt>
                <c:pt idx="81">
                  <c:v>203.19784956182258</c:v>
                </c:pt>
                <c:pt idx="82">
                  <c:v>203.19784956182258</c:v>
                </c:pt>
                <c:pt idx="83">
                  <c:v>203.19784956182258</c:v>
                </c:pt>
                <c:pt idx="84">
                  <c:v>209.29378504867725</c:v>
                </c:pt>
                <c:pt idx="85">
                  <c:v>209.29378504867725</c:v>
                </c:pt>
                <c:pt idx="86">
                  <c:v>209.29378504867725</c:v>
                </c:pt>
                <c:pt idx="87">
                  <c:v>209.29378504867725</c:v>
                </c:pt>
                <c:pt idx="88">
                  <c:v>209.29378504867725</c:v>
                </c:pt>
                <c:pt idx="89">
                  <c:v>209.29378504867725</c:v>
                </c:pt>
                <c:pt idx="90">
                  <c:v>209.29378504867725</c:v>
                </c:pt>
                <c:pt idx="91">
                  <c:v>209.29378504867725</c:v>
                </c:pt>
                <c:pt idx="92">
                  <c:v>209.29378504867725</c:v>
                </c:pt>
                <c:pt idx="93">
                  <c:v>209.29378504867725</c:v>
                </c:pt>
                <c:pt idx="94">
                  <c:v>209.29378504867725</c:v>
                </c:pt>
                <c:pt idx="95">
                  <c:v>209.29378504867725</c:v>
                </c:pt>
                <c:pt idx="96">
                  <c:v>215.57259860013755</c:v>
                </c:pt>
                <c:pt idx="97">
                  <c:v>215.57259860013755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R&amp;M Post-Renovation Savings</c:v>
          </c:tx>
          <c:marker>
            <c:symbol val="none"/>
          </c:marker>
          <c:val>
            <c:numRef>
              <c:f>'Monthly Cash Flow Solution'!$P$71:$EQ$71</c:f>
              <c:numCache>
                <c:formatCode>#,##0_);[Red]\(#,##0\)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13.640277777777778</c:v>
                </c:pt>
                <c:pt idx="5">
                  <c:v>68.201388888888886</c:v>
                </c:pt>
                <c:pt idx="6">
                  <c:v>136.40277777777777</c:v>
                </c:pt>
                <c:pt idx="7">
                  <c:v>136.40277777777777</c:v>
                </c:pt>
                <c:pt idx="8">
                  <c:v>136.40277777777777</c:v>
                </c:pt>
                <c:pt idx="9">
                  <c:v>136.40277777777777</c:v>
                </c:pt>
                <c:pt idx="10">
                  <c:v>136.40277777777777</c:v>
                </c:pt>
                <c:pt idx="11">
                  <c:v>136.40277777777777</c:v>
                </c:pt>
                <c:pt idx="12">
                  <c:v>140.49486111111111</c:v>
                </c:pt>
                <c:pt idx="13">
                  <c:v>140.49486111111111</c:v>
                </c:pt>
                <c:pt idx="14">
                  <c:v>140.49486111111111</c:v>
                </c:pt>
                <c:pt idx="15">
                  <c:v>210.74229166666666</c:v>
                </c:pt>
                <c:pt idx="16">
                  <c:v>280.98972222222221</c:v>
                </c:pt>
                <c:pt idx="17">
                  <c:v>280.98972222222221</c:v>
                </c:pt>
                <c:pt idx="18">
                  <c:v>351.23715277777779</c:v>
                </c:pt>
                <c:pt idx="19">
                  <c:v>351.23715277777779</c:v>
                </c:pt>
                <c:pt idx="20">
                  <c:v>351.23715277777779</c:v>
                </c:pt>
                <c:pt idx="21">
                  <c:v>351.23715277777779</c:v>
                </c:pt>
                <c:pt idx="22">
                  <c:v>351.23715277777779</c:v>
                </c:pt>
                <c:pt idx="23">
                  <c:v>351.23715277777779</c:v>
                </c:pt>
                <c:pt idx="24">
                  <c:v>361.77426736111107</c:v>
                </c:pt>
                <c:pt idx="25">
                  <c:v>361.77426736111107</c:v>
                </c:pt>
                <c:pt idx="26">
                  <c:v>361.77426736111107</c:v>
                </c:pt>
                <c:pt idx="27">
                  <c:v>361.77426736111107</c:v>
                </c:pt>
                <c:pt idx="28">
                  <c:v>361.77426736111107</c:v>
                </c:pt>
                <c:pt idx="29">
                  <c:v>361.77426736111107</c:v>
                </c:pt>
                <c:pt idx="30">
                  <c:v>419.65815013888886</c:v>
                </c:pt>
                <c:pt idx="31">
                  <c:v>419.65815013888886</c:v>
                </c:pt>
                <c:pt idx="32">
                  <c:v>434.12912083333327</c:v>
                </c:pt>
                <c:pt idx="33">
                  <c:v>434.12912083333327</c:v>
                </c:pt>
                <c:pt idx="34">
                  <c:v>434.12912083333327</c:v>
                </c:pt>
                <c:pt idx="35">
                  <c:v>434.12912083333327</c:v>
                </c:pt>
                <c:pt idx="36">
                  <c:v>447.1529944583333</c:v>
                </c:pt>
                <c:pt idx="37">
                  <c:v>447.1529944583333</c:v>
                </c:pt>
                <c:pt idx="38">
                  <c:v>447.1529944583333</c:v>
                </c:pt>
                <c:pt idx="39">
                  <c:v>447.1529944583333</c:v>
                </c:pt>
                <c:pt idx="40">
                  <c:v>447.1529944583333</c:v>
                </c:pt>
                <c:pt idx="41">
                  <c:v>447.1529944583333</c:v>
                </c:pt>
                <c:pt idx="42">
                  <c:v>447.1529944583333</c:v>
                </c:pt>
                <c:pt idx="43">
                  <c:v>447.1529944583333</c:v>
                </c:pt>
                <c:pt idx="44">
                  <c:v>447.1529944583333</c:v>
                </c:pt>
                <c:pt idx="45">
                  <c:v>447.1529944583333</c:v>
                </c:pt>
                <c:pt idx="46">
                  <c:v>447.1529944583333</c:v>
                </c:pt>
                <c:pt idx="47">
                  <c:v>447.1529944583333</c:v>
                </c:pt>
                <c:pt idx="48">
                  <c:v>460.56758429208327</c:v>
                </c:pt>
                <c:pt idx="49">
                  <c:v>460.56758429208327</c:v>
                </c:pt>
                <c:pt idx="50">
                  <c:v>460.56758429208327</c:v>
                </c:pt>
                <c:pt idx="51">
                  <c:v>460.56758429208327</c:v>
                </c:pt>
                <c:pt idx="52">
                  <c:v>460.56758429208327</c:v>
                </c:pt>
                <c:pt idx="53">
                  <c:v>460.56758429208327</c:v>
                </c:pt>
                <c:pt idx="54">
                  <c:v>460.56758429208327</c:v>
                </c:pt>
                <c:pt idx="55">
                  <c:v>460.56758429208327</c:v>
                </c:pt>
                <c:pt idx="56">
                  <c:v>460.56758429208327</c:v>
                </c:pt>
                <c:pt idx="57">
                  <c:v>460.56758429208327</c:v>
                </c:pt>
                <c:pt idx="58">
                  <c:v>460.56758429208327</c:v>
                </c:pt>
                <c:pt idx="59">
                  <c:v>460.56758429208327</c:v>
                </c:pt>
                <c:pt idx="60">
                  <c:v>474.38461182084575</c:v>
                </c:pt>
                <c:pt idx="61">
                  <c:v>474.38461182084575</c:v>
                </c:pt>
                <c:pt idx="62">
                  <c:v>474.38461182084575</c:v>
                </c:pt>
                <c:pt idx="63">
                  <c:v>474.38461182084575</c:v>
                </c:pt>
                <c:pt idx="64">
                  <c:v>474.38461182084575</c:v>
                </c:pt>
                <c:pt idx="65">
                  <c:v>474.38461182084575</c:v>
                </c:pt>
                <c:pt idx="66">
                  <c:v>474.38461182084575</c:v>
                </c:pt>
                <c:pt idx="67">
                  <c:v>474.38461182084575</c:v>
                </c:pt>
                <c:pt idx="68">
                  <c:v>474.38461182084575</c:v>
                </c:pt>
                <c:pt idx="69">
                  <c:v>474.38461182084575</c:v>
                </c:pt>
                <c:pt idx="70">
                  <c:v>474.38461182084575</c:v>
                </c:pt>
                <c:pt idx="71">
                  <c:v>474.38461182084575</c:v>
                </c:pt>
                <c:pt idx="72">
                  <c:v>488.61615017547115</c:v>
                </c:pt>
                <c:pt idx="73">
                  <c:v>488.61615017547115</c:v>
                </c:pt>
                <c:pt idx="74">
                  <c:v>488.61615017547115</c:v>
                </c:pt>
                <c:pt idx="75">
                  <c:v>488.61615017547115</c:v>
                </c:pt>
                <c:pt idx="76">
                  <c:v>488.61615017547115</c:v>
                </c:pt>
                <c:pt idx="77">
                  <c:v>488.61615017547115</c:v>
                </c:pt>
                <c:pt idx="78">
                  <c:v>488.61615017547115</c:v>
                </c:pt>
                <c:pt idx="79">
                  <c:v>488.61615017547115</c:v>
                </c:pt>
                <c:pt idx="80">
                  <c:v>488.61615017547115</c:v>
                </c:pt>
                <c:pt idx="81">
                  <c:v>488.61615017547115</c:v>
                </c:pt>
                <c:pt idx="82">
                  <c:v>488.61615017547115</c:v>
                </c:pt>
                <c:pt idx="83">
                  <c:v>488.61615017547115</c:v>
                </c:pt>
                <c:pt idx="84">
                  <c:v>503.27463468073529</c:v>
                </c:pt>
                <c:pt idx="85">
                  <c:v>503.27463468073529</c:v>
                </c:pt>
                <c:pt idx="86">
                  <c:v>503.27463468073529</c:v>
                </c:pt>
                <c:pt idx="87">
                  <c:v>503.27463468073529</c:v>
                </c:pt>
                <c:pt idx="88">
                  <c:v>503.27463468073529</c:v>
                </c:pt>
                <c:pt idx="89">
                  <c:v>503.27463468073529</c:v>
                </c:pt>
                <c:pt idx="90">
                  <c:v>503.27463468073529</c:v>
                </c:pt>
                <c:pt idx="91">
                  <c:v>503.27463468073529</c:v>
                </c:pt>
                <c:pt idx="92">
                  <c:v>503.27463468073529</c:v>
                </c:pt>
                <c:pt idx="93">
                  <c:v>503.27463468073529</c:v>
                </c:pt>
                <c:pt idx="94">
                  <c:v>503.27463468073529</c:v>
                </c:pt>
                <c:pt idx="95">
                  <c:v>503.27463468073529</c:v>
                </c:pt>
                <c:pt idx="96">
                  <c:v>518.37287372115736</c:v>
                </c:pt>
                <c:pt idx="97">
                  <c:v>518.37287372115736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11040"/>
        <c:axId val="159112576"/>
      </c:lineChart>
      <c:catAx>
        <c:axId val="159111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9112576"/>
        <c:crosses val="autoZero"/>
        <c:auto val="1"/>
        <c:lblAlgn val="ctr"/>
        <c:lblOffset val="100"/>
        <c:noMultiLvlLbl val="0"/>
      </c:catAx>
      <c:valAx>
        <c:axId val="159112576"/>
        <c:scaling>
          <c:orientation val="minMax"/>
        </c:scaling>
        <c:delete val="0"/>
        <c:axPos val="l"/>
        <c:numFmt formatCode="&quot;$&quot;#,##0" sourceLinked="0"/>
        <c:majorTickMark val="none"/>
        <c:minorTickMark val="none"/>
        <c:tickLblPos val="nextTo"/>
        <c:crossAx val="159111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122294347448985"/>
          <c:y val="0.13820623637224649"/>
          <c:w val="0.68167802111720621"/>
          <c:h val="0.1522042318436737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Units</a:t>
            </a:r>
            <a:r>
              <a:rPr lang="en-US" sz="1200" baseline="0"/>
              <a:t> Taken Offline For Renovation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'Monthly Cash Flow Solution'!$P$10:$V$10</c:f>
              <c:numCache>
                <c:formatCode>0</c:formatCode>
                <c:ptCount val="7"/>
                <c:pt idx="0" formatCode="#,##0_);[Red]\(#,##0\)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'Monthly Cash Flow Solution'!$P$36:$V$36</c:f>
              <c:numCache>
                <c:formatCode>#,##0.00_);[Red]\(#,##0.00\)</c:formatCode>
                <c:ptCount val="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9142272"/>
        <c:axId val="159143808"/>
      </c:barChart>
      <c:catAx>
        <c:axId val="159142272"/>
        <c:scaling>
          <c:orientation val="minMax"/>
        </c:scaling>
        <c:delete val="0"/>
        <c:axPos val="b"/>
        <c:numFmt formatCode="&quot;Month&quot;\ #,##0" sourceLinked="0"/>
        <c:majorTickMark val="none"/>
        <c:minorTickMark val="none"/>
        <c:tickLblPos val="nextTo"/>
        <c:crossAx val="159143808"/>
        <c:crosses val="autoZero"/>
        <c:auto val="1"/>
        <c:lblAlgn val="ctr"/>
        <c:lblOffset val="100"/>
        <c:noMultiLvlLbl val="0"/>
      </c:catAx>
      <c:valAx>
        <c:axId val="159143808"/>
        <c:scaling>
          <c:orientation val="minMax"/>
        </c:scaling>
        <c:delete val="1"/>
        <c:axPos val="l"/>
        <c:numFmt formatCode="#,##0.00_);[Red]\(#,##0.00\)" sourceLinked="1"/>
        <c:majorTickMark val="out"/>
        <c:minorTickMark val="none"/>
        <c:tickLblPos val="none"/>
        <c:crossAx val="15914227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Post-Renovation</a:t>
            </a:r>
            <a:r>
              <a:rPr lang="en-US" sz="1200" baseline="0"/>
              <a:t> Rent Premium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&quot;$&quot;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'Monthly Cash Flow Solution'!$P$43:$V$43</c:f>
              <c:numCache>
                <c:formatCode>#,##0_);[Red]\(#,##0\)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500</c:v>
                </c:pt>
                <c:pt idx="6">
                  <c:v>1000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9162752"/>
        <c:axId val="159165440"/>
      </c:barChart>
      <c:catAx>
        <c:axId val="159162752"/>
        <c:scaling>
          <c:orientation val="minMax"/>
        </c:scaling>
        <c:delete val="0"/>
        <c:axPos val="b"/>
        <c:numFmt formatCode="&quot;Month&quot;\ #,##0" sourceLinked="0"/>
        <c:majorTickMark val="none"/>
        <c:minorTickMark val="none"/>
        <c:tickLblPos val="nextTo"/>
        <c:crossAx val="159165440"/>
        <c:crosses val="autoZero"/>
        <c:auto val="1"/>
        <c:lblAlgn val="ctr"/>
        <c:lblOffset val="100"/>
        <c:noMultiLvlLbl val="0"/>
      </c:catAx>
      <c:valAx>
        <c:axId val="159165440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one"/>
        <c:crossAx val="15916275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Post-Renovation</a:t>
            </a:r>
            <a:r>
              <a:rPr lang="en-US" sz="1200" baseline="0"/>
              <a:t> Savings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Utilities</c:v>
          </c:tx>
          <c:invertIfNegative val="0"/>
          <c:dLbls>
            <c:numFmt formatCode="&quot;$&quot;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'Monthly Cash Flow Solution'!$P$64:$V$64</c:f>
              <c:numCache>
                <c:formatCode>#,##0_);[Red]\(#,##0\)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5.6725000000000003</c:v>
                </c:pt>
                <c:pt idx="5">
                  <c:v>28.362500000000001</c:v>
                </c:pt>
                <c:pt idx="6">
                  <c:v>56.725000000000001</c:v>
                </c:pt>
              </c:numCache>
            </c:numRef>
          </c:val>
        </c:ser>
        <c:ser>
          <c:idx val="1"/>
          <c:order val="1"/>
          <c:tx>
            <c:v>R&amp;M</c:v>
          </c:tx>
          <c:invertIfNegative val="0"/>
          <c:dLbls>
            <c:numFmt formatCode="&quot;$&quot;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'Monthly Cash Flow Solution'!$P$71:$V$71</c:f>
              <c:numCache>
                <c:formatCode>#,##0_);[Red]\(#,##0\)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13.640277777777778</c:v>
                </c:pt>
                <c:pt idx="5">
                  <c:v>68.201388888888886</c:v>
                </c:pt>
                <c:pt idx="6">
                  <c:v>136.40277777777777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9240576"/>
        <c:axId val="159242112"/>
      </c:barChart>
      <c:catAx>
        <c:axId val="159240576"/>
        <c:scaling>
          <c:orientation val="minMax"/>
        </c:scaling>
        <c:delete val="0"/>
        <c:axPos val="b"/>
        <c:numFmt formatCode="&quot;Month&quot;\ #,##0" sourceLinked="0"/>
        <c:majorTickMark val="none"/>
        <c:minorTickMark val="none"/>
        <c:tickLblPos val="nextTo"/>
        <c:crossAx val="159242112"/>
        <c:crosses val="autoZero"/>
        <c:auto val="1"/>
        <c:lblAlgn val="ctr"/>
        <c:lblOffset val="100"/>
        <c:noMultiLvlLbl val="0"/>
      </c:catAx>
      <c:valAx>
        <c:axId val="159242112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one"/>
        <c:crossAx val="159240576"/>
        <c:crosses val="autoZero"/>
        <c:crossBetween val="between"/>
        <c:majorUnit val="1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30079</xdr:colOff>
      <xdr:row>4</xdr:row>
      <xdr:rowOff>30079</xdr:rowOff>
    </xdr:from>
    <xdr:to>
      <xdr:col>4</xdr:col>
      <xdr:colOff>2506</xdr:colOff>
      <xdr:row>7</xdr:row>
      <xdr:rowOff>249656</xdr:rowOff>
    </xdr:to>
    <xdr:pic>
      <xdr:nvPicPr>
        <xdr:cNvPr id="3" name="Picture 1" descr="REFM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197" y="972553"/>
          <a:ext cx="1285875" cy="941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16</xdr:row>
      <xdr:rowOff>114300</xdr:rowOff>
    </xdr:from>
    <xdr:to>
      <xdr:col>3</xdr:col>
      <xdr:colOff>676275</xdr:colOff>
      <xdr:row>17</xdr:row>
      <xdr:rowOff>161925</xdr:rowOff>
    </xdr:to>
    <xdr:sp macro="" textlink="">
      <xdr:nvSpPr>
        <xdr:cNvPr id="2270219" name="Right Arrow 1"/>
        <xdr:cNvSpPr>
          <a:spLocks noChangeArrowheads="1"/>
        </xdr:cNvSpPr>
      </xdr:nvSpPr>
      <xdr:spPr bwMode="auto">
        <a:xfrm rot="-2490212">
          <a:off x="3048000" y="4286250"/>
          <a:ext cx="1171575" cy="285750"/>
        </a:xfrm>
        <a:prstGeom prst="rightArrow">
          <a:avLst>
            <a:gd name="adj1" fmla="val 50000"/>
            <a:gd name="adj2" fmla="val 4868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9525</xdr:colOff>
      <xdr:row>6</xdr:row>
      <xdr:rowOff>180975</xdr:rowOff>
    </xdr:from>
    <xdr:to>
      <xdr:col>22</xdr:col>
      <xdr:colOff>47625</xdr:colOff>
      <xdr:row>18</xdr:row>
      <xdr:rowOff>85725</xdr:rowOff>
    </xdr:to>
    <xdr:pic>
      <xdr:nvPicPr>
        <xdr:cNvPr id="227022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06425" y="1971675"/>
          <a:ext cx="6715125" cy="2762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</xdr:colOff>
      <xdr:row>18</xdr:row>
      <xdr:rowOff>219075</xdr:rowOff>
    </xdr:from>
    <xdr:to>
      <xdr:col>24</xdr:col>
      <xdr:colOff>323850</xdr:colOff>
      <xdr:row>36</xdr:row>
      <xdr:rowOff>133350</xdr:rowOff>
    </xdr:to>
    <xdr:pic>
      <xdr:nvPicPr>
        <xdr:cNvPr id="2270221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06425" y="4867275"/>
          <a:ext cx="8058150" cy="4200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990600</xdr:colOff>
      <xdr:row>22</xdr:row>
      <xdr:rowOff>161925</xdr:rowOff>
    </xdr:from>
    <xdr:to>
      <xdr:col>3</xdr:col>
      <xdr:colOff>762000</xdr:colOff>
      <xdr:row>23</xdr:row>
      <xdr:rowOff>209550</xdr:rowOff>
    </xdr:to>
    <xdr:sp macro="" textlink="">
      <xdr:nvSpPr>
        <xdr:cNvPr id="2270222" name="Right Arrow 1"/>
        <xdr:cNvSpPr>
          <a:spLocks noChangeArrowheads="1"/>
        </xdr:cNvSpPr>
      </xdr:nvSpPr>
      <xdr:spPr bwMode="auto">
        <a:xfrm rot="2120909">
          <a:off x="3133725" y="5762625"/>
          <a:ext cx="1171575" cy="285750"/>
        </a:xfrm>
        <a:prstGeom prst="rightArrow">
          <a:avLst>
            <a:gd name="adj1" fmla="val 50000"/>
            <a:gd name="adj2" fmla="val 4868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981075</xdr:colOff>
      <xdr:row>60</xdr:row>
      <xdr:rowOff>57150</xdr:rowOff>
    </xdr:from>
    <xdr:to>
      <xdr:col>3</xdr:col>
      <xdr:colOff>752475</xdr:colOff>
      <xdr:row>61</xdr:row>
      <xdr:rowOff>104775</xdr:rowOff>
    </xdr:to>
    <xdr:sp macro="" textlink="">
      <xdr:nvSpPr>
        <xdr:cNvPr id="2270223" name="Right Arrow 1"/>
        <xdr:cNvSpPr>
          <a:spLocks noChangeArrowheads="1"/>
        </xdr:cNvSpPr>
      </xdr:nvSpPr>
      <xdr:spPr bwMode="auto">
        <a:xfrm rot="2120909">
          <a:off x="3124200" y="14944725"/>
          <a:ext cx="1171575" cy="285750"/>
        </a:xfrm>
        <a:prstGeom prst="rightArrow">
          <a:avLst>
            <a:gd name="adj1" fmla="val 50000"/>
            <a:gd name="adj2" fmla="val 4868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1028700</xdr:colOff>
      <xdr:row>53</xdr:row>
      <xdr:rowOff>76200</xdr:rowOff>
    </xdr:from>
    <xdr:to>
      <xdr:col>3</xdr:col>
      <xdr:colOff>800100</xdr:colOff>
      <xdr:row>54</xdr:row>
      <xdr:rowOff>123825</xdr:rowOff>
    </xdr:to>
    <xdr:sp macro="" textlink="">
      <xdr:nvSpPr>
        <xdr:cNvPr id="2270224" name="Right Arrow 1"/>
        <xdr:cNvSpPr>
          <a:spLocks noChangeArrowheads="1"/>
        </xdr:cNvSpPr>
      </xdr:nvSpPr>
      <xdr:spPr bwMode="auto">
        <a:xfrm rot="-2490212">
          <a:off x="3171825" y="13296900"/>
          <a:ext cx="1171575" cy="285750"/>
        </a:xfrm>
        <a:prstGeom prst="rightArrow">
          <a:avLst>
            <a:gd name="adj1" fmla="val 50000"/>
            <a:gd name="adj2" fmla="val 4868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1028700</xdr:colOff>
      <xdr:row>88</xdr:row>
      <xdr:rowOff>190500</xdr:rowOff>
    </xdr:from>
    <xdr:to>
      <xdr:col>3</xdr:col>
      <xdr:colOff>800100</xdr:colOff>
      <xdr:row>90</xdr:row>
      <xdr:rowOff>0</xdr:rowOff>
    </xdr:to>
    <xdr:sp macro="" textlink="">
      <xdr:nvSpPr>
        <xdr:cNvPr id="2270225" name="Right Arrow 1"/>
        <xdr:cNvSpPr>
          <a:spLocks noChangeArrowheads="1"/>
        </xdr:cNvSpPr>
      </xdr:nvSpPr>
      <xdr:spPr bwMode="auto">
        <a:xfrm rot="-2490212">
          <a:off x="3171825" y="21983700"/>
          <a:ext cx="1171575" cy="285750"/>
        </a:xfrm>
        <a:prstGeom prst="rightArrow">
          <a:avLst>
            <a:gd name="adj1" fmla="val 50000"/>
            <a:gd name="adj2" fmla="val 4868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990600</xdr:colOff>
      <xdr:row>95</xdr:row>
      <xdr:rowOff>66675</xdr:rowOff>
    </xdr:from>
    <xdr:to>
      <xdr:col>3</xdr:col>
      <xdr:colOff>762000</xdr:colOff>
      <xdr:row>96</xdr:row>
      <xdr:rowOff>114300</xdr:rowOff>
    </xdr:to>
    <xdr:sp macro="" textlink="">
      <xdr:nvSpPr>
        <xdr:cNvPr id="2270226" name="Right Arrow 1"/>
        <xdr:cNvSpPr>
          <a:spLocks noChangeArrowheads="1"/>
        </xdr:cNvSpPr>
      </xdr:nvSpPr>
      <xdr:spPr bwMode="auto">
        <a:xfrm rot="2120909">
          <a:off x="3133725" y="23526750"/>
          <a:ext cx="1171575" cy="285750"/>
        </a:xfrm>
        <a:prstGeom prst="rightArrow">
          <a:avLst>
            <a:gd name="adj1" fmla="val 50000"/>
            <a:gd name="adj2" fmla="val 4868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1076325</xdr:colOff>
      <xdr:row>129</xdr:row>
      <xdr:rowOff>228600</xdr:rowOff>
    </xdr:from>
    <xdr:to>
      <xdr:col>3</xdr:col>
      <xdr:colOff>847725</xdr:colOff>
      <xdr:row>131</xdr:row>
      <xdr:rowOff>38100</xdr:rowOff>
    </xdr:to>
    <xdr:sp macro="" textlink="">
      <xdr:nvSpPr>
        <xdr:cNvPr id="2270227" name="Right Arrow 1"/>
        <xdr:cNvSpPr>
          <a:spLocks noChangeArrowheads="1"/>
        </xdr:cNvSpPr>
      </xdr:nvSpPr>
      <xdr:spPr bwMode="auto">
        <a:xfrm rot="2120909">
          <a:off x="3219450" y="32023050"/>
          <a:ext cx="1171575" cy="285750"/>
        </a:xfrm>
        <a:prstGeom prst="rightArrow">
          <a:avLst>
            <a:gd name="adj1" fmla="val 50000"/>
            <a:gd name="adj2" fmla="val 4868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1038225</xdr:colOff>
      <xdr:row>123</xdr:row>
      <xdr:rowOff>9525</xdr:rowOff>
    </xdr:from>
    <xdr:to>
      <xdr:col>3</xdr:col>
      <xdr:colOff>809625</xdr:colOff>
      <xdr:row>124</xdr:row>
      <xdr:rowOff>57150</xdr:rowOff>
    </xdr:to>
    <xdr:sp macro="" textlink="">
      <xdr:nvSpPr>
        <xdr:cNvPr id="2270228" name="Right Arrow 1"/>
        <xdr:cNvSpPr>
          <a:spLocks noChangeArrowheads="1"/>
        </xdr:cNvSpPr>
      </xdr:nvSpPr>
      <xdr:spPr bwMode="auto">
        <a:xfrm rot="-2490212">
          <a:off x="3181350" y="30375225"/>
          <a:ext cx="1171575" cy="285750"/>
        </a:xfrm>
        <a:prstGeom prst="rightArrow">
          <a:avLst>
            <a:gd name="adj1" fmla="val 50000"/>
            <a:gd name="adj2" fmla="val 48687"/>
          </a:avLst>
        </a:prstGeom>
        <a:solidFill>
          <a:schemeClr val="tx2">
            <a:lumMod val="20000"/>
            <a:lumOff val="8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35</xdr:row>
      <xdr:rowOff>81642</xdr:rowOff>
    </xdr:from>
    <xdr:to>
      <xdr:col>19</xdr:col>
      <xdr:colOff>18143</xdr:colOff>
      <xdr:row>49</xdr:row>
      <xdr:rowOff>81642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85725</xdr:rowOff>
    </xdr:from>
    <xdr:to>
      <xdr:col>18</xdr:col>
      <xdr:colOff>0</xdr:colOff>
      <xdr:row>27</xdr:row>
      <xdr:rowOff>28575</xdr:rowOff>
    </xdr:to>
    <xdr:graphicFrame macro="">
      <xdr:nvGraphicFramePr>
        <xdr:cNvPr id="39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695325</xdr:colOff>
      <xdr:row>111</xdr:row>
      <xdr:rowOff>171450</xdr:rowOff>
    </xdr:from>
    <xdr:to>
      <xdr:col>22</xdr:col>
      <xdr:colOff>57150</xdr:colOff>
      <xdr:row>129</xdr:row>
      <xdr:rowOff>95250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52916</xdr:colOff>
      <xdr:row>22</xdr:row>
      <xdr:rowOff>80962</xdr:rowOff>
    </xdr:from>
    <xdr:to>
      <xdr:col>17</xdr:col>
      <xdr:colOff>158750</xdr:colOff>
      <xdr:row>33</xdr:row>
      <xdr:rowOff>204787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695325</xdr:colOff>
      <xdr:row>116</xdr:row>
      <xdr:rowOff>171450</xdr:rowOff>
    </xdr:from>
    <xdr:to>
      <xdr:col>22</xdr:col>
      <xdr:colOff>57150</xdr:colOff>
      <xdr:row>134</xdr:row>
      <xdr:rowOff>95250</xdr:rowOff>
    </xdr:to>
    <xdr:graphicFrame macro="">
      <xdr:nvGraphicFramePr>
        <xdr:cNvPr id="20286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92226</xdr:colOff>
      <xdr:row>16</xdr:row>
      <xdr:rowOff>85725</xdr:rowOff>
    </xdr:from>
    <xdr:to>
      <xdr:col>5</xdr:col>
      <xdr:colOff>92225</xdr:colOff>
      <xdr:row>34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125487</xdr:colOff>
      <xdr:row>43</xdr:row>
      <xdr:rowOff>86175</xdr:rowOff>
    </xdr:from>
    <xdr:to>
      <xdr:col>5</xdr:col>
      <xdr:colOff>116416</xdr:colOff>
      <xdr:row>58</xdr:row>
      <xdr:rowOff>13604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116417</xdr:colOff>
      <xdr:row>58</xdr:row>
      <xdr:rowOff>86177</xdr:rowOff>
    </xdr:from>
    <xdr:to>
      <xdr:col>5</xdr:col>
      <xdr:colOff>116416</xdr:colOff>
      <xdr:row>70</xdr:row>
      <xdr:rowOff>75594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99785</xdr:colOff>
      <xdr:row>70</xdr:row>
      <xdr:rowOff>163284</xdr:rowOff>
    </xdr:from>
    <xdr:to>
      <xdr:col>5</xdr:col>
      <xdr:colOff>81641</xdr:colOff>
      <xdr:row>84</xdr:row>
      <xdr:rowOff>157236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89</xdr:row>
      <xdr:rowOff>152400</xdr:rowOff>
    </xdr:from>
    <xdr:to>
      <xdr:col>4</xdr:col>
      <xdr:colOff>200025</xdr:colOff>
      <xdr:row>104</xdr:row>
      <xdr:rowOff>95250</xdr:rowOff>
    </xdr:to>
    <xdr:graphicFrame macro="">
      <xdr:nvGraphicFramePr>
        <xdr:cNvPr id="154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etrefm.com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housingnyc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H16"/>
  <sheetViews>
    <sheetView tabSelected="1" zoomScale="190" zoomScaleNormal="190" workbookViewId="0"/>
  </sheetViews>
  <sheetFormatPr defaultColWidth="9.33203125" defaultRowHeight="18.75"/>
  <cols>
    <col min="1" max="1" width="9.33203125" style="512"/>
    <col min="2" max="5" width="11.5" style="512" customWidth="1"/>
    <col min="6" max="16384" width="9.33203125" style="512"/>
  </cols>
  <sheetData>
    <row r="2" spans="1:8" ht="20.25" customHeight="1">
      <c r="A2" s="513"/>
      <c r="B2" s="859" t="s">
        <v>226</v>
      </c>
      <c r="C2" s="859"/>
      <c r="D2" s="859"/>
      <c r="E2" s="859"/>
      <c r="F2" s="839"/>
      <c r="G2" s="839"/>
      <c r="H2" s="514"/>
    </row>
    <row r="3" spans="1:8" ht="4.5" customHeight="1">
      <c r="A3" s="513"/>
      <c r="B3" s="859"/>
      <c r="C3" s="859"/>
      <c r="D3" s="859"/>
      <c r="E3" s="859"/>
      <c r="F3" s="513"/>
      <c r="G3" s="513"/>
      <c r="H3" s="513"/>
    </row>
    <row r="4" spans="1:8" ht="30.75" customHeight="1">
      <c r="A4" s="513"/>
      <c r="B4" s="857" t="s">
        <v>332</v>
      </c>
      <c r="C4" s="857"/>
      <c r="D4" s="857"/>
      <c r="E4" s="857"/>
      <c r="F4" s="838"/>
      <c r="G4" s="838"/>
      <c r="H4" s="515"/>
    </row>
    <row r="5" spans="1:8">
      <c r="A5" s="513"/>
      <c r="B5" s="513"/>
      <c r="C5" s="513"/>
      <c r="D5" s="513"/>
      <c r="E5" s="513"/>
      <c r="F5" s="513"/>
      <c r="G5" s="513"/>
      <c r="H5" s="513"/>
    </row>
    <row r="6" spans="1:8">
      <c r="C6" s="513"/>
      <c r="D6" s="516"/>
      <c r="E6" s="516"/>
      <c r="F6" s="513"/>
    </row>
    <row r="7" spans="1:8">
      <c r="C7" s="513"/>
      <c r="D7" s="516"/>
      <c r="E7" s="516"/>
      <c r="F7" s="513"/>
    </row>
    <row r="8" spans="1:8" ht="21" customHeight="1">
      <c r="C8" s="513"/>
      <c r="D8" s="864"/>
      <c r="E8" s="864"/>
      <c r="F8" s="513"/>
    </row>
    <row r="9" spans="1:8">
      <c r="B9" s="858" t="s">
        <v>333</v>
      </c>
      <c r="C9" s="858"/>
      <c r="D9" s="858"/>
      <c r="E9" s="858"/>
      <c r="F9" s="840"/>
      <c r="G9" s="840"/>
    </row>
    <row r="10" spans="1:8">
      <c r="B10" s="858" t="s">
        <v>330</v>
      </c>
      <c r="C10" s="858"/>
      <c r="D10" s="858"/>
      <c r="E10" s="858"/>
      <c r="F10" s="840"/>
      <c r="G10" s="840"/>
    </row>
    <row r="12" spans="1:8">
      <c r="B12" s="860" t="s">
        <v>328</v>
      </c>
      <c r="C12" s="860"/>
      <c r="D12" s="860"/>
      <c r="E12" s="860"/>
      <c r="F12" s="841"/>
      <c r="G12" s="841"/>
    </row>
    <row r="13" spans="1:8" ht="7.5" customHeight="1"/>
    <row r="14" spans="1:8">
      <c r="B14" s="861" t="s">
        <v>312</v>
      </c>
      <c r="C14" s="862"/>
      <c r="D14" s="862"/>
      <c r="E14" s="863"/>
      <c r="F14" s="842"/>
      <c r="G14" s="842"/>
    </row>
    <row r="16" spans="1:8">
      <c r="B16" s="856" t="s">
        <v>329</v>
      </c>
      <c r="C16" s="856"/>
      <c r="D16" s="856"/>
      <c r="E16" s="856"/>
      <c r="F16" s="837"/>
      <c r="G16" s="837"/>
    </row>
  </sheetData>
  <customSheetViews>
    <customSheetView guid="{AC6D0829-7D33-475A-BFC8-17DE97049707}" scale="130" fitToPage="1">
      <pageMargins left="0.7" right="0.7" top="0.75" bottom="0.75" header="0.3" footer="0.3"/>
      <printOptions horizontalCentered="1" verticalCentered="1"/>
      <pageSetup orientation="landscape" r:id="rId1"/>
    </customSheetView>
  </customSheetViews>
  <mergeCells count="8">
    <mergeCell ref="B16:E16"/>
    <mergeCell ref="B4:E4"/>
    <mergeCell ref="B10:E10"/>
    <mergeCell ref="B2:E3"/>
    <mergeCell ref="B9:E9"/>
    <mergeCell ref="B12:E12"/>
    <mergeCell ref="B14:E14"/>
    <mergeCell ref="D8:E8"/>
  </mergeCells>
  <hyperlinks>
    <hyperlink ref="B16" r:id="rId2"/>
  </hyperlinks>
  <printOptions horizontalCentered="1" verticalCentered="1"/>
  <pageMargins left="0.7" right="0.7" top="0.75" bottom="0.75" header="0.3" footer="0.3"/>
  <pageSetup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U220"/>
  <sheetViews>
    <sheetView showGridLines="0" zoomScaleNormal="100" zoomScaleSheetLayoutView="70" workbookViewId="0"/>
  </sheetViews>
  <sheetFormatPr defaultColWidth="9.33203125" defaultRowHeight="9.6" customHeight="1" outlineLevelRow="1" outlineLevelCol="1"/>
  <cols>
    <col min="1" max="1" width="3.33203125" style="64" customWidth="1"/>
    <col min="2" max="2" width="19.1640625" style="64" customWidth="1"/>
    <col min="3" max="4" width="9.33203125" style="64"/>
    <col min="5" max="5" width="21.33203125" style="64" customWidth="1"/>
    <col min="6" max="6" width="2.83203125" style="64" customWidth="1"/>
    <col min="7" max="7" width="9.33203125" style="64" customWidth="1"/>
    <col min="8" max="8" width="27.83203125" style="64" customWidth="1"/>
    <col min="9" max="9" width="11.1640625" style="64" customWidth="1"/>
    <col min="10" max="10" width="9.1640625" style="64" customWidth="1"/>
    <col min="11" max="11" width="14.5" style="64" hidden="1" customWidth="1" outlineLevel="1"/>
    <col min="12" max="12" width="14.83203125" style="64" hidden="1" customWidth="1" outlineLevel="1"/>
    <col min="13" max="13" width="14.33203125" style="64" hidden="1" customWidth="1" outlineLevel="1"/>
    <col min="14" max="14" width="17.33203125" style="64" customWidth="1" collapsed="1"/>
    <col min="15" max="15" width="16.1640625" style="64" customWidth="1"/>
    <col min="16" max="16" width="15.83203125" style="150" customWidth="1"/>
    <col min="17" max="17" width="14.5" style="64" customWidth="1"/>
    <col min="18" max="18" width="14.6640625" style="64" customWidth="1"/>
    <col min="19" max="19" width="15.5" style="64" customWidth="1"/>
    <col min="20" max="20" width="15" style="64" customWidth="1"/>
    <col min="21" max="22" width="15.33203125" style="64" customWidth="1"/>
    <col min="23" max="23" width="15.1640625" style="64" customWidth="1"/>
    <col min="24" max="24" width="16.1640625" style="64" customWidth="1"/>
    <col min="25" max="139" width="15.1640625" style="64" customWidth="1"/>
    <col min="140" max="140" width="14.5" style="64" bestFit="1" customWidth="1"/>
    <col min="141" max="141" width="16.5" style="64" customWidth="1"/>
    <col min="142" max="146" width="15.1640625" style="64" customWidth="1"/>
    <col min="147" max="147" width="15" style="64" customWidth="1"/>
    <col min="148" max="148" width="15.33203125" style="64" customWidth="1"/>
    <col min="149" max="151" width="15" style="64" customWidth="1"/>
    <col min="152" max="16384" width="9.33203125" style="64"/>
  </cols>
  <sheetData>
    <row r="1" spans="1:151" ht="15.75">
      <c r="A1" s="65"/>
      <c r="B1" s="65"/>
      <c r="C1" s="65"/>
      <c r="D1" s="65"/>
      <c r="E1" s="65"/>
      <c r="F1" s="65"/>
    </row>
    <row r="2" spans="1:151" s="11" customFormat="1" ht="18.75">
      <c r="A2" s="634"/>
      <c r="B2" s="971" t="s">
        <v>258</v>
      </c>
      <c r="C2" s="972"/>
      <c r="D2" s="972"/>
      <c r="E2" s="973"/>
      <c r="F2" s="632"/>
      <c r="G2" s="62"/>
      <c r="H2" s="461" t="str">
        <f>Assumptions!B3</f>
        <v>Miami Beach Multi-family Building: Rue Vendome</v>
      </c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</row>
    <row r="3" spans="1:151" s="11" customFormat="1" ht="18.75">
      <c r="A3" s="634"/>
      <c r="B3" s="614" t="s">
        <v>51</v>
      </c>
      <c r="C3" s="615" t="s">
        <v>256</v>
      </c>
      <c r="D3" s="615" t="s">
        <v>259</v>
      </c>
      <c r="E3" s="616" t="s">
        <v>257</v>
      </c>
      <c r="F3" s="632"/>
      <c r="G3" s="62"/>
      <c r="H3" s="230" t="s">
        <v>133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S3" s="422"/>
    </row>
    <row r="4" spans="1:151" s="67" customFormat="1" ht="12.75" customHeight="1">
      <c r="B4" s="617">
        <f>Assumptions!J13</f>
        <v>1</v>
      </c>
      <c r="C4" s="618">
        <f>Assumptions!N13</f>
        <v>10</v>
      </c>
      <c r="D4" s="618">
        <f>SUM(P36:AA36)</f>
        <v>10</v>
      </c>
      <c r="E4" s="619" t="str">
        <f>IF(SUM(P36:AA36)-C4=0,"OK","Fix Schedule")</f>
        <v>OK</v>
      </c>
      <c r="F4" s="633"/>
      <c r="H4" s="65"/>
      <c r="I4" s="65"/>
      <c r="J4" s="65"/>
      <c r="K4" s="185"/>
      <c r="L4" s="6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974" t="s">
        <v>139</v>
      </c>
    </row>
    <row r="5" spans="1:151" s="63" customFormat="1" ht="12.75" customHeight="1">
      <c r="A5" s="67"/>
      <c r="B5" s="617">
        <f>Assumptions!J14</f>
        <v>2</v>
      </c>
      <c r="C5" s="618">
        <f>Assumptions!N14</f>
        <v>15</v>
      </c>
      <c r="D5" s="618">
        <f>SUM(AB36:AM36)</f>
        <v>15</v>
      </c>
      <c r="E5" s="619" t="str">
        <f>IF(SUM(AB36:AM36)-C5=0,"OK","Fix Schedule")</f>
        <v>OK</v>
      </c>
      <c r="F5" s="633"/>
      <c r="H5" s="64"/>
      <c r="I5" s="64"/>
      <c r="J5" s="65"/>
      <c r="K5" s="66"/>
      <c r="L5" s="67"/>
      <c r="M5" s="67"/>
      <c r="N5" s="66"/>
      <c r="O5" s="66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974"/>
      <c r="ES5" s="975"/>
    </row>
    <row r="6" spans="1:151" s="63" customFormat="1" ht="15.75">
      <c r="A6" s="67"/>
      <c r="B6" s="617">
        <f>Assumptions!J15</f>
        <v>3</v>
      </c>
      <c r="C6" s="618">
        <f>Assumptions!N15</f>
        <v>5</v>
      </c>
      <c r="D6" s="618">
        <f>SUM(AN36:AY36)</f>
        <v>5</v>
      </c>
      <c r="E6" s="619" t="str">
        <f>IF(SUM(AN36:AY36)-C6=0,"OK","Fix Schedule")</f>
        <v>OK</v>
      </c>
      <c r="F6" s="633"/>
      <c r="G6" s="243" t="s">
        <v>67</v>
      </c>
      <c r="H6" s="64"/>
      <c r="I6" s="64"/>
      <c r="J6" s="510"/>
      <c r="K6" s="976" t="s">
        <v>72</v>
      </c>
      <c r="L6" s="977"/>
      <c r="M6" s="977"/>
      <c r="N6" s="471"/>
      <c r="O6" s="683">
        <f>Assumptions!C8</f>
        <v>40969</v>
      </c>
      <c r="P6" s="203">
        <f>Assumptions!G8</f>
        <v>40969</v>
      </c>
      <c r="Q6" s="69">
        <f t="shared" ref="Q6:CC6" si="0">DATE(YEAR(P6),MONTH(P6)+1,DAY(P6))</f>
        <v>41000</v>
      </c>
      <c r="R6" s="69">
        <f t="shared" si="0"/>
        <v>41030</v>
      </c>
      <c r="S6" s="69">
        <f t="shared" si="0"/>
        <v>41061</v>
      </c>
      <c r="T6" s="69">
        <f t="shared" si="0"/>
        <v>41091</v>
      </c>
      <c r="U6" s="69">
        <f t="shared" si="0"/>
        <v>41122</v>
      </c>
      <c r="V6" s="69">
        <f t="shared" si="0"/>
        <v>41153</v>
      </c>
      <c r="W6" s="69">
        <f t="shared" si="0"/>
        <v>41183</v>
      </c>
      <c r="X6" s="69">
        <f t="shared" si="0"/>
        <v>41214</v>
      </c>
      <c r="Y6" s="69">
        <f t="shared" si="0"/>
        <v>41244</v>
      </c>
      <c r="Z6" s="69">
        <f t="shared" si="0"/>
        <v>41275</v>
      </c>
      <c r="AA6" s="69">
        <f t="shared" si="0"/>
        <v>41306</v>
      </c>
      <c r="AB6" s="69">
        <f t="shared" si="0"/>
        <v>41334</v>
      </c>
      <c r="AC6" s="69">
        <f t="shared" si="0"/>
        <v>41365</v>
      </c>
      <c r="AD6" s="69">
        <f t="shared" si="0"/>
        <v>41395</v>
      </c>
      <c r="AE6" s="69">
        <f t="shared" si="0"/>
        <v>41426</v>
      </c>
      <c r="AF6" s="69">
        <f t="shared" si="0"/>
        <v>41456</v>
      </c>
      <c r="AG6" s="69">
        <f t="shared" si="0"/>
        <v>41487</v>
      </c>
      <c r="AH6" s="69">
        <f t="shared" si="0"/>
        <v>41518</v>
      </c>
      <c r="AI6" s="69">
        <f t="shared" si="0"/>
        <v>41548</v>
      </c>
      <c r="AJ6" s="69">
        <f t="shared" si="0"/>
        <v>41579</v>
      </c>
      <c r="AK6" s="69">
        <f t="shared" si="0"/>
        <v>41609</v>
      </c>
      <c r="AL6" s="69">
        <f t="shared" si="0"/>
        <v>41640</v>
      </c>
      <c r="AM6" s="69">
        <f t="shared" si="0"/>
        <v>41671</v>
      </c>
      <c r="AN6" s="69">
        <f t="shared" si="0"/>
        <v>41699</v>
      </c>
      <c r="AO6" s="69">
        <f t="shared" si="0"/>
        <v>41730</v>
      </c>
      <c r="AP6" s="69">
        <f t="shared" si="0"/>
        <v>41760</v>
      </c>
      <c r="AQ6" s="69">
        <f t="shared" si="0"/>
        <v>41791</v>
      </c>
      <c r="AR6" s="69">
        <f t="shared" si="0"/>
        <v>41821</v>
      </c>
      <c r="AS6" s="69">
        <f t="shared" si="0"/>
        <v>41852</v>
      </c>
      <c r="AT6" s="69">
        <f t="shared" si="0"/>
        <v>41883</v>
      </c>
      <c r="AU6" s="69">
        <f t="shared" si="0"/>
        <v>41913</v>
      </c>
      <c r="AV6" s="69">
        <f t="shared" si="0"/>
        <v>41944</v>
      </c>
      <c r="AW6" s="69">
        <f t="shared" si="0"/>
        <v>41974</v>
      </c>
      <c r="AX6" s="69">
        <f t="shared" si="0"/>
        <v>42005</v>
      </c>
      <c r="AY6" s="69">
        <f t="shared" si="0"/>
        <v>42036</v>
      </c>
      <c r="AZ6" s="69">
        <f t="shared" si="0"/>
        <v>42064</v>
      </c>
      <c r="BA6" s="69">
        <f t="shared" si="0"/>
        <v>42095</v>
      </c>
      <c r="BB6" s="69">
        <f t="shared" si="0"/>
        <v>42125</v>
      </c>
      <c r="BC6" s="69">
        <f t="shared" si="0"/>
        <v>42156</v>
      </c>
      <c r="BD6" s="69">
        <f t="shared" si="0"/>
        <v>42186</v>
      </c>
      <c r="BE6" s="69">
        <f t="shared" si="0"/>
        <v>42217</v>
      </c>
      <c r="BF6" s="69">
        <f t="shared" si="0"/>
        <v>42248</v>
      </c>
      <c r="BG6" s="69">
        <f t="shared" si="0"/>
        <v>42278</v>
      </c>
      <c r="BH6" s="69">
        <f t="shared" si="0"/>
        <v>42309</v>
      </c>
      <c r="BI6" s="69">
        <f t="shared" si="0"/>
        <v>42339</v>
      </c>
      <c r="BJ6" s="69">
        <f t="shared" si="0"/>
        <v>42370</v>
      </c>
      <c r="BK6" s="69">
        <f t="shared" si="0"/>
        <v>42401</v>
      </c>
      <c r="BL6" s="69">
        <f t="shared" si="0"/>
        <v>42430</v>
      </c>
      <c r="BM6" s="69">
        <f t="shared" si="0"/>
        <v>42461</v>
      </c>
      <c r="BN6" s="69">
        <f t="shared" si="0"/>
        <v>42491</v>
      </c>
      <c r="BO6" s="69">
        <f t="shared" si="0"/>
        <v>42522</v>
      </c>
      <c r="BP6" s="69">
        <f t="shared" si="0"/>
        <v>42552</v>
      </c>
      <c r="BQ6" s="69">
        <f t="shared" si="0"/>
        <v>42583</v>
      </c>
      <c r="BR6" s="69">
        <f t="shared" si="0"/>
        <v>42614</v>
      </c>
      <c r="BS6" s="69">
        <f t="shared" si="0"/>
        <v>42644</v>
      </c>
      <c r="BT6" s="69">
        <f t="shared" si="0"/>
        <v>42675</v>
      </c>
      <c r="BU6" s="69">
        <f t="shared" si="0"/>
        <v>42705</v>
      </c>
      <c r="BV6" s="69">
        <f t="shared" si="0"/>
        <v>42736</v>
      </c>
      <c r="BW6" s="69">
        <f t="shared" si="0"/>
        <v>42767</v>
      </c>
      <c r="BX6" s="69">
        <f t="shared" si="0"/>
        <v>42795</v>
      </c>
      <c r="BY6" s="69">
        <f t="shared" si="0"/>
        <v>42826</v>
      </c>
      <c r="BZ6" s="69">
        <f t="shared" si="0"/>
        <v>42856</v>
      </c>
      <c r="CA6" s="69">
        <f t="shared" si="0"/>
        <v>42887</v>
      </c>
      <c r="CB6" s="69">
        <f t="shared" si="0"/>
        <v>42917</v>
      </c>
      <c r="CC6" s="69">
        <f t="shared" si="0"/>
        <v>42948</v>
      </c>
      <c r="CD6" s="69">
        <f t="shared" ref="CD6:EO6" si="1">DATE(YEAR(CC6),MONTH(CC6)+1,DAY(CC6))</f>
        <v>42979</v>
      </c>
      <c r="CE6" s="69">
        <f t="shared" si="1"/>
        <v>43009</v>
      </c>
      <c r="CF6" s="69">
        <f t="shared" si="1"/>
        <v>43040</v>
      </c>
      <c r="CG6" s="69">
        <f t="shared" si="1"/>
        <v>43070</v>
      </c>
      <c r="CH6" s="69">
        <f t="shared" si="1"/>
        <v>43101</v>
      </c>
      <c r="CI6" s="69">
        <f t="shared" si="1"/>
        <v>43132</v>
      </c>
      <c r="CJ6" s="69">
        <f t="shared" si="1"/>
        <v>43160</v>
      </c>
      <c r="CK6" s="69">
        <f t="shared" si="1"/>
        <v>43191</v>
      </c>
      <c r="CL6" s="69">
        <f t="shared" si="1"/>
        <v>43221</v>
      </c>
      <c r="CM6" s="69">
        <f t="shared" si="1"/>
        <v>43252</v>
      </c>
      <c r="CN6" s="69">
        <f t="shared" si="1"/>
        <v>43282</v>
      </c>
      <c r="CO6" s="69">
        <f t="shared" si="1"/>
        <v>43313</v>
      </c>
      <c r="CP6" s="69">
        <f t="shared" si="1"/>
        <v>43344</v>
      </c>
      <c r="CQ6" s="69">
        <f t="shared" si="1"/>
        <v>43374</v>
      </c>
      <c r="CR6" s="69">
        <f t="shared" si="1"/>
        <v>43405</v>
      </c>
      <c r="CS6" s="69">
        <f t="shared" si="1"/>
        <v>43435</v>
      </c>
      <c r="CT6" s="69">
        <f t="shared" si="1"/>
        <v>43466</v>
      </c>
      <c r="CU6" s="69">
        <f t="shared" si="1"/>
        <v>43497</v>
      </c>
      <c r="CV6" s="69">
        <f t="shared" si="1"/>
        <v>43525</v>
      </c>
      <c r="CW6" s="69">
        <f t="shared" si="1"/>
        <v>43556</v>
      </c>
      <c r="CX6" s="69">
        <f t="shared" si="1"/>
        <v>43586</v>
      </c>
      <c r="CY6" s="69">
        <f t="shared" si="1"/>
        <v>43617</v>
      </c>
      <c r="CZ6" s="69">
        <f t="shared" si="1"/>
        <v>43647</v>
      </c>
      <c r="DA6" s="69">
        <f t="shared" si="1"/>
        <v>43678</v>
      </c>
      <c r="DB6" s="69">
        <f t="shared" si="1"/>
        <v>43709</v>
      </c>
      <c r="DC6" s="69">
        <f t="shared" si="1"/>
        <v>43739</v>
      </c>
      <c r="DD6" s="69">
        <f t="shared" si="1"/>
        <v>43770</v>
      </c>
      <c r="DE6" s="69">
        <f t="shared" si="1"/>
        <v>43800</v>
      </c>
      <c r="DF6" s="69">
        <f t="shared" si="1"/>
        <v>43831</v>
      </c>
      <c r="DG6" s="69">
        <f t="shared" si="1"/>
        <v>43862</v>
      </c>
      <c r="DH6" s="69">
        <f t="shared" si="1"/>
        <v>43891</v>
      </c>
      <c r="DI6" s="69">
        <f t="shared" si="1"/>
        <v>43922</v>
      </c>
      <c r="DJ6" s="69">
        <f t="shared" si="1"/>
        <v>43952</v>
      </c>
      <c r="DK6" s="69">
        <f t="shared" si="1"/>
        <v>43983</v>
      </c>
      <c r="DL6" s="69">
        <f t="shared" si="1"/>
        <v>44013</v>
      </c>
      <c r="DM6" s="69">
        <f t="shared" si="1"/>
        <v>44044</v>
      </c>
      <c r="DN6" s="69">
        <f t="shared" si="1"/>
        <v>44075</v>
      </c>
      <c r="DO6" s="69">
        <f t="shared" si="1"/>
        <v>44105</v>
      </c>
      <c r="DP6" s="69">
        <f t="shared" si="1"/>
        <v>44136</v>
      </c>
      <c r="DQ6" s="69">
        <f t="shared" si="1"/>
        <v>44166</v>
      </c>
      <c r="DR6" s="69">
        <f t="shared" si="1"/>
        <v>44197</v>
      </c>
      <c r="DS6" s="69">
        <f t="shared" si="1"/>
        <v>44228</v>
      </c>
      <c r="DT6" s="69">
        <f t="shared" si="1"/>
        <v>44256</v>
      </c>
      <c r="DU6" s="69">
        <f t="shared" si="1"/>
        <v>44287</v>
      </c>
      <c r="DV6" s="69">
        <f t="shared" si="1"/>
        <v>44317</v>
      </c>
      <c r="DW6" s="69">
        <f t="shared" si="1"/>
        <v>44348</v>
      </c>
      <c r="DX6" s="69">
        <f t="shared" si="1"/>
        <v>44378</v>
      </c>
      <c r="DY6" s="69">
        <f t="shared" si="1"/>
        <v>44409</v>
      </c>
      <c r="DZ6" s="69">
        <f t="shared" si="1"/>
        <v>44440</v>
      </c>
      <c r="EA6" s="69">
        <f t="shared" si="1"/>
        <v>44470</v>
      </c>
      <c r="EB6" s="69">
        <f t="shared" si="1"/>
        <v>44501</v>
      </c>
      <c r="EC6" s="69">
        <f t="shared" si="1"/>
        <v>44531</v>
      </c>
      <c r="ED6" s="69">
        <f t="shared" si="1"/>
        <v>44562</v>
      </c>
      <c r="EE6" s="69">
        <f t="shared" si="1"/>
        <v>44593</v>
      </c>
      <c r="EF6" s="69">
        <f t="shared" si="1"/>
        <v>44621</v>
      </c>
      <c r="EG6" s="69">
        <f t="shared" si="1"/>
        <v>44652</v>
      </c>
      <c r="EH6" s="69">
        <f t="shared" si="1"/>
        <v>44682</v>
      </c>
      <c r="EI6" s="69">
        <f t="shared" si="1"/>
        <v>44713</v>
      </c>
      <c r="EJ6" s="69">
        <f t="shared" si="1"/>
        <v>44743</v>
      </c>
      <c r="EK6" s="69">
        <f t="shared" si="1"/>
        <v>44774</v>
      </c>
      <c r="EL6" s="69">
        <f t="shared" si="1"/>
        <v>44805</v>
      </c>
      <c r="EM6" s="69">
        <f t="shared" si="1"/>
        <v>44835</v>
      </c>
      <c r="EN6" s="69">
        <f t="shared" si="1"/>
        <v>44866</v>
      </c>
      <c r="EO6" s="69">
        <f t="shared" si="1"/>
        <v>44896</v>
      </c>
      <c r="EP6" s="69">
        <f>DATE(YEAR(EO6),MONTH(EO6)+1,DAY(EO6))</f>
        <v>44927</v>
      </c>
      <c r="EQ6" s="69">
        <f>DATE(YEAR(EP6),MONTH(EP6)+1,DAY(EP6))</f>
        <v>44958</v>
      </c>
      <c r="ER6" s="69">
        <f>DATE(YEAR(EQ6),MONTH(EQ6)+1,DAY(EQ6))</f>
        <v>44986</v>
      </c>
      <c r="ES6" s="975"/>
    </row>
    <row r="7" spans="1:151" ht="15.75">
      <c r="A7" s="65"/>
      <c r="B7" s="617">
        <f>Assumptions!J16</f>
        <v>4</v>
      </c>
      <c r="C7" s="618">
        <f>Assumptions!N16</f>
        <v>0</v>
      </c>
      <c r="D7" s="618">
        <f>SUM(AZ36:BK36)</f>
        <v>0</v>
      </c>
      <c r="E7" s="619" t="str">
        <f>IF(SUM(AZ36:BK36)-C7=0,"OK","Fix Schedule")</f>
        <v>OK</v>
      </c>
      <c r="F7" s="633"/>
      <c r="G7" s="243" t="s">
        <v>68</v>
      </c>
      <c r="J7" s="208"/>
      <c r="K7" s="424"/>
      <c r="L7" s="425"/>
      <c r="M7" s="425"/>
      <c r="N7" s="423" t="s">
        <v>336</v>
      </c>
      <c r="O7" s="648" t="s">
        <v>261</v>
      </c>
      <c r="P7" s="70">
        <f>Q6-1</f>
        <v>40999</v>
      </c>
      <c r="Q7" s="70">
        <f t="shared" ref="Q7:V7" si="2">R6-1</f>
        <v>41029</v>
      </c>
      <c r="R7" s="70">
        <f t="shared" si="2"/>
        <v>41060</v>
      </c>
      <c r="S7" s="70">
        <f t="shared" si="2"/>
        <v>41090</v>
      </c>
      <c r="T7" s="70">
        <f t="shared" si="2"/>
        <v>41121</v>
      </c>
      <c r="U7" s="70">
        <f t="shared" si="2"/>
        <v>41152</v>
      </c>
      <c r="V7" s="70">
        <f t="shared" si="2"/>
        <v>41182</v>
      </c>
      <c r="W7" s="70">
        <f>X6-1</f>
        <v>41213</v>
      </c>
      <c r="X7" s="70">
        <f>Y6-1</f>
        <v>41243</v>
      </c>
      <c r="Y7" s="70">
        <f t="shared" ref="Y7:CJ7" si="3">Z6-1</f>
        <v>41274</v>
      </c>
      <c r="Z7" s="70">
        <f t="shared" si="3"/>
        <v>41305</v>
      </c>
      <c r="AA7" s="70">
        <f t="shared" si="3"/>
        <v>41333</v>
      </c>
      <c r="AB7" s="70">
        <f t="shared" si="3"/>
        <v>41364</v>
      </c>
      <c r="AC7" s="70">
        <f t="shared" si="3"/>
        <v>41394</v>
      </c>
      <c r="AD7" s="70">
        <f t="shared" si="3"/>
        <v>41425</v>
      </c>
      <c r="AE7" s="70">
        <f t="shared" si="3"/>
        <v>41455</v>
      </c>
      <c r="AF7" s="70">
        <f t="shared" si="3"/>
        <v>41486</v>
      </c>
      <c r="AG7" s="70">
        <f t="shared" si="3"/>
        <v>41517</v>
      </c>
      <c r="AH7" s="70">
        <f t="shared" si="3"/>
        <v>41547</v>
      </c>
      <c r="AI7" s="70">
        <f t="shared" si="3"/>
        <v>41578</v>
      </c>
      <c r="AJ7" s="70">
        <f t="shared" si="3"/>
        <v>41608</v>
      </c>
      <c r="AK7" s="70">
        <f t="shared" si="3"/>
        <v>41639</v>
      </c>
      <c r="AL7" s="70">
        <f t="shared" si="3"/>
        <v>41670</v>
      </c>
      <c r="AM7" s="70">
        <f t="shared" si="3"/>
        <v>41698</v>
      </c>
      <c r="AN7" s="70">
        <f t="shared" si="3"/>
        <v>41729</v>
      </c>
      <c r="AO7" s="70">
        <f t="shared" si="3"/>
        <v>41759</v>
      </c>
      <c r="AP7" s="70">
        <f t="shared" si="3"/>
        <v>41790</v>
      </c>
      <c r="AQ7" s="70">
        <f t="shared" si="3"/>
        <v>41820</v>
      </c>
      <c r="AR7" s="70">
        <f t="shared" si="3"/>
        <v>41851</v>
      </c>
      <c r="AS7" s="70">
        <f t="shared" si="3"/>
        <v>41882</v>
      </c>
      <c r="AT7" s="70">
        <f t="shared" si="3"/>
        <v>41912</v>
      </c>
      <c r="AU7" s="70">
        <f t="shared" si="3"/>
        <v>41943</v>
      </c>
      <c r="AV7" s="70">
        <f t="shared" si="3"/>
        <v>41973</v>
      </c>
      <c r="AW7" s="70">
        <f t="shared" si="3"/>
        <v>42004</v>
      </c>
      <c r="AX7" s="70">
        <f t="shared" si="3"/>
        <v>42035</v>
      </c>
      <c r="AY7" s="70">
        <f t="shared" si="3"/>
        <v>42063</v>
      </c>
      <c r="AZ7" s="70">
        <f t="shared" si="3"/>
        <v>42094</v>
      </c>
      <c r="BA7" s="70">
        <f t="shared" si="3"/>
        <v>42124</v>
      </c>
      <c r="BB7" s="70">
        <f t="shared" si="3"/>
        <v>42155</v>
      </c>
      <c r="BC7" s="70">
        <f t="shared" si="3"/>
        <v>42185</v>
      </c>
      <c r="BD7" s="70">
        <f t="shared" si="3"/>
        <v>42216</v>
      </c>
      <c r="BE7" s="70">
        <f t="shared" si="3"/>
        <v>42247</v>
      </c>
      <c r="BF7" s="70">
        <f t="shared" si="3"/>
        <v>42277</v>
      </c>
      <c r="BG7" s="70">
        <f t="shared" si="3"/>
        <v>42308</v>
      </c>
      <c r="BH7" s="70">
        <f t="shared" si="3"/>
        <v>42338</v>
      </c>
      <c r="BI7" s="70">
        <f t="shared" si="3"/>
        <v>42369</v>
      </c>
      <c r="BJ7" s="70">
        <f t="shared" si="3"/>
        <v>42400</v>
      </c>
      <c r="BK7" s="70">
        <f t="shared" si="3"/>
        <v>42429</v>
      </c>
      <c r="BL7" s="70">
        <f t="shared" si="3"/>
        <v>42460</v>
      </c>
      <c r="BM7" s="70">
        <f t="shared" si="3"/>
        <v>42490</v>
      </c>
      <c r="BN7" s="70">
        <f t="shared" si="3"/>
        <v>42521</v>
      </c>
      <c r="BO7" s="70">
        <f t="shared" si="3"/>
        <v>42551</v>
      </c>
      <c r="BP7" s="70">
        <f t="shared" si="3"/>
        <v>42582</v>
      </c>
      <c r="BQ7" s="70">
        <f t="shared" si="3"/>
        <v>42613</v>
      </c>
      <c r="BR7" s="70">
        <f t="shared" si="3"/>
        <v>42643</v>
      </c>
      <c r="BS7" s="70">
        <f t="shared" si="3"/>
        <v>42674</v>
      </c>
      <c r="BT7" s="70">
        <f t="shared" si="3"/>
        <v>42704</v>
      </c>
      <c r="BU7" s="70">
        <f t="shared" si="3"/>
        <v>42735</v>
      </c>
      <c r="BV7" s="70">
        <f t="shared" si="3"/>
        <v>42766</v>
      </c>
      <c r="BW7" s="70">
        <f t="shared" si="3"/>
        <v>42794</v>
      </c>
      <c r="BX7" s="70">
        <f t="shared" si="3"/>
        <v>42825</v>
      </c>
      <c r="BY7" s="70">
        <f t="shared" si="3"/>
        <v>42855</v>
      </c>
      <c r="BZ7" s="70">
        <f t="shared" si="3"/>
        <v>42886</v>
      </c>
      <c r="CA7" s="70">
        <f t="shared" si="3"/>
        <v>42916</v>
      </c>
      <c r="CB7" s="70">
        <f t="shared" si="3"/>
        <v>42947</v>
      </c>
      <c r="CC7" s="70">
        <f t="shared" si="3"/>
        <v>42978</v>
      </c>
      <c r="CD7" s="70">
        <f t="shared" si="3"/>
        <v>43008</v>
      </c>
      <c r="CE7" s="70">
        <f t="shared" si="3"/>
        <v>43039</v>
      </c>
      <c r="CF7" s="70">
        <f t="shared" si="3"/>
        <v>43069</v>
      </c>
      <c r="CG7" s="70">
        <f t="shared" si="3"/>
        <v>43100</v>
      </c>
      <c r="CH7" s="70">
        <f t="shared" si="3"/>
        <v>43131</v>
      </c>
      <c r="CI7" s="70">
        <f t="shared" si="3"/>
        <v>43159</v>
      </c>
      <c r="CJ7" s="70">
        <f t="shared" si="3"/>
        <v>43190</v>
      </c>
      <c r="CK7" s="70">
        <f t="shared" ref="CK7:EQ7" si="4">CL6-1</f>
        <v>43220</v>
      </c>
      <c r="CL7" s="70">
        <f t="shared" si="4"/>
        <v>43251</v>
      </c>
      <c r="CM7" s="70">
        <f t="shared" si="4"/>
        <v>43281</v>
      </c>
      <c r="CN7" s="70">
        <f t="shared" si="4"/>
        <v>43312</v>
      </c>
      <c r="CO7" s="70">
        <f t="shared" si="4"/>
        <v>43343</v>
      </c>
      <c r="CP7" s="70">
        <f t="shared" si="4"/>
        <v>43373</v>
      </c>
      <c r="CQ7" s="70">
        <f t="shared" si="4"/>
        <v>43404</v>
      </c>
      <c r="CR7" s="70">
        <f t="shared" si="4"/>
        <v>43434</v>
      </c>
      <c r="CS7" s="70">
        <f t="shared" si="4"/>
        <v>43465</v>
      </c>
      <c r="CT7" s="70">
        <f t="shared" si="4"/>
        <v>43496</v>
      </c>
      <c r="CU7" s="70">
        <f t="shared" si="4"/>
        <v>43524</v>
      </c>
      <c r="CV7" s="70">
        <f t="shared" si="4"/>
        <v>43555</v>
      </c>
      <c r="CW7" s="70">
        <f t="shared" si="4"/>
        <v>43585</v>
      </c>
      <c r="CX7" s="70">
        <f t="shared" si="4"/>
        <v>43616</v>
      </c>
      <c r="CY7" s="70">
        <f t="shared" si="4"/>
        <v>43646</v>
      </c>
      <c r="CZ7" s="70">
        <f t="shared" si="4"/>
        <v>43677</v>
      </c>
      <c r="DA7" s="70">
        <f t="shared" si="4"/>
        <v>43708</v>
      </c>
      <c r="DB7" s="70">
        <f t="shared" si="4"/>
        <v>43738</v>
      </c>
      <c r="DC7" s="70">
        <f t="shared" si="4"/>
        <v>43769</v>
      </c>
      <c r="DD7" s="70">
        <f t="shared" si="4"/>
        <v>43799</v>
      </c>
      <c r="DE7" s="70">
        <f t="shared" si="4"/>
        <v>43830</v>
      </c>
      <c r="DF7" s="70">
        <f t="shared" si="4"/>
        <v>43861</v>
      </c>
      <c r="DG7" s="70">
        <f t="shared" si="4"/>
        <v>43890</v>
      </c>
      <c r="DH7" s="70">
        <f t="shared" si="4"/>
        <v>43921</v>
      </c>
      <c r="DI7" s="70">
        <f t="shared" si="4"/>
        <v>43951</v>
      </c>
      <c r="DJ7" s="70">
        <f t="shared" si="4"/>
        <v>43982</v>
      </c>
      <c r="DK7" s="70">
        <f t="shared" si="4"/>
        <v>44012</v>
      </c>
      <c r="DL7" s="70">
        <f t="shared" si="4"/>
        <v>44043</v>
      </c>
      <c r="DM7" s="70">
        <f t="shared" si="4"/>
        <v>44074</v>
      </c>
      <c r="DN7" s="70">
        <f t="shared" si="4"/>
        <v>44104</v>
      </c>
      <c r="DO7" s="70">
        <f t="shared" si="4"/>
        <v>44135</v>
      </c>
      <c r="DP7" s="70">
        <f t="shared" si="4"/>
        <v>44165</v>
      </c>
      <c r="DQ7" s="70">
        <f t="shared" si="4"/>
        <v>44196</v>
      </c>
      <c r="DR7" s="70">
        <f t="shared" si="4"/>
        <v>44227</v>
      </c>
      <c r="DS7" s="70">
        <f t="shared" si="4"/>
        <v>44255</v>
      </c>
      <c r="DT7" s="70">
        <f t="shared" si="4"/>
        <v>44286</v>
      </c>
      <c r="DU7" s="70">
        <f t="shared" si="4"/>
        <v>44316</v>
      </c>
      <c r="DV7" s="70">
        <f t="shared" si="4"/>
        <v>44347</v>
      </c>
      <c r="DW7" s="70">
        <f t="shared" si="4"/>
        <v>44377</v>
      </c>
      <c r="DX7" s="70">
        <f t="shared" si="4"/>
        <v>44408</v>
      </c>
      <c r="DY7" s="70">
        <f t="shared" si="4"/>
        <v>44439</v>
      </c>
      <c r="DZ7" s="70">
        <f t="shared" si="4"/>
        <v>44469</v>
      </c>
      <c r="EA7" s="70">
        <f t="shared" si="4"/>
        <v>44500</v>
      </c>
      <c r="EB7" s="70">
        <f t="shared" si="4"/>
        <v>44530</v>
      </c>
      <c r="EC7" s="70">
        <f t="shared" si="4"/>
        <v>44561</v>
      </c>
      <c r="ED7" s="70">
        <f t="shared" si="4"/>
        <v>44592</v>
      </c>
      <c r="EE7" s="70">
        <f t="shared" si="4"/>
        <v>44620</v>
      </c>
      <c r="EF7" s="70">
        <f t="shared" si="4"/>
        <v>44651</v>
      </c>
      <c r="EG7" s="70">
        <f t="shared" si="4"/>
        <v>44681</v>
      </c>
      <c r="EH7" s="70">
        <f t="shared" si="4"/>
        <v>44712</v>
      </c>
      <c r="EI7" s="70">
        <f t="shared" si="4"/>
        <v>44742</v>
      </c>
      <c r="EJ7" s="70">
        <f t="shared" si="4"/>
        <v>44773</v>
      </c>
      <c r="EK7" s="70">
        <f t="shared" si="4"/>
        <v>44804</v>
      </c>
      <c r="EL7" s="70">
        <f t="shared" si="4"/>
        <v>44834</v>
      </c>
      <c r="EM7" s="70">
        <f t="shared" si="4"/>
        <v>44865</v>
      </c>
      <c r="EN7" s="70">
        <f t="shared" si="4"/>
        <v>44895</v>
      </c>
      <c r="EO7" s="70">
        <f t="shared" si="4"/>
        <v>44926</v>
      </c>
      <c r="EP7" s="70">
        <f t="shared" si="4"/>
        <v>44957</v>
      </c>
      <c r="EQ7" s="70">
        <f t="shared" si="4"/>
        <v>44985</v>
      </c>
      <c r="ES7" s="421"/>
      <c r="ET7" s="63"/>
    </row>
    <row r="8" spans="1:151" ht="11.25" customHeight="1">
      <c r="A8" s="65"/>
      <c r="B8" s="617">
        <f>Assumptions!J17</f>
        <v>5</v>
      </c>
      <c r="C8" s="618">
        <f>Assumptions!N17</f>
        <v>0</v>
      </c>
      <c r="D8" s="618">
        <f>SUM(BL36:BW36)</f>
        <v>0</v>
      </c>
      <c r="E8" s="619" t="str">
        <f>IF(SUM(BL36:BW36)-C8=0,"OK","Fix Schedule")</f>
        <v>OK</v>
      </c>
      <c r="F8" s="633"/>
      <c r="J8" s="208"/>
      <c r="K8" s="176"/>
      <c r="L8" s="175"/>
      <c r="M8" s="175"/>
      <c r="N8" s="208"/>
      <c r="O8" s="175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S8" s="421"/>
      <c r="ET8" s="63"/>
    </row>
    <row r="9" spans="1:151" ht="15.75">
      <c r="A9" s="65"/>
      <c r="B9" s="617">
        <f>Assumptions!J18</f>
        <v>6</v>
      </c>
      <c r="C9" s="618">
        <f>Assumptions!N18</f>
        <v>0</v>
      </c>
      <c r="D9" s="618">
        <f>SUM(BX36:CI36)</f>
        <v>0</v>
      </c>
      <c r="E9" s="619" t="str">
        <f>IF(SUM(BX36:CI36)-C9=0,"OK","Fix Schedule")</f>
        <v>OK</v>
      </c>
      <c r="F9" s="633"/>
      <c r="G9" s="241" t="s">
        <v>50</v>
      </c>
      <c r="H9" s="144"/>
      <c r="I9" s="144"/>
      <c r="J9" s="511"/>
      <c r="K9" s="176"/>
      <c r="L9" s="175"/>
      <c r="M9" s="175"/>
      <c r="N9" s="208"/>
      <c r="O9" s="178">
        <f>O6</f>
        <v>40969</v>
      </c>
      <c r="P9" s="178">
        <f>P6</f>
        <v>40969</v>
      </c>
      <c r="Q9" s="178">
        <f>EDATE(P9,1)</f>
        <v>41000</v>
      </c>
      <c r="R9" s="178">
        <f t="shared" ref="R9:CC9" si="5">EDATE(Q9,1)</f>
        <v>41030</v>
      </c>
      <c r="S9" s="178">
        <f t="shared" si="5"/>
        <v>41061</v>
      </c>
      <c r="T9" s="178">
        <f t="shared" si="5"/>
        <v>41091</v>
      </c>
      <c r="U9" s="178">
        <f t="shared" si="5"/>
        <v>41122</v>
      </c>
      <c r="V9" s="178">
        <f t="shared" si="5"/>
        <v>41153</v>
      </c>
      <c r="W9" s="178">
        <f t="shared" si="5"/>
        <v>41183</v>
      </c>
      <c r="X9" s="178">
        <f t="shared" si="5"/>
        <v>41214</v>
      </c>
      <c r="Y9" s="178">
        <f t="shared" si="5"/>
        <v>41244</v>
      </c>
      <c r="Z9" s="178">
        <f t="shared" si="5"/>
        <v>41275</v>
      </c>
      <c r="AA9" s="178">
        <f t="shared" si="5"/>
        <v>41306</v>
      </c>
      <c r="AB9" s="178">
        <f t="shared" si="5"/>
        <v>41334</v>
      </c>
      <c r="AC9" s="178">
        <f t="shared" si="5"/>
        <v>41365</v>
      </c>
      <c r="AD9" s="178">
        <f t="shared" si="5"/>
        <v>41395</v>
      </c>
      <c r="AE9" s="178">
        <f t="shared" si="5"/>
        <v>41426</v>
      </c>
      <c r="AF9" s="178">
        <f t="shared" si="5"/>
        <v>41456</v>
      </c>
      <c r="AG9" s="178">
        <f t="shared" si="5"/>
        <v>41487</v>
      </c>
      <c r="AH9" s="178">
        <f t="shared" si="5"/>
        <v>41518</v>
      </c>
      <c r="AI9" s="178">
        <f t="shared" si="5"/>
        <v>41548</v>
      </c>
      <c r="AJ9" s="178">
        <f t="shared" si="5"/>
        <v>41579</v>
      </c>
      <c r="AK9" s="178">
        <f t="shared" si="5"/>
        <v>41609</v>
      </c>
      <c r="AL9" s="178">
        <f t="shared" si="5"/>
        <v>41640</v>
      </c>
      <c r="AM9" s="178">
        <f t="shared" si="5"/>
        <v>41671</v>
      </c>
      <c r="AN9" s="178">
        <f t="shared" si="5"/>
        <v>41699</v>
      </c>
      <c r="AO9" s="178">
        <f t="shared" si="5"/>
        <v>41730</v>
      </c>
      <c r="AP9" s="178">
        <f t="shared" si="5"/>
        <v>41760</v>
      </c>
      <c r="AQ9" s="178">
        <f t="shared" si="5"/>
        <v>41791</v>
      </c>
      <c r="AR9" s="178">
        <f t="shared" si="5"/>
        <v>41821</v>
      </c>
      <c r="AS9" s="178">
        <f t="shared" si="5"/>
        <v>41852</v>
      </c>
      <c r="AT9" s="178">
        <f t="shared" si="5"/>
        <v>41883</v>
      </c>
      <c r="AU9" s="178">
        <f t="shared" si="5"/>
        <v>41913</v>
      </c>
      <c r="AV9" s="178">
        <f t="shared" si="5"/>
        <v>41944</v>
      </c>
      <c r="AW9" s="178">
        <f t="shared" si="5"/>
        <v>41974</v>
      </c>
      <c r="AX9" s="178">
        <f t="shared" si="5"/>
        <v>42005</v>
      </c>
      <c r="AY9" s="178">
        <f t="shared" si="5"/>
        <v>42036</v>
      </c>
      <c r="AZ9" s="178">
        <f t="shared" si="5"/>
        <v>42064</v>
      </c>
      <c r="BA9" s="178">
        <f t="shared" si="5"/>
        <v>42095</v>
      </c>
      <c r="BB9" s="178">
        <f t="shared" si="5"/>
        <v>42125</v>
      </c>
      <c r="BC9" s="178">
        <f t="shared" si="5"/>
        <v>42156</v>
      </c>
      <c r="BD9" s="178">
        <f t="shared" si="5"/>
        <v>42186</v>
      </c>
      <c r="BE9" s="178">
        <f t="shared" si="5"/>
        <v>42217</v>
      </c>
      <c r="BF9" s="178">
        <f t="shared" si="5"/>
        <v>42248</v>
      </c>
      <c r="BG9" s="178">
        <f t="shared" si="5"/>
        <v>42278</v>
      </c>
      <c r="BH9" s="178">
        <f t="shared" si="5"/>
        <v>42309</v>
      </c>
      <c r="BI9" s="178">
        <f t="shared" si="5"/>
        <v>42339</v>
      </c>
      <c r="BJ9" s="178">
        <f t="shared" si="5"/>
        <v>42370</v>
      </c>
      <c r="BK9" s="178">
        <f t="shared" si="5"/>
        <v>42401</v>
      </c>
      <c r="BL9" s="178">
        <f t="shared" si="5"/>
        <v>42430</v>
      </c>
      <c r="BM9" s="178">
        <f t="shared" si="5"/>
        <v>42461</v>
      </c>
      <c r="BN9" s="178">
        <f t="shared" si="5"/>
        <v>42491</v>
      </c>
      <c r="BO9" s="178">
        <f t="shared" si="5"/>
        <v>42522</v>
      </c>
      <c r="BP9" s="178">
        <f t="shared" si="5"/>
        <v>42552</v>
      </c>
      <c r="BQ9" s="178">
        <f t="shared" si="5"/>
        <v>42583</v>
      </c>
      <c r="BR9" s="178">
        <f t="shared" si="5"/>
        <v>42614</v>
      </c>
      <c r="BS9" s="178">
        <f t="shared" si="5"/>
        <v>42644</v>
      </c>
      <c r="BT9" s="178">
        <f t="shared" si="5"/>
        <v>42675</v>
      </c>
      <c r="BU9" s="178">
        <f t="shared" si="5"/>
        <v>42705</v>
      </c>
      <c r="BV9" s="178">
        <f t="shared" si="5"/>
        <v>42736</v>
      </c>
      <c r="BW9" s="178">
        <f t="shared" si="5"/>
        <v>42767</v>
      </c>
      <c r="BX9" s="178">
        <f t="shared" si="5"/>
        <v>42795</v>
      </c>
      <c r="BY9" s="178">
        <f t="shared" si="5"/>
        <v>42826</v>
      </c>
      <c r="BZ9" s="178">
        <f t="shared" si="5"/>
        <v>42856</v>
      </c>
      <c r="CA9" s="178">
        <f t="shared" si="5"/>
        <v>42887</v>
      </c>
      <c r="CB9" s="178">
        <f t="shared" si="5"/>
        <v>42917</v>
      </c>
      <c r="CC9" s="178">
        <f t="shared" si="5"/>
        <v>42948</v>
      </c>
      <c r="CD9" s="178">
        <f t="shared" ref="CD9:EO9" si="6">EDATE(CC9,1)</f>
        <v>42979</v>
      </c>
      <c r="CE9" s="178">
        <f t="shared" si="6"/>
        <v>43009</v>
      </c>
      <c r="CF9" s="178">
        <f t="shared" si="6"/>
        <v>43040</v>
      </c>
      <c r="CG9" s="178">
        <f t="shared" si="6"/>
        <v>43070</v>
      </c>
      <c r="CH9" s="178">
        <f t="shared" si="6"/>
        <v>43101</v>
      </c>
      <c r="CI9" s="178">
        <f t="shared" si="6"/>
        <v>43132</v>
      </c>
      <c r="CJ9" s="178">
        <f t="shared" si="6"/>
        <v>43160</v>
      </c>
      <c r="CK9" s="178">
        <f t="shared" si="6"/>
        <v>43191</v>
      </c>
      <c r="CL9" s="178">
        <f t="shared" si="6"/>
        <v>43221</v>
      </c>
      <c r="CM9" s="178">
        <f t="shared" si="6"/>
        <v>43252</v>
      </c>
      <c r="CN9" s="178">
        <f t="shared" si="6"/>
        <v>43282</v>
      </c>
      <c r="CO9" s="178">
        <f t="shared" si="6"/>
        <v>43313</v>
      </c>
      <c r="CP9" s="178">
        <f t="shared" si="6"/>
        <v>43344</v>
      </c>
      <c r="CQ9" s="178">
        <f t="shared" si="6"/>
        <v>43374</v>
      </c>
      <c r="CR9" s="178">
        <f t="shared" si="6"/>
        <v>43405</v>
      </c>
      <c r="CS9" s="178">
        <f t="shared" si="6"/>
        <v>43435</v>
      </c>
      <c r="CT9" s="178">
        <f t="shared" si="6"/>
        <v>43466</v>
      </c>
      <c r="CU9" s="178">
        <f t="shared" si="6"/>
        <v>43497</v>
      </c>
      <c r="CV9" s="178">
        <f t="shared" si="6"/>
        <v>43525</v>
      </c>
      <c r="CW9" s="178">
        <f t="shared" si="6"/>
        <v>43556</v>
      </c>
      <c r="CX9" s="178">
        <f t="shared" si="6"/>
        <v>43586</v>
      </c>
      <c r="CY9" s="178">
        <f t="shared" si="6"/>
        <v>43617</v>
      </c>
      <c r="CZ9" s="178">
        <f t="shared" si="6"/>
        <v>43647</v>
      </c>
      <c r="DA9" s="178">
        <f t="shared" si="6"/>
        <v>43678</v>
      </c>
      <c r="DB9" s="178">
        <f t="shared" si="6"/>
        <v>43709</v>
      </c>
      <c r="DC9" s="178">
        <f t="shared" si="6"/>
        <v>43739</v>
      </c>
      <c r="DD9" s="178">
        <f t="shared" si="6"/>
        <v>43770</v>
      </c>
      <c r="DE9" s="178">
        <f t="shared" si="6"/>
        <v>43800</v>
      </c>
      <c r="DF9" s="178">
        <f t="shared" si="6"/>
        <v>43831</v>
      </c>
      <c r="DG9" s="178">
        <f t="shared" si="6"/>
        <v>43862</v>
      </c>
      <c r="DH9" s="178">
        <f t="shared" si="6"/>
        <v>43891</v>
      </c>
      <c r="DI9" s="178">
        <f t="shared" si="6"/>
        <v>43922</v>
      </c>
      <c r="DJ9" s="178">
        <f t="shared" si="6"/>
        <v>43952</v>
      </c>
      <c r="DK9" s="178">
        <f t="shared" si="6"/>
        <v>43983</v>
      </c>
      <c r="DL9" s="178">
        <f t="shared" si="6"/>
        <v>44013</v>
      </c>
      <c r="DM9" s="178">
        <f t="shared" si="6"/>
        <v>44044</v>
      </c>
      <c r="DN9" s="178">
        <f t="shared" si="6"/>
        <v>44075</v>
      </c>
      <c r="DO9" s="178">
        <f t="shared" si="6"/>
        <v>44105</v>
      </c>
      <c r="DP9" s="178">
        <f t="shared" si="6"/>
        <v>44136</v>
      </c>
      <c r="DQ9" s="178">
        <f t="shared" si="6"/>
        <v>44166</v>
      </c>
      <c r="DR9" s="178">
        <f t="shared" si="6"/>
        <v>44197</v>
      </c>
      <c r="DS9" s="178">
        <f t="shared" si="6"/>
        <v>44228</v>
      </c>
      <c r="DT9" s="178">
        <f t="shared" si="6"/>
        <v>44256</v>
      </c>
      <c r="DU9" s="178">
        <f t="shared" si="6"/>
        <v>44287</v>
      </c>
      <c r="DV9" s="178">
        <f t="shared" si="6"/>
        <v>44317</v>
      </c>
      <c r="DW9" s="178">
        <f t="shared" si="6"/>
        <v>44348</v>
      </c>
      <c r="DX9" s="178">
        <f t="shared" si="6"/>
        <v>44378</v>
      </c>
      <c r="DY9" s="178">
        <f t="shared" si="6"/>
        <v>44409</v>
      </c>
      <c r="DZ9" s="178">
        <f t="shared" si="6"/>
        <v>44440</v>
      </c>
      <c r="EA9" s="178">
        <f t="shared" si="6"/>
        <v>44470</v>
      </c>
      <c r="EB9" s="178">
        <f t="shared" si="6"/>
        <v>44501</v>
      </c>
      <c r="EC9" s="178">
        <f t="shared" si="6"/>
        <v>44531</v>
      </c>
      <c r="ED9" s="178">
        <f t="shared" si="6"/>
        <v>44562</v>
      </c>
      <c r="EE9" s="178">
        <f t="shared" si="6"/>
        <v>44593</v>
      </c>
      <c r="EF9" s="178">
        <f t="shared" si="6"/>
        <v>44621</v>
      </c>
      <c r="EG9" s="178">
        <f t="shared" si="6"/>
        <v>44652</v>
      </c>
      <c r="EH9" s="178">
        <f t="shared" si="6"/>
        <v>44682</v>
      </c>
      <c r="EI9" s="178">
        <f t="shared" si="6"/>
        <v>44713</v>
      </c>
      <c r="EJ9" s="178">
        <f t="shared" si="6"/>
        <v>44743</v>
      </c>
      <c r="EK9" s="178">
        <f t="shared" si="6"/>
        <v>44774</v>
      </c>
      <c r="EL9" s="178">
        <f t="shared" si="6"/>
        <v>44805</v>
      </c>
      <c r="EM9" s="178">
        <f t="shared" si="6"/>
        <v>44835</v>
      </c>
      <c r="EN9" s="178">
        <f t="shared" si="6"/>
        <v>44866</v>
      </c>
      <c r="EO9" s="178">
        <f t="shared" si="6"/>
        <v>44896</v>
      </c>
      <c r="EP9" s="178">
        <f>EDATE(EO9,1)</f>
        <v>44927</v>
      </c>
      <c r="EQ9" s="178">
        <f>EDATE(EP9,1)</f>
        <v>44958</v>
      </c>
      <c r="ES9" s="421"/>
      <c r="ET9" s="63"/>
    </row>
    <row r="10" spans="1:151" ht="15.75">
      <c r="A10" s="65"/>
      <c r="B10" s="617">
        <f>Assumptions!J19</f>
        <v>7</v>
      </c>
      <c r="C10" s="618">
        <f>Assumptions!N19</f>
        <v>0</v>
      </c>
      <c r="D10" s="618">
        <f>SUM(CJ36:CU36)</f>
        <v>0</v>
      </c>
      <c r="E10" s="619" t="str">
        <f>IF(SUM(CJ36:CU36)-C10=0,"OK","Fix Schedule")</f>
        <v>OK</v>
      </c>
      <c r="F10" s="633"/>
      <c r="G10" s="242" t="s">
        <v>52</v>
      </c>
      <c r="H10" s="71"/>
      <c r="I10" s="71"/>
      <c r="J10" s="474"/>
      <c r="K10" s="176"/>
      <c r="L10" s="175"/>
      <c r="M10" s="175"/>
      <c r="N10" s="208"/>
      <c r="O10" s="637">
        <v>0</v>
      </c>
      <c r="P10" s="204">
        <v>1</v>
      </c>
      <c r="Q10" s="180">
        <f>P10+1</f>
        <v>2</v>
      </c>
      <c r="R10" s="180">
        <f t="shared" ref="R10:CC10" si="7">Q10+1</f>
        <v>3</v>
      </c>
      <c r="S10" s="180">
        <f t="shared" si="7"/>
        <v>4</v>
      </c>
      <c r="T10" s="180">
        <f t="shared" si="7"/>
        <v>5</v>
      </c>
      <c r="U10" s="180">
        <f t="shared" si="7"/>
        <v>6</v>
      </c>
      <c r="V10" s="180">
        <f t="shared" si="7"/>
        <v>7</v>
      </c>
      <c r="W10" s="180">
        <f t="shared" si="7"/>
        <v>8</v>
      </c>
      <c r="X10" s="180">
        <f t="shared" si="7"/>
        <v>9</v>
      </c>
      <c r="Y10" s="180">
        <f t="shared" si="7"/>
        <v>10</v>
      </c>
      <c r="Z10" s="180">
        <f t="shared" si="7"/>
        <v>11</v>
      </c>
      <c r="AA10" s="180">
        <f t="shared" si="7"/>
        <v>12</v>
      </c>
      <c r="AB10" s="180">
        <f t="shared" si="7"/>
        <v>13</v>
      </c>
      <c r="AC10" s="180">
        <f t="shared" si="7"/>
        <v>14</v>
      </c>
      <c r="AD10" s="180">
        <f t="shared" si="7"/>
        <v>15</v>
      </c>
      <c r="AE10" s="180">
        <f t="shared" si="7"/>
        <v>16</v>
      </c>
      <c r="AF10" s="180">
        <f t="shared" si="7"/>
        <v>17</v>
      </c>
      <c r="AG10" s="180">
        <f t="shared" si="7"/>
        <v>18</v>
      </c>
      <c r="AH10" s="180">
        <f t="shared" si="7"/>
        <v>19</v>
      </c>
      <c r="AI10" s="180">
        <f t="shared" si="7"/>
        <v>20</v>
      </c>
      <c r="AJ10" s="180">
        <f t="shared" si="7"/>
        <v>21</v>
      </c>
      <c r="AK10" s="180">
        <f t="shared" si="7"/>
        <v>22</v>
      </c>
      <c r="AL10" s="180">
        <f t="shared" si="7"/>
        <v>23</v>
      </c>
      <c r="AM10" s="180">
        <f t="shared" si="7"/>
        <v>24</v>
      </c>
      <c r="AN10" s="180">
        <f t="shared" si="7"/>
        <v>25</v>
      </c>
      <c r="AO10" s="180">
        <f t="shared" si="7"/>
        <v>26</v>
      </c>
      <c r="AP10" s="180">
        <f t="shared" si="7"/>
        <v>27</v>
      </c>
      <c r="AQ10" s="180">
        <f t="shared" si="7"/>
        <v>28</v>
      </c>
      <c r="AR10" s="180">
        <f t="shared" si="7"/>
        <v>29</v>
      </c>
      <c r="AS10" s="180">
        <f t="shared" si="7"/>
        <v>30</v>
      </c>
      <c r="AT10" s="180">
        <f t="shared" si="7"/>
        <v>31</v>
      </c>
      <c r="AU10" s="180">
        <f t="shared" si="7"/>
        <v>32</v>
      </c>
      <c r="AV10" s="180">
        <f t="shared" si="7"/>
        <v>33</v>
      </c>
      <c r="AW10" s="180">
        <f t="shared" si="7"/>
        <v>34</v>
      </c>
      <c r="AX10" s="180">
        <f t="shared" si="7"/>
        <v>35</v>
      </c>
      <c r="AY10" s="180">
        <f t="shared" si="7"/>
        <v>36</v>
      </c>
      <c r="AZ10" s="180">
        <f t="shared" si="7"/>
        <v>37</v>
      </c>
      <c r="BA10" s="180">
        <f t="shared" si="7"/>
        <v>38</v>
      </c>
      <c r="BB10" s="180">
        <f t="shared" si="7"/>
        <v>39</v>
      </c>
      <c r="BC10" s="180">
        <f t="shared" si="7"/>
        <v>40</v>
      </c>
      <c r="BD10" s="180">
        <f t="shared" si="7"/>
        <v>41</v>
      </c>
      <c r="BE10" s="180">
        <f t="shared" si="7"/>
        <v>42</v>
      </c>
      <c r="BF10" s="180">
        <f t="shared" si="7"/>
        <v>43</v>
      </c>
      <c r="BG10" s="180">
        <f t="shared" si="7"/>
        <v>44</v>
      </c>
      <c r="BH10" s="180">
        <f t="shared" si="7"/>
        <v>45</v>
      </c>
      <c r="BI10" s="180">
        <f t="shared" si="7"/>
        <v>46</v>
      </c>
      <c r="BJ10" s="180">
        <f t="shared" si="7"/>
        <v>47</v>
      </c>
      <c r="BK10" s="180">
        <f t="shared" si="7"/>
        <v>48</v>
      </c>
      <c r="BL10" s="180">
        <f t="shared" si="7"/>
        <v>49</v>
      </c>
      <c r="BM10" s="180">
        <f t="shared" si="7"/>
        <v>50</v>
      </c>
      <c r="BN10" s="180">
        <f t="shared" si="7"/>
        <v>51</v>
      </c>
      <c r="BO10" s="180">
        <f t="shared" si="7"/>
        <v>52</v>
      </c>
      <c r="BP10" s="180">
        <f t="shared" si="7"/>
        <v>53</v>
      </c>
      <c r="BQ10" s="180">
        <f t="shared" si="7"/>
        <v>54</v>
      </c>
      <c r="BR10" s="180">
        <f t="shared" si="7"/>
        <v>55</v>
      </c>
      <c r="BS10" s="180">
        <f t="shared" si="7"/>
        <v>56</v>
      </c>
      <c r="BT10" s="180">
        <f t="shared" si="7"/>
        <v>57</v>
      </c>
      <c r="BU10" s="180">
        <f t="shared" si="7"/>
        <v>58</v>
      </c>
      <c r="BV10" s="180">
        <f t="shared" si="7"/>
        <v>59</v>
      </c>
      <c r="BW10" s="180">
        <f t="shared" si="7"/>
        <v>60</v>
      </c>
      <c r="BX10" s="180">
        <f t="shared" si="7"/>
        <v>61</v>
      </c>
      <c r="BY10" s="180">
        <f t="shared" si="7"/>
        <v>62</v>
      </c>
      <c r="BZ10" s="180">
        <f t="shared" si="7"/>
        <v>63</v>
      </c>
      <c r="CA10" s="180">
        <f t="shared" si="7"/>
        <v>64</v>
      </c>
      <c r="CB10" s="180">
        <f t="shared" si="7"/>
        <v>65</v>
      </c>
      <c r="CC10" s="180">
        <f t="shared" si="7"/>
        <v>66</v>
      </c>
      <c r="CD10" s="180">
        <f t="shared" ref="CD10:EO10" si="8">CC10+1</f>
        <v>67</v>
      </c>
      <c r="CE10" s="180">
        <f t="shared" si="8"/>
        <v>68</v>
      </c>
      <c r="CF10" s="180">
        <f t="shared" si="8"/>
        <v>69</v>
      </c>
      <c r="CG10" s="180">
        <f t="shared" si="8"/>
        <v>70</v>
      </c>
      <c r="CH10" s="180">
        <f t="shared" si="8"/>
        <v>71</v>
      </c>
      <c r="CI10" s="180">
        <f t="shared" si="8"/>
        <v>72</v>
      </c>
      <c r="CJ10" s="180">
        <f t="shared" si="8"/>
        <v>73</v>
      </c>
      <c r="CK10" s="180">
        <f t="shared" si="8"/>
        <v>74</v>
      </c>
      <c r="CL10" s="180">
        <f t="shared" si="8"/>
        <v>75</v>
      </c>
      <c r="CM10" s="180">
        <f t="shared" si="8"/>
        <v>76</v>
      </c>
      <c r="CN10" s="180">
        <f t="shared" si="8"/>
        <v>77</v>
      </c>
      <c r="CO10" s="180">
        <f t="shared" si="8"/>
        <v>78</v>
      </c>
      <c r="CP10" s="180">
        <f t="shared" si="8"/>
        <v>79</v>
      </c>
      <c r="CQ10" s="180">
        <f t="shared" si="8"/>
        <v>80</v>
      </c>
      <c r="CR10" s="180">
        <f t="shared" si="8"/>
        <v>81</v>
      </c>
      <c r="CS10" s="180">
        <f t="shared" si="8"/>
        <v>82</v>
      </c>
      <c r="CT10" s="180">
        <f t="shared" si="8"/>
        <v>83</v>
      </c>
      <c r="CU10" s="180">
        <f t="shared" si="8"/>
        <v>84</v>
      </c>
      <c r="CV10" s="180">
        <f t="shared" si="8"/>
        <v>85</v>
      </c>
      <c r="CW10" s="180">
        <f t="shared" si="8"/>
        <v>86</v>
      </c>
      <c r="CX10" s="180">
        <f t="shared" si="8"/>
        <v>87</v>
      </c>
      <c r="CY10" s="180">
        <f t="shared" si="8"/>
        <v>88</v>
      </c>
      <c r="CZ10" s="180">
        <f t="shared" si="8"/>
        <v>89</v>
      </c>
      <c r="DA10" s="180">
        <f t="shared" si="8"/>
        <v>90</v>
      </c>
      <c r="DB10" s="180">
        <f t="shared" si="8"/>
        <v>91</v>
      </c>
      <c r="DC10" s="180">
        <f t="shared" si="8"/>
        <v>92</v>
      </c>
      <c r="DD10" s="180">
        <f t="shared" si="8"/>
        <v>93</v>
      </c>
      <c r="DE10" s="180">
        <f t="shared" si="8"/>
        <v>94</v>
      </c>
      <c r="DF10" s="180">
        <f t="shared" si="8"/>
        <v>95</v>
      </c>
      <c r="DG10" s="180">
        <f t="shared" si="8"/>
        <v>96</v>
      </c>
      <c r="DH10" s="180">
        <f t="shared" si="8"/>
        <v>97</v>
      </c>
      <c r="DI10" s="180">
        <f t="shared" si="8"/>
        <v>98</v>
      </c>
      <c r="DJ10" s="180">
        <f t="shared" si="8"/>
        <v>99</v>
      </c>
      <c r="DK10" s="180">
        <f t="shared" si="8"/>
        <v>100</v>
      </c>
      <c r="DL10" s="180">
        <f t="shared" si="8"/>
        <v>101</v>
      </c>
      <c r="DM10" s="180">
        <f t="shared" si="8"/>
        <v>102</v>
      </c>
      <c r="DN10" s="180">
        <f t="shared" si="8"/>
        <v>103</v>
      </c>
      <c r="DO10" s="180">
        <f t="shared" si="8"/>
        <v>104</v>
      </c>
      <c r="DP10" s="180">
        <f t="shared" si="8"/>
        <v>105</v>
      </c>
      <c r="DQ10" s="180">
        <f t="shared" si="8"/>
        <v>106</v>
      </c>
      <c r="DR10" s="180">
        <f t="shared" si="8"/>
        <v>107</v>
      </c>
      <c r="DS10" s="180">
        <f t="shared" si="8"/>
        <v>108</v>
      </c>
      <c r="DT10" s="180">
        <f t="shared" si="8"/>
        <v>109</v>
      </c>
      <c r="DU10" s="180">
        <f t="shared" si="8"/>
        <v>110</v>
      </c>
      <c r="DV10" s="180">
        <f t="shared" si="8"/>
        <v>111</v>
      </c>
      <c r="DW10" s="180">
        <f t="shared" si="8"/>
        <v>112</v>
      </c>
      <c r="DX10" s="180">
        <f t="shared" si="8"/>
        <v>113</v>
      </c>
      <c r="DY10" s="180">
        <f t="shared" si="8"/>
        <v>114</v>
      </c>
      <c r="DZ10" s="180">
        <f t="shared" si="8"/>
        <v>115</v>
      </c>
      <c r="EA10" s="180">
        <f t="shared" si="8"/>
        <v>116</v>
      </c>
      <c r="EB10" s="180">
        <f t="shared" si="8"/>
        <v>117</v>
      </c>
      <c r="EC10" s="180">
        <f t="shared" si="8"/>
        <v>118</v>
      </c>
      <c r="ED10" s="180">
        <f t="shared" si="8"/>
        <v>119</v>
      </c>
      <c r="EE10" s="180">
        <f t="shared" si="8"/>
        <v>120</v>
      </c>
      <c r="EF10" s="180">
        <f t="shared" si="8"/>
        <v>121</v>
      </c>
      <c r="EG10" s="180">
        <f t="shared" si="8"/>
        <v>122</v>
      </c>
      <c r="EH10" s="180">
        <f t="shared" si="8"/>
        <v>123</v>
      </c>
      <c r="EI10" s="180">
        <f t="shared" si="8"/>
        <v>124</v>
      </c>
      <c r="EJ10" s="180">
        <f t="shared" si="8"/>
        <v>125</v>
      </c>
      <c r="EK10" s="180">
        <f t="shared" si="8"/>
        <v>126</v>
      </c>
      <c r="EL10" s="180">
        <f t="shared" si="8"/>
        <v>127</v>
      </c>
      <c r="EM10" s="180">
        <f t="shared" si="8"/>
        <v>128</v>
      </c>
      <c r="EN10" s="180">
        <f t="shared" si="8"/>
        <v>129</v>
      </c>
      <c r="EO10" s="180">
        <f t="shared" si="8"/>
        <v>130</v>
      </c>
      <c r="EP10" s="180">
        <f>EO10+1</f>
        <v>131</v>
      </c>
      <c r="EQ10" s="180">
        <f>EP10+1</f>
        <v>132</v>
      </c>
      <c r="ES10" s="421"/>
      <c r="ET10" s="63"/>
    </row>
    <row r="11" spans="1:151" ht="15.75">
      <c r="A11" s="65"/>
      <c r="B11" s="617">
        <f>Assumptions!J20</f>
        <v>8</v>
      </c>
      <c r="C11" s="618">
        <f>Assumptions!N20</f>
        <v>0</v>
      </c>
      <c r="D11" s="618">
        <f>SUM(CV36:DG36)</f>
        <v>0</v>
      </c>
      <c r="E11" s="619" t="str">
        <f>IF(SUM(CV36:DG36)-C11=0,"OK","Fix Schedule")</f>
        <v>OK</v>
      </c>
      <c r="F11" s="633"/>
      <c r="G11" s="240" t="s">
        <v>63</v>
      </c>
      <c r="H11" s="144"/>
      <c r="I11" s="144"/>
      <c r="J11" s="475"/>
      <c r="K11" s="73"/>
      <c r="L11" s="144"/>
      <c r="M11" s="144"/>
      <c r="N11" s="238"/>
      <c r="O11" s="636">
        <v>0</v>
      </c>
      <c r="P11" s="204">
        <f>ROUNDUP(P10/12,0)</f>
        <v>1</v>
      </c>
      <c r="Q11" s="179">
        <f t="shared" ref="Q11:CB11" si="9">ROUNDUP(Q10/12,0)</f>
        <v>1</v>
      </c>
      <c r="R11" s="179">
        <f t="shared" si="9"/>
        <v>1</v>
      </c>
      <c r="S11" s="142">
        <f t="shared" si="9"/>
        <v>1</v>
      </c>
      <c r="T11" s="142">
        <f t="shared" si="9"/>
        <v>1</v>
      </c>
      <c r="U11" s="142">
        <f t="shared" si="9"/>
        <v>1</v>
      </c>
      <c r="V11" s="142">
        <f t="shared" si="9"/>
        <v>1</v>
      </c>
      <c r="W11" s="142">
        <f t="shared" si="9"/>
        <v>1</v>
      </c>
      <c r="X11" s="142">
        <f t="shared" si="9"/>
        <v>1</v>
      </c>
      <c r="Y11" s="142">
        <f t="shared" si="9"/>
        <v>1</v>
      </c>
      <c r="Z11" s="142">
        <f t="shared" si="9"/>
        <v>1</v>
      </c>
      <c r="AA11" s="142">
        <f t="shared" si="9"/>
        <v>1</v>
      </c>
      <c r="AB11" s="142">
        <f t="shared" si="9"/>
        <v>2</v>
      </c>
      <c r="AC11" s="142">
        <f t="shared" si="9"/>
        <v>2</v>
      </c>
      <c r="AD11" s="142">
        <f t="shared" si="9"/>
        <v>2</v>
      </c>
      <c r="AE11" s="142">
        <f t="shared" si="9"/>
        <v>2</v>
      </c>
      <c r="AF11" s="142">
        <f t="shared" si="9"/>
        <v>2</v>
      </c>
      <c r="AG11" s="142">
        <f t="shared" si="9"/>
        <v>2</v>
      </c>
      <c r="AH11" s="142">
        <f t="shared" si="9"/>
        <v>2</v>
      </c>
      <c r="AI11" s="142">
        <f t="shared" si="9"/>
        <v>2</v>
      </c>
      <c r="AJ11" s="142">
        <f t="shared" si="9"/>
        <v>2</v>
      </c>
      <c r="AK11" s="142">
        <f t="shared" si="9"/>
        <v>2</v>
      </c>
      <c r="AL11" s="142">
        <f t="shared" si="9"/>
        <v>2</v>
      </c>
      <c r="AM11" s="142">
        <f t="shared" si="9"/>
        <v>2</v>
      </c>
      <c r="AN11" s="142">
        <f t="shared" si="9"/>
        <v>3</v>
      </c>
      <c r="AO11" s="142">
        <f t="shared" si="9"/>
        <v>3</v>
      </c>
      <c r="AP11" s="142">
        <f t="shared" si="9"/>
        <v>3</v>
      </c>
      <c r="AQ11" s="142">
        <f t="shared" si="9"/>
        <v>3</v>
      </c>
      <c r="AR11" s="142">
        <f t="shared" si="9"/>
        <v>3</v>
      </c>
      <c r="AS11" s="142">
        <f t="shared" si="9"/>
        <v>3</v>
      </c>
      <c r="AT11" s="142">
        <f t="shared" si="9"/>
        <v>3</v>
      </c>
      <c r="AU11" s="142">
        <f t="shared" si="9"/>
        <v>3</v>
      </c>
      <c r="AV11" s="142">
        <f t="shared" si="9"/>
        <v>3</v>
      </c>
      <c r="AW11" s="142">
        <f t="shared" si="9"/>
        <v>3</v>
      </c>
      <c r="AX11" s="142">
        <f t="shared" si="9"/>
        <v>3</v>
      </c>
      <c r="AY11" s="142">
        <f t="shared" si="9"/>
        <v>3</v>
      </c>
      <c r="AZ11" s="142">
        <f t="shared" si="9"/>
        <v>4</v>
      </c>
      <c r="BA11" s="142">
        <f t="shared" si="9"/>
        <v>4</v>
      </c>
      <c r="BB11" s="142">
        <f t="shared" si="9"/>
        <v>4</v>
      </c>
      <c r="BC11" s="142">
        <f t="shared" si="9"/>
        <v>4</v>
      </c>
      <c r="BD11" s="142">
        <f t="shared" si="9"/>
        <v>4</v>
      </c>
      <c r="BE11" s="142">
        <f t="shared" si="9"/>
        <v>4</v>
      </c>
      <c r="BF11" s="142">
        <f t="shared" si="9"/>
        <v>4</v>
      </c>
      <c r="BG11" s="142">
        <f t="shared" si="9"/>
        <v>4</v>
      </c>
      <c r="BH11" s="142">
        <f t="shared" si="9"/>
        <v>4</v>
      </c>
      <c r="BI11" s="142">
        <f t="shared" si="9"/>
        <v>4</v>
      </c>
      <c r="BJ11" s="142">
        <f t="shared" si="9"/>
        <v>4</v>
      </c>
      <c r="BK11" s="142">
        <f t="shared" si="9"/>
        <v>4</v>
      </c>
      <c r="BL11" s="142">
        <f t="shared" si="9"/>
        <v>5</v>
      </c>
      <c r="BM11" s="142">
        <f t="shared" si="9"/>
        <v>5</v>
      </c>
      <c r="BN11" s="142">
        <f t="shared" si="9"/>
        <v>5</v>
      </c>
      <c r="BO11" s="142">
        <f t="shared" si="9"/>
        <v>5</v>
      </c>
      <c r="BP11" s="142">
        <f t="shared" si="9"/>
        <v>5</v>
      </c>
      <c r="BQ11" s="142">
        <f t="shared" si="9"/>
        <v>5</v>
      </c>
      <c r="BR11" s="142">
        <f t="shared" si="9"/>
        <v>5</v>
      </c>
      <c r="BS11" s="142">
        <f t="shared" si="9"/>
        <v>5</v>
      </c>
      <c r="BT11" s="142">
        <f t="shared" si="9"/>
        <v>5</v>
      </c>
      <c r="BU11" s="142">
        <f t="shared" si="9"/>
        <v>5</v>
      </c>
      <c r="BV11" s="142">
        <f t="shared" si="9"/>
        <v>5</v>
      </c>
      <c r="BW11" s="142">
        <f t="shared" si="9"/>
        <v>5</v>
      </c>
      <c r="BX11" s="142">
        <f t="shared" si="9"/>
        <v>6</v>
      </c>
      <c r="BY11" s="142">
        <f t="shared" si="9"/>
        <v>6</v>
      </c>
      <c r="BZ11" s="142">
        <f t="shared" si="9"/>
        <v>6</v>
      </c>
      <c r="CA11" s="142">
        <f t="shared" si="9"/>
        <v>6</v>
      </c>
      <c r="CB11" s="142">
        <f t="shared" si="9"/>
        <v>6</v>
      </c>
      <c r="CC11" s="142">
        <f t="shared" ref="CC11:EN11" si="10">ROUNDUP(CC10/12,0)</f>
        <v>6</v>
      </c>
      <c r="CD11" s="142">
        <f t="shared" si="10"/>
        <v>6</v>
      </c>
      <c r="CE11" s="142">
        <f t="shared" si="10"/>
        <v>6</v>
      </c>
      <c r="CF11" s="142">
        <f t="shared" si="10"/>
        <v>6</v>
      </c>
      <c r="CG11" s="142">
        <f t="shared" si="10"/>
        <v>6</v>
      </c>
      <c r="CH11" s="142">
        <f t="shared" si="10"/>
        <v>6</v>
      </c>
      <c r="CI11" s="142">
        <f t="shared" si="10"/>
        <v>6</v>
      </c>
      <c r="CJ11" s="142">
        <f t="shared" si="10"/>
        <v>7</v>
      </c>
      <c r="CK11" s="142">
        <f t="shared" si="10"/>
        <v>7</v>
      </c>
      <c r="CL11" s="142">
        <f t="shared" si="10"/>
        <v>7</v>
      </c>
      <c r="CM11" s="142">
        <f t="shared" si="10"/>
        <v>7</v>
      </c>
      <c r="CN11" s="142">
        <f t="shared" si="10"/>
        <v>7</v>
      </c>
      <c r="CO11" s="142">
        <f t="shared" si="10"/>
        <v>7</v>
      </c>
      <c r="CP11" s="142">
        <f t="shared" si="10"/>
        <v>7</v>
      </c>
      <c r="CQ11" s="142">
        <f t="shared" si="10"/>
        <v>7</v>
      </c>
      <c r="CR11" s="142">
        <f t="shared" si="10"/>
        <v>7</v>
      </c>
      <c r="CS11" s="142">
        <f t="shared" si="10"/>
        <v>7</v>
      </c>
      <c r="CT11" s="142">
        <f t="shared" si="10"/>
        <v>7</v>
      </c>
      <c r="CU11" s="142">
        <f t="shared" si="10"/>
        <v>7</v>
      </c>
      <c r="CV11" s="142">
        <f t="shared" si="10"/>
        <v>8</v>
      </c>
      <c r="CW11" s="142">
        <f t="shared" si="10"/>
        <v>8</v>
      </c>
      <c r="CX11" s="142">
        <f t="shared" si="10"/>
        <v>8</v>
      </c>
      <c r="CY11" s="142">
        <f t="shared" si="10"/>
        <v>8</v>
      </c>
      <c r="CZ11" s="142">
        <f t="shared" si="10"/>
        <v>8</v>
      </c>
      <c r="DA11" s="142">
        <f t="shared" si="10"/>
        <v>8</v>
      </c>
      <c r="DB11" s="142">
        <f t="shared" si="10"/>
        <v>8</v>
      </c>
      <c r="DC11" s="142">
        <f t="shared" si="10"/>
        <v>8</v>
      </c>
      <c r="DD11" s="142">
        <f t="shared" si="10"/>
        <v>8</v>
      </c>
      <c r="DE11" s="142">
        <f t="shared" si="10"/>
        <v>8</v>
      </c>
      <c r="DF11" s="142">
        <f t="shared" si="10"/>
        <v>8</v>
      </c>
      <c r="DG11" s="142">
        <f t="shared" si="10"/>
        <v>8</v>
      </c>
      <c r="DH11" s="142">
        <f t="shared" si="10"/>
        <v>9</v>
      </c>
      <c r="DI11" s="142">
        <f t="shared" si="10"/>
        <v>9</v>
      </c>
      <c r="DJ11" s="142">
        <f t="shared" si="10"/>
        <v>9</v>
      </c>
      <c r="DK11" s="142">
        <f t="shared" si="10"/>
        <v>9</v>
      </c>
      <c r="DL11" s="142">
        <f t="shared" si="10"/>
        <v>9</v>
      </c>
      <c r="DM11" s="142">
        <f t="shared" si="10"/>
        <v>9</v>
      </c>
      <c r="DN11" s="142">
        <f t="shared" si="10"/>
        <v>9</v>
      </c>
      <c r="DO11" s="142">
        <f t="shared" si="10"/>
        <v>9</v>
      </c>
      <c r="DP11" s="142">
        <f t="shared" si="10"/>
        <v>9</v>
      </c>
      <c r="DQ11" s="142">
        <f t="shared" si="10"/>
        <v>9</v>
      </c>
      <c r="DR11" s="142">
        <f t="shared" si="10"/>
        <v>9</v>
      </c>
      <c r="DS11" s="142">
        <f t="shared" si="10"/>
        <v>9</v>
      </c>
      <c r="DT11" s="142">
        <f t="shared" si="10"/>
        <v>10</v>
      </c>
      <c r="DU11" s="142">
        <f t="shared" si="10"/>
        <v>10</v>
      </c>
      <c r="DV11" s="142">
        <f t="shared" si="10"/>
        <v>10</v>
      </c>
      <c r="DW11" s="142">
        <f t="shared" si="10"/>
        <v>10</v>
      </c>
      <c r="DX11" s="142">
        <f t="shared" si="10"/>
        <v>10</v>
      </c>
      <c r="DY11" s="142">
        <f t="shared" si="10"/>
        <v>10</v>
      </c>
      <c r="DZ11" s="142">
        <f t="shared" si="10"/>
        <v>10</v>
      </c>
      <c r="EA11" s="142">
        <f t="shared" si="10"/>
        <v>10</v>
      </c>
      <c r="EB11" s="142">
        <f t="shared" si="10"/>
        <v>10</v>
      </c>
      <c r="EC11" s="142">
        <f t="shared" si="10"/>
        <v>10</v>
      </c>
      <c r="ED11" s="142">
        <f t="shared" si="10"/>
        <v>10</v>
      </c>
      <c r="EE11" s="142">
        <f t="shared" si="10"/>
        <v>10</v>
      </c>
      <c r="EF11" s="142">
        <f t="shared" si="10"/>
        <v>11</v>
      </c>
      <c r="EG11" s="142">
        <f t="shared" si="10"/>
        <v>11</v>
      </c>
      <c r="EH11" s="142">
        <f t="shared" si="10"/>
        <v>11</v>
      </c>
      <c r="EI11" s="142">
        <f t="shared" si="10"/>
        <v>11</v>
      </c>
      <c r="EJ11" s="142">
        <f t="shared" si="10"/>
        <v>11</v>
      </c>
      <c r="EK11" s="142">
        <f t="shared" si="10"/>
        <v>11</v>
      </c>
      <c r="EL11" s="142">
        <f t="shared" si="10"/>
        <v>11</v>
      </c>
      <c r="EM11" s="142">
        <f t="shared" si="10"/>
        <v>11</v>
      </c>
      <c r="EN11" s="142">
        <f t="shared" si="10"/>
        <v>11</v>
      </c>
      <c r="EO11" s="142">
        <f>ROUNDUP(EO10/12,0)</f>
        <v>11</v>
      </c>
      <c r="EP11" s="142">
        <f>ROUNDUP(EP10/12,0)</f>
        <v>11</v>
      </c>
      <c r="EQ11" s="142">
        <f>ROUNDUP(EQ10/12,0)</f>
        <v>11</v>
      </c>
      <c r="ES11" s="421"/>
      <c r="ET11" s="63"/>
      <c r="EU11" s="72"/>
    </row>
    <row r="12" spans="1:151" ht="19.5" customHeight="1">
      <c r="A12" s="65"/>
      <c r="B12" s="617">
        <f>Assumptions!J21</f>
        <v>9</v>
      </c>
      <c r="C12" s="618">
        <f>Assumptions!N21</f>
        <v>0</v>
      </c>
      <c r="D12" s="618">
        <f>SUM(DH36:DS36)</f>
        <v>0</v>
      </c>
      <c r="E12" s="619" t="str">
        <f>IF(SUM(DH36:DS36)-C12=0,"OK","Fix Schedule")</f>
        <v>OK</v>
      </c>
      <c r="F12" s="633"/>
      <c r="G12" s="73"/>
      <c r="H12" s="74" t="s">
        <v>143</v>
      </c>
      <c r="I12" s="75"/>
      <c r="J12" s="476"/>
      <c r="K12" s="76"/>
      <c r="L12" s="77"/>
      <c r="M12" s="77"/>
      <c r="N12" s="209">
        <f>N35/SF/12</f>
        <v>1.2576719576719577</v>
      </c>
      <c r="O12" s="77">
        <v>0</v>
      </c>
      <c r="P12" s="77">
        <f>P35/SF</f>
        <v>1.2817460317460319</v>
      </c>
      <c r="Q12" s="77">
        <f>IF(Q11-P11&gt;0,P12*(1+VLOOKUP(Q11,Assumptions!$J$13:$L$23,3,FALSE)),P12)</f>
        <v>1.2817460317460319</v>
      </c>
      <c r="R12" s="77">
        <f>IF(R11-Q11&gt;0,Q12*(1+VLOOKUP(R11,Assumptions!$J$13:$L$23,3,FALSE)),Q12)</f>
        <v>1.2817460317460319</v>
      </c>
      <c r="S12" s="77">
        <f>IF(S11-R11&gt;0,R12*(1+VLOOKUP(S11,Assumptions!$J$13:$L$23,3,FALSE)),R12)</f>
        <v>1.2817460317460319</v>
      </c>
      <c r="T12" s="77">
        <f>IF(T11-S11&gt;0,S12*(1+VLOOKUP(T11,Assumptions!$J$13:$L$23,3,FALSE)),S12)</f>
        <v>1.2817460317460319</v>
      </c>
      <c r="U12" s="77">
        <f>IF(U11-T11&gt;0,T12*(1+VLOOKUP(U11,Assumptions!$J$13:$L$23,3,FALSE)),T12)</f>
        <v>1.2817460317460319</v>
      </c>
      <c r="V12" s="77">
        <f>IF(V11-U11&gt;0,U12*(1+VLOOKUP(V11,Assumptions!$J$13:$L$23,3,FALSE)),U12)</f>
        <v>1.2817460317460319</v>
      </c>
      <c r="W12" s="77">
        <f>IF(W11-V11&gt;0,V12*(1+VLOOKUP(W11,Assumptions!$J$13:$L$23,3,FALSE)),V12)</f>
        <v>1.2817460317460319</v>
      </c>
      <c r="X12" s="77">
        <f>IF(X11-W11&gt;0,W12*(1+VLOOKUP(X11,Assumptions!$J$13:$L$23,3,FALSE)),W12)</f>
        <v>1.2817460317460319</v>
      </c>
      <c r="Y12" s="77">
        <f>IF(Y11-X11&gt;0,X12*(1+VLOOKUP(Y11,Assumptions!$J$13:$L$23,3,FALSE)),X12)</f>
        <v>1.2817460317460319</v>
      </c>
      <c r="Z12" s="77">
        <f>IF(Z11-Y11&gt;0,Y12*(1+VLOOKUP(Z11,Assumptions!$J$13:$L$23,3,FALSE)),Y12)</f>
        <v>1.2817460317460319</v>
      </c>
      <c r="AA12" s="77">
        <f>IF(AA11-Z11&gt;0,Z12*(1+VLOOKUP(AA11,Assumptions!$J$13:$L$23,3,FALSE)),Z12)</f>
        <v>1.2817460317460319</v>
      </c>
      <c r="AB12" s="77">
        <f>IF(AB11-AA11&gt;0,AA12*(1+VLOOKUP(AB11,Assumptions!$J$13:$L$23,3,FALSE)),AA12)</f>
        <v>1.3419880952380954</v>
      </c>
      <c r="AC12" s="77">
        <f>IF(AC11-AB11&gt;0,AB12*(1+VLOOKUP(AC11,Assumptions!$J$13:$L$23,3,FALSE)),AB12)</f>
        <v>1.3419880952380954</v>
      </c>
      <c r="AD12" s="77">
        <f>IF(AD11-AC11&gt;0,AC12*(1+VLOOKUP(AD11,Assumptions!$J$13:$L$23,3,FALSE)),AC12)</f>
        <v>1.3419880952380954</v>
      </c>
      <c r="AE12" s="77">
        <f>IF(AE11-AD11&gt;0,AD12*(1+VLOOKUP(AE11,Assumptions!$J$13:$L$23,3,FALSE)),AD12)</f>
        <v>1.3419880952380954</v>
      </c>
      <c r="AF12" s="77">
        <f>IF(AF11-AE11&gt;0,AE12*(1+VLOOKUP(AF11,Assumptions!$J$13:$L$23,3,FALSE)),AE12)</f>
        <v>1.3419880952380954</v>
      </c>
      <c r="AG12" s="77">
        <f>IF(AG11-AF11&gt;0,AF12*(1+VLOOKUP(AG11,Assumptions!$J$13:$L$23,3,FALSE)),AF12)</f>
        <v>1.3419880952380954</v>
      </c>
      <c r="AH12" s="77">
        <f>IF(AH11-AG11&gt;0,AG12*(1+VLOOKUP(AH11,Assumptions!$J$13:$L$23,3,FALSE)),AG12)</f>
        <v>1.3419880952380954</v>
      </c>
      <c r="AI12" s="77">
        <f>IF(AI11-AH11&gt;0,AH12*(1+VLOOKUP(AI11,Assumptions!$J$13:$L$23,3,FALSE)),AH12)</f>
        <v>1.3419880952380954</v>
      </c>
      <c r="AJ12" s="77">
        <f>IF(AJ11-AI11&gt;0,AI12*(1+VLOOKUP(AJ11,Assumptions!$J$13:$L$23,3,FALSE)),AI12)</f>
        <v>1.3419880952380954</v>
      </c>
      <c r="AK12" s="77">
        <f>IF(AK11-AJ11&gt;0,AJ12*(1+VLOOKUP(AK11,Assumptions!$J$13:$L$23,3,FALSE)),AJ12)</f>
        <v>1.3419880952380954</v>
      </c>
      <c r="AL12" s="77">
        <f>IF(AL11-AK11&gt;0,AK12*(1+VLOOKUP(AL11,Assumptions!$J$13:$L$23,3,FALSE)),AK12)</f>
        <v>1.3419880952380954</v>
      </c>
      <c r="AM12" s="77">
        <f>IF(AM11-AL11&gt;0,AL12*(1+VLOOKUP(AM11,Assumptions!$J$13:$L$23,3,FALSE)),AL12)</f>
        <v>1.3419880952380954</v>
      </c>
      <c r="AN12" s="77">
        <f>IF(AN11-AM11&gt;0,AM12*(1+VLOOKUP(AN11,Assumptions!$J$13:$L$23,3,FALSE)),AM12)</f>
        <v>1.4050615357142857</v>
      </c>
      <c r="AO12" s="77">
        <f>IF(AO11-AN11&gt;0,AN12*(1+VLOOKUP(AO11,Assumptions!$J$13:$L$23,3,FALSE)),AN12)</f>
        <v>1.4050615357142857</v>
      </c>
      <c r="AP12" s="77">
        <f>IF(AP11-AO11&gt;0,AO12*(1+VLOOKUP(AP11,Assumptions!$J$13:$L$23,3,FALSE)),AO12)</f>
        <v>1.4050615357142857</v>
      </c>
      <c r="AQ12" s="77">
        <f>IF(AQ11-AP11&gt;0,AP12*(1+VLOOKUP(AQ11,Assumptions!$J$13:$L$23,3,FALSE)),AP12)</f>
        <v>1.4050615357142857</v>
      </c>
      <c r="AR12" s="77">
        <f>IF(AR11-AQ11&gt;0,AQ12*(1+VLOOKUP(AR11,Assumptions!$J$13:$L$23,3,FALSE)),AQ12)</f>
        <v>1.4050615357142857</v>
      </c>
      <c r="AS12" s="77">
        <f>IF(AS11-AR11&gt;0,AR12*(1+VLOOKUP(AS11,Assumptions!$J$13:$L$23,3,FALSE)),AR12)</f>
        <v>1.4050615357142857</v>
      </c>
      <c r="AT12" s="77">
        <f>IF(AT11-AS11&gt;0,AS12*(1+VLOOKUP(AT11,Assumptions!$J$13:$L$23,3,FALSE)),AS12)</f>
        <v>1.4050615357142857</v>
      </c>
      <c r="AU12" s="77">
        <f>IF(AU11-AT11&gt;0,AT12*(1+VLOOKUP(AU11,Assumptions!$J$13:$L$23,3,FALSE)),AT12)</f>
        <v>1.4050615357142857</v>
      </c>
      <c r="AV12" s="77">
        <f>IF(AV11-AU11&gt;0,AU12*(1+VLOOKUP(AV11,Assumptions!$J$13:$L$23,3,FALSE)),AU12)</f>
        <v>1.4050615357142857</v>
      </c>
      <c r="AW12" s="77">
        <f>IF(AW11-AV11&gt;0,AV12*(1+VLOOKUP(AW11,Assumptions!$J$13:$L$23,3,FALSE)),AV12)</f>
        <v>1.4050615357142857</v>
      </c>
      <c r="AX12" s="77">
        <f>IF(AX11-AW11&gt;0,AW12*(1+VLOOKUP(AX11,Assumptions!$J$13:$L$23,3,FALSE)),AW12)</f>
        <v>1.4050615357142857</v>
      </c>
      <c r="AY12" s="77">
        <f>IF(AY11-AX11&gt;0,AX12*(1+VLOOKUP(AY11,Assumptions!$J$13:$L$23,3,FALSE)),AX12)</f>
        <v>1.4050615357142857</v>
      </c>
      <c r="AZ12" s="77">
        <f>IF(AZ11-AY11&gt;0,AY12*(1+VLOOKUP(AZ11,Assumptions!$J$13:$L$23,3,FALSE)),AY12)</f>
        <v>1.451428566392857</v>
      </c>
      <c r="BA12" s="77">
        <f>IF(BA11-AZ11&gt;0,AZ12*(1+VLOOKUP(BA11,Assumptions!$J$13:$L$23,3,FALSE)),AZ12)</f>
        <v>1.451428566392857</v>
      </c>
      <c r="BB12" s="77">
        <f>IF(BB11-BA11&gt;0,BA12*(1+VLOOKUP(BB11,Assumptions!$J$13:$L$23,3,FALSE)),BA12)</f>
        <v>1.451428566392857</v>
      </c>
      <c r="BC12" s="77">
        <f>IF(BC11-BB11&gt;0,BB12*(1+VLOOKUP(BC11,Assumptions!$J$13:$L$23,3,FALSE)),BB12)</f>
        <v>1.451428566392857</v>
      </c>
      <c r="BD12" s="77">
        <f>IF(BD11-BC11&gt;0,BC12*(1+VLOOKUP(BD11,Assumptions!$J$13:$L$23,3,FALSE)),BC12)</f>
        <v>1.451428566392857</v>
      </c>
      <c r="BE12" s="77">
        <f>IF(BE11-BD11&gt;0,BD12*(1+VLOOKUP(BE11,Assumptions!$J$13:$L$23,3,FALSE)),BD12)</f>
        <v>1.451428566392857</v>
      </c>
      <c r="BF12" s="77">
        <f>IF(BF11-BE11&gt;0,BE12*(1+VLOOKUP(BF11,Assumptions!$J$13:$L$23,3,FALSE)),BE12)</f>
        <v>1.451428566392857</v>
      </c>
      <c r="BG12" s="77">
        <f>IF(BG11-BF11&gt;0,BF12*(1+VLOOKUP(BG11,Assumptions!$J$13:$L$23,3,FALSE)),BF12)</f>
        <v>1.451428566392857</v>
      </c>
      <c r="BH12" s="77">
        <f>IF(BH11-BG11&gt;0,BG12*(1+VLOOKUP(BH11,Assumptions!$J$13:$L$23,3,FALSE)),BG12)</f>
        <v>1.451428566392857</v>
      </c>
      <c r="BI12" s="77">
        <f>IF(BI11-BH11&gt;0,BH12*(1+VLOOKUP(BI11,Assumptions!$J$13:$L$23,3,FALSE)),BH12)</f>
        <v>1.451428566392857</v>
      </c>
      <c r="BJ12" s="77">
        <f>IF(BJ11-BI11&gt;0,BI12*(1+VLOOKUP(BJ11,Assumptions!$J$13:$L$23,3,FALSE)),BI12)</f>
        <v>1.451428566392857</v>
      </c>
      <c r="BK12" s="77">
        <f>IF(BK11-BJ11&gt;0,BJ12*(1+VLOOKUP(BK11,Assumptions!$J$13:$L$23,3,FALSE)),BJ12)</f>
        <v>1.451428566392857</v>
      </c>
      <c r="BL12" s="77">
        <f>IF(BL11-BK11&gt;0,BK12*(1+VLOOKUP(BL11,Assumptions!$J$13:$L$23,3,FALSE)),BK12)</f>
        <v>1.490617137685464</v>
      </c>
      <c r="BM12" s="77">
        <f>IF(BM11-BL11&gt;0,BL12*(1+VLOOKUP(BM11,Assumptions!$J$13:$L$23,3,FALSE)),BL12)</f>
        <v>1.490617137685464</v>
      </c>
      <c r="BN12" s="77">
        <f>IF(BN11-BM11&gt;0,BM12*(1+VLOOKUP(BN11,Assumptions!$J$13:$L$23,3,FALSE)),BM12)</f>
        <v>1.490617137685464</v>
      </c>
      <c r="BO12" s="77">
        <f>IF(BO11-BN11&gt;0,BN12*(1+VLOOKUP(BO11,Assumptions!$J$13:$L$23,3,FALSE)),BN12)</f>
        <v>1.490617137685464</v>
      </c>
      <c r="BP12" s="77">
        <f>IF(BP11-BO11&gt;0,BO12*(1+VLOOKUP(BP11,Assumptions!$J$13:$L$23,3,FALSE)),BO12)</f>
        <v>1.490617137685464</v>
      </c>
      <c r="BQ12" s="77">
        <f>IF(BQ11-BP11&gt;0,BP12*(1+VLOOKUP(BQ11,Assumptions!$J$13:$L$23,3,FALSE)),BP12)</f>
        <v>1.490617137685464</v>
      </c>
      <c r="BR12" s="77">
        <f>IF(BR11-BQ11&gt;0,BQ12*(1+VLOOKUP(BR11,Assumptions!$J$13:$L$23,3,FALSE)),BQ12)</f>
        <v>1.490617137685464</v>
      </c>
      <c r="BS12" s="77">
        <f>IF(BS11-BR11&gt;0,BR12*(1+VLOOKUP(BS11,Assumptions!$J$13:$L$23,3,FALSE)),BR12)</f>
        <v>1.490617137685464</v>
      </c>
      <c r="BT12" s="77">
        <f>IF(BT11-BS11&gt;0,BS12*(1+VLOOKUP(BT11,Assumptions!$J$13:$L$23,3,FALSE)),BS12)</f>
        <v>1.490617137685464</v>
      </c>
      <c r="BU12" s="77">
        <f>IF(BU11-BT11&gt;0,BT12*(1+VLOOKUP(BU11,Assumptions!$J$13:$L$23,3,FALSE)),BT12)</f>
        <v>1.490617137685464</v>
      </c>
      <c r="BV12" s="77">
        <f>IF(BV11-BU11&gt;0,BU12*(1+VLOOKUP(BV11,Assumptions!$J$13:$L$23,3,FALSE)),BU12)</f>
        <v>1.490617137685464</v>
      </c>
      <c r="BW12" s="77">
        <f>IF(BW11-BV11&gt;0,BV12*(1+VLOOKUP(BW11,Assumptions!$J$13:$L$23,3,FALSE)),BV12)</f>
        <v>1.490617137685464</v>
      </c>
      <c r="BX12" s="77">
        <f>IF(BX11-BW11&gt;0,BW12*(1+VLOOKUP(BX11,Assumptions!$J$13:$L$23,3,FALSE)),BW12)</f>
        <v>1.5353356518160279</v>
      </c>
      <c r="BY12" s="77">
        <f>IF(BY11-BX11&gt;0,BX12*(1+VLOOKUP(BY11,Assumptions!$J$13:$L$23,3,FALSE)),BX12)</f>
        <v>1.5353356518160279</v>
      </c>
      <c r="BZ12" s="77">
        <f>IF(BZ11-BY11&gt;0,BY12*(1+VLOOKUP(BZ11,Assumptions!$J$13:$L$23,3,FALSE)),BY12)</f>
        <v>1.5353356518160279</v>
      </c>
      <c r="CA12" s="77">
        <f>IF(CA11-BZ11&gt;0,BZ12*(1+VLOOKUP(CA11,Assumptions!$J$13:$L$23,3,FALSE)),BZ12)</f>
        <v>1.5353356518160279</v>
      </c>
      <c r="CB12" s="77">
        <f>IF(CB11-CA11&gt;0,CA12*(1+VLOOKUP(CB11,Assumptions!$J$13:$L$23,3,FALSE)),CA12)</f>
        <v>1.5353356518160279</v>
      </c>
      <c r="CC12" s="77">
        <f>IF(CC11-CB11&gt;0,CB12*(1+VLOOKUP(CC11,Assumptions!$J$13:$L$23,3,FALSE)),CB12)</f>
        <v>1.5353356518160279</v>
      </c>
      <c r="CD12" s="77">
        <f>IF(CD11-CC11&gt;0,CC12*(1+VLOOKUP(CD11,Assumptions!$J$13:$L$23,3,FALSE)),CC12)</f>
        <v>1.5353356518160279</v>
      </c>
      <c r="CE12" s="77">
        <f>IF(CE11-CD11&gt;0,CD12*(1+VLOOKUP(CE11,Assumptions!$J$13:$L$23,3,FALSE)),CD12)</f>
        <v>1.5353356518160279</v>
      </c>
      <c r="CF12" s="77">
        <f>IF(CF11-CE11&gt;0,CE12*(1+VLOOKUP(CF11,Assumptions!$J$13:$L$23,3,FALSE)),CE12)</f>
        <v>1.5353356518160279</v>
      </c>
      <c r="CG12" s="77">
        <f>IF(CG11-CF11&gt;0,CF12*(1+VLOOKUP(CG11,Assumptions!$J$13:$L$23,3,FALSE)),CF12)</f>
        <v>1.5353356518160279</v>
      </c>
      <c r="CH12" s="77">
        <f>IF(CH11-CG11&gt;0,CG12*(1+VLOOKUP(CH11,Assumptions!$J$13:$L$23,3,FALSE)),CG12)</f>
        <v>1.5353356518160279</v>
      </c>
      <c r="CI12" s="77">
        <f>IF(CI11-CH11&gt;0,CH12*(1+VLOOKUP(CI11,Assumptions!$J$13:$L$23,3,FALSE)),CH12)</f>
        <v>1.5353356518160279</v>
      </c>
      <c r="CJ12" s="77">
        <f>IF(CJ11-CI11&gt;0,CI12*(1+VLOOKUP(CJ11,Assumptions!$J$13:$L$23,3,FALSE)),CI12)</f>
        <v>1.5813957213705088</v>
      </c>
      <c r="CK12" s="77">
        <f>IF(CK11-CJ11&gt;0,CJ12*(1+VLOOKUP(CK11,Assumptions!$J$13:$L$23,3,FALSE)),CJ12)</f>
        <v>1.5813957213705088</v>
      </c>
      <c r="CL12" s="77">
        <f>IF(CL11-CK11&gt;0,CK12*(1+VLOOKUP(CL11,Assumptions!$J$13:$L$23,3,FALSE)),CK12)</f>
        <v>1.5813957213705088</v>
      </c>
      <c r="CM12" s="77">
        <f>IF(CM11-CL11&gt;0,CL12*(1+VLOOKUP(CM11,Assumptions!$J$13:$L$23,3,FALSE)),CL12)</f>
        <v>1.5813957213705088</v>
      </c>
      <c r="CN12" s="77">
        <f>IF(CN11-CM11&gt;0,CM12*(1+VLOOKUP(CN11,Assumptions!$J$13:$L$23,3,FALSE)),CM12)</f>
        <v>1.5813957213705088</v>
      </c>
      <c r="CO12" s="77">
        <f>IF(CO11-CN11&gt;0,CN12*(1+VLOOKUP(CO11,Assumptions!$J$13:$L$23,3,FALSE)),CN12)</f>
        <v>1.5813957213705088</v>
      </c>
      <c r="CP12" s="77">
        <f>IF(CP11-CO11&gt;0,CO12*(1+VLOOKUP(CP11,Assumptions!$J$13:$L$23,3,FALSE)),CO12)</f>
        <v>1.5813957213705088</v>
      </c>
      <c r="CQ12" s="77">
        <f>IF(CQ11-CP11&gt;0,CP12*(1+VLOOKUP(CQ11,Assumptions!$J$13:$L$23,3,FALSE)),CP12)</f>
        <v>1.5813957213705088</v>
      </c>
      <c r="CR12" s="77">
        <f>IF(CR11-CQ11&gt;0,CQ12*(1+VLOOKUP(CR11,Assumptions!$J$13:$L$23,3,FALSE)),CQ12)</f>
        <v>1.5813957213705088</v>
      </c>
      <c r="CS12" s="77">
        <f>IF(CS11-CR11&gt;0,CR12*(1+VLOOKUP(CS11,Assumptions!$J$13:$L$23,3,FALSE)),CR12)</f>
        <v>1.5813957213705088</v>
      </c>
      <c r="CT12" s="77">
        <f>IF(CT11-CS11&gt;0,CS12*(1+VLOOKUP(CT11,Assumptions!$J$13:$L$23,3,FALSE)),CS12)</f>
        <v>1.5813957213705088</v>
      </c>
      <c r="CU12" s="77">
        <f>IF(CU11-CT11&gt;0,CT12*(1+VLOOKUP(CU11,Assumptions!$J$13:$L$23,3,FALSE)),CT12)</f>
        <v>1.5813957213705088</v>
      </c>
      <c r="CV12" s="77">
        <f>IF(CV11-CU11&gt;0,CU12*(1+VLOOKUP(CV11,Assumptions!$J$13:$L$23,3,FALSE)),CU12)</f>
        <v>1.6288375930116241</v>
      </c>
      <c r="CW12" s="77">
        <f>IF(CW11-CV11&gt;0,CV12*(1+VLOOKUP(CW11,Assumptions!$J$13:$L$23,3,FALSE)),CV12)</f>
        <v>1.6288375930116241</v>
      </c>
      <c r="CX12" s="77">
        <f>IF(CX11-CW11&gt;0,CW12*(1+VLOOKUP(CX11,Assumptions!$J$13:$L$23,3,FALSE)),CW12)</f>
        <v>1.6288375930116241</v>
      </c>
      <c r="CY12" s="77">
        <f>IF(CY11-CX11&gt;0,CX12*(1+VLOOKUP(CY11,Assumptions!$J$13:$L$23,3,FALSE)),CX12)</f>
        <v>1.6288375930116241</v>
      </c>
      <c r="CZ12" s="77">
        <f>IF(CZ11-CY11&gt;0,CY12*(1+VLOOKUP(CZ11,Assumptions!$J$13:$L$23,3,FALSE)),CY12)</f>
        <v>1.6288375930116241</v>
      </c>
      <c r="DA12" s="77">
        <f>IF(DA11-CZ11&gt;0,CZ12*(1+VLOOKUP(DA11,Assumptions!$J$13:$L$23,3,FALSE)),CZ12)</f>
        <v>1.6288375930116241</v>
      </c>
      <c r="DB12" s="77">
        <f>IF(DB11-DA11&gt;0,DA12*(1+VLOOKUP(DB11,Assumptions!$J$13:$L$23,3,FALSE)),DA12)</f>
        <v>1.6288375930116241</v>
      </c>
      <c r="DC12" s="77">
        <f>IF(DC11-DB11&gt;0,DB12*(1+VLOOKUP(DC11,Assumptions!$J$13:$L$23,3,FALSE)),DB12)</f>
        <v>1.6288375930116241</v>
      </c>
      <c r="DD12" s="77">
        <f>IF(DD11-DC11&gt;0,DC12*(1+VLOOKUP(DD11,Assumptions!$J$13:$L$23,3,FALSE)),DC12)</f>
        <v>1.6288375930116241</v>
      </c>
      <c r="DE12" s="77">
        <f>IF(DE11-DD11&gt;0,DD12*(1+VLOOKUP(DE11,Assumptions!$J$13:$L$23,3,FALSE)),DD12)</f>
        <v>1.6288375930116241</v>
      </c>
      <c r="DF12" s="77">
        <f>IF(DF11-DE11&gt;0,DE12*(1+VLOOKUP(DF11,Assumptions!$J$13:$L$23,3,FALSE)),DE12)</f>
        <v>1.6288375930116241</v>
      </c>
      <c r="DG12" s="77">
        <f>IF(DG11-DF11&gt;0,DF12*(1+VLOOKUP(DG11,Assumptions!$J$13:$L$23,3,FALSE)),DF12)</f>
        <v>1.6288375930116241</v>
      </c>
      <c r="DH12" s="77">
        <f>IF(DH11-DG11&gt;0,DG12*(1+VLOOKUP(DH11,Assumptions!$J$13:$L$23,3,FALSE)),DG12)</f>
        <v>1.6777027208019728</v>
      </c>
      <c r="DI12" s="77">
        <f>IF(DI11-DH11&gt;0,DH12*(1+VLOOKUP(DI11,Assumptions!$J$13:$L$23,3,FALSE)),DH12)</f>
        <v>1.6777027208019728</v>
      </c>
      <c r="DJ12" s="77">
        <f>IF(DJ11-DI11&gt;0,DI12*(1+VLOOKUP(DJ11,Assumptions!$J$13:$L$23,3,FALSE)),DI12)</f>
        <v>1.6777027208019728</v>
      </c>
      <c r="DK12" s="77">
        <f>IF(DK11-DJ11&gt;0,DJ12*(1+VLOOKUP(DK11,Assumptions!$J$13:$L$23,3,FALSE)),DJ12)</f>
        <v>1.6777027208019728</v>
      </c>
      <c r="DL12" s="77">
        <f>IF(DL11-DK11&gt;0,DK12*(1+VLOOKUP(DL11,Assumptions!$J$13:$L$23,3,FALSE)),DK12)</f>
        <v>1.6777027208019728</v>
      </c>
      <c r="DM12" s="77">
        <f>IF(DM11-DL11&gt;0,DL12*(1+VLOOKUP(DM11,Assumptions!$J$13:$L$23,3,FALSE)),DL12)</f>
        <v>1.6777027208019728</v>
      </c>
      <c r="DN12" s="77">
        <f>IF(DN11-DM11&gt;0,DM12*(1+VLOOKUP(DN11,Assumptions!$J$13:$L$23,3,FALSE)),DM12)</f>
        <v>1.6777027208019728</v>
      </c>
      <c r="DO12" s="77">
        <f>IF(DO11-DN11&gt;0,DN12*(1+VLOOKUP(DO11,Assumptions!$J$13:$L$23,3,FALSE)),DN12)</f>
        <v>1.6777027208019728</v>
      </c>
      <c r="DP12" s="77">
        <f>IF(DP11-DO11&gt;0,DO12*(1+VLOOKUP(DP11,Assumptions!$J$13:$L$23,3,FALSE)),DO12)</f>
        <v>1.6777027208019728</v>
      </c>
      <c r="DQ12" s="77">
        <f>IF(DQ11-DP11&gt;0,DP12*(1+VLOOKUP(DQ11,Assumptions!$J$13:$L$23,3,FALSE)),DP12)</f>
        <v>1.6777027208019728</v>
      </c>
      <c r="DR12" s="77">
        <f>IF(DR11-DQ11&gt;0,DQ12*(1+VLOOKUP(DR11,Assumptions!$J$13:$L$23,3,FALSE)),DQ12)</f>
        <v>1.6777027208019728</v>
      </c>
      <c r="DS12" s="77">
        <f>IF(DS11-DR11&gt;0,DR12*(1+VLOOKUP(DS11,Assumptions!$J$13:$L$23,3,FALSE)),DR12)</f>
        <v>1.6777027208019728</v>
      </c>
      <c r="DT12" s="77">
        <f>IF(DT11-DS11&gt;0,DS12*(1+VLOOKUP(DT11,Assumptions!$J$13:$L$23,3,FALSE)),DS12)</f>
        <v>1.728033802426032</v>
      </c>
      <c r="DU12" s="77">
        <f>IF(DU11-DT11&gt;0,DT12*(1+VLOOKUP(DU11,Assumptions!$J$13:$L$23,3,FALSE)),DT12)</f>
        <v>1.728033802426032</v>
      </c>
      <c r="DV12" s="77">
        <f>IF(DV11-DU11&gt;0,DU12*(1+VLOOKUP(DV11,Assumptions!$J$13:$L$23,3,FALSE)),DU12)</f>
        <v>1.728033802426032</v>
      </c>
      <c r="DW12" s="77">
        <f>IF(DW11-DV11&gt;0,DV12*(1+VLOOKUP(DW11,Assumptions!$J$13:$L$23,3,FALSE)),DV12)</f>
        <v>1.728033802426032</v>
      </c>
      <c r="DX12" s="77">
        <f>IF(DX11-DW11&gt;0,DW12*(1+VLOOKUP(DX11,Assumptions!$J$13:$L$23,3,FALSE)),DW12)</f>
        <v>1.728033802426032</v>
      </c>
      <c r="DY12" s="77">
        <f>IF(DY11-DX11&gt;0,DX12*(1+VLOOKUP(DY11,Assumptions!$J$13:$L$23,3,FALSE)),DX12)</f>
        <v>1.728033802426032</v>
      </c>
      <c r="DZ12" s="77">
        <f>IF(DZ11-DY11&gt;0,DY12*(1+VLOOKUP(DZ11,Assumptions!$J$13:$L$23,3,FALSE)),DY12)</f>
        <v>1.728033802426032</v>
      </c>
      <c r="EA12" s="77">
        <f>IF(EA11-DZ11&gt;0,DZ12*(1+VLOOKUP(EA11,Assumptions!$J$13:$L$23,3,FALSE)),DZ12)</f>
        <v>1.728033802426032</v>
      </c>
      <c r="EB12" s="77">
        <f>IF(EB11-EA11&gt;0,EA12*(1+VLOOKUP(EB11,Assumptions!$J$13:$L$23,3,FALSE)),EA12)</f>
        <v>1.728033802426032</v>
      </c>
      <c r="EC12" s="77">
        <f>IF(EC11-EB11&gt;0,EB12*(1+VLOOKUP(EC11,Assumptions!$J$13:$L$23,3,FALSE)),EB12)</f>
        <v>1.728033802426032</v>
      </c>
      <c r="ED12" s="77">
        <f>IF(ED11-EC11&gt;0,EC12*(1+VLOOKUP(ED11,Assumptions!$J$13:$L$23,3,FALSE)),EC12)</f>
        <v>1.728033802426032</v>
      </c>
      <c r="EE12" s="77">
        <f>IF(EE11-ED11&gt;0,ED12*(1+VLOOKUP(EE11,Assumptions!$J$13:$L$23,3,FALSE)),ED12)</f>
        <v>1.728033802426032</v>
      </c>
      <c r="EF12" s="77">
        <f>IF(EF11-EE11&gt;0,EE12*(1+VLOOKUP(EF11,Assumptions!$J$13:$L$23,3,FALSE)),EE12)</f>
        <v>1.779874816498813</v>
      </c>
      <c r="EG12" s="77">
        <f>IF(EG11-EF11&gt;0,EF12*(1+VLOOKUP(EG11,Assumptions!$J$13:$L$23,3,FALSE)),EF12)</f>
        <v>1.779874816498813</v>
      </c>
      <c r="EH12" s="77">
        <f>IF(EH11-EG11&gt;0,EG12*(1+VLOOKUP(EH11,Assumptions!$J$13:$L$23,3,FALSE)),EG12)</f>
        <v>1.779874816498813</v>
      </c>
      <c r="EI12" s="77">
        <f>IF(EI11-EH11&gt;0,EH12*(1+VLOOKUP(EI11,Assumptions!$J$13:$L$23,3,FALSE)),EH12)</f>
        <v>1.779874816498813</v>
      </c>
      <c r="EJ12" s="77">
        <f>IF(EJ11-EI11&gt;0,EI12*(1+VLOOKUP(EJ11,Assumptions!$J$13:$L$23,3,FALSE)),EI12)</f>
        <v>1.779874816498813</v>
      </c>
      <c r="EK12" s="77">
        <f>IF(EK11-EJ11&gt;0,EJ12*(1+VLOOKUP(EK11,Assumptions!$J$13:$L$23,3,FALSE)),EJ12)</f>
        <v>1.779874816498813</v>
      </c>
      <c r="EL12" s="77">
        <f>IF(EL11-EK11&gt;0,EK12*(1+VLOOKUP(EL11,Assumptions!$J$13:$L$23,3,FALSE)),EK12)</f>
        <v>1.779874816498813</v>
      </c>
      <c r="EM12" s="77">
        <f>IF(EM11-EL11&gt;0,EL12*(1+VLOOKUP(EM11,Assumptions!$J$13:$L$23,3,FALSE)),EL12)</f>
        <v>1.779874816498813</v>
      </c>
      <c r="EN12" s="77">
        <f>IF(EN11-EM11&gt;0,EM12*(1+VLOOKUP(EN11,Assumptions!$J$13:$L$23,3,FALSE)),EM12)</f>
        <v>1.779874816498813</v>
      </c>
      <c r="EO12" s="77">
        <f>IF(EO11-EN11&gt;0,EN12*(1+VLOOKUP(EO11,Assumptions!$J$13:$L$23,3,FALSE)),EN12)</f>
        <v>1.779874816498813</v>
      </c>
      <c r="EP12" s="77">
        <f>IF(EP11-EO11&gt;0,EO12*(1+VLOOKUP(EP11,Assumptions!$J$13:$L$23,3,FALSE)),EO12)</f>
        <v>1.779874816498813</v>
      </c>
      <c r="EQ12" s="77">
        <f>IF(EQ11-EP11&gt;0,EP12*(1+VLOOKUP(EQ11,Assumptions!$J$13:$L$23,3,FALSE)),EP12)</f>
        <v>1.779874816498813</v>
      </c>
      <c r="ER12" s="78"/>
      <c r="ES12" s="421"/>
      <c r="ET12" s="63"/>
      <c r="EU12" s="79"/>
    </row>
    <row r="13" spans="1:151" ht="15.75">
      <c r="A13" s="65"/>
      <c r="B13" s="617">
        <f>Assumptions!J22</f>
        <v>10</v>
      </c>
      <c r="C13" s="618">
        <f>Assumptions!N22</f>
        <v>0</v>
      </c>
      <c r="D13" s="618">
        <f>SUM(DT36:EE36)</f>
        <v>0</v>
      </c>
      <c r="E13" s="619" t="str">
        <f>IF(SUM(DT36:EE36)-C13=0,"OK","Fix Schedule")</f>
        <v>OK</v>
      </c>
      <c r="F13" s="633"/>
      <c r="G13" s="73"/>
      <c r="H13" s="74" t="s">
        <v>144</v>
      </c>
      <c r="I13" s="75"/>
      <c r="J13" s="477"/>
      <c r="K13" s="80"/>
      <c r="L13" s="81"/>
      <c r="M13" s="81"/>
      <c r="N13" s="210"/>
      <c r="O13" s="81">
        <v>0</v>
      </c>
      <c r="P13" s="82">
        <f t="shared" ref="P13:AU13" ca="1" si="11">P43/unit</f>
        <v>0</v>
      </c>
      <c r="Q13" s="82">
        <f t="shared" ca="1" si="11"/>
        <v>0</v>
      </c>
      <c r="R13" s="82">
        <f t="shared" ca="1" si="11"/>
        <v>0</v>
      </c>
      <c r="S13" s="82">
        <f t="shared" ca="1" si="11"/>
        <v>0</v>
      </c>
      <c r="T13" s="82">
        <f t="shared" ca="1" si="11"/>
        <v>3.3333333333333335</v>
      </c>
      <c r="U13" s="82">
        <f t="shared" ca="1" si="11"/>
        <v>16.666666666666668</v>
      </c>
      <c r="V13" s="82">
        <f t="shared" ca="1" si="11"/>
        <v>33.333333333333336</v>
      </c>
      <c r="W13" s="82">
        <f t="shared" ca="1" si="11"/>
        <v>33.333333333333336</v>
      </c>
      <c r="X13" s="82">
        <f t="shared" ca="1" si="11"/>
        <v>33.333333333333336</v>
      </c>
      <c r="Y13" s="82">
        <f t="shared" ca="1" si="11"/>
        <v>33.333333333333336</v>
      </c>
      <c r="Z13" s="82">
        <f t="shared" ca="1" si="11"/>
        <v>33.333333333333336</v>
      </c>
      <c r="AA13" s="82">
        <f t="shared" ca="1" si="11"/>
        <v>33.333333333333336</v>
      </c>
      <c r="AB13" s="82">
        <f t="shared" ca="1" si="11"/>
        <v>36.086599999999997</v>
      </c>
      <c r="AC13" s="82">
        <f t="shared" ca="1" si="11"/>
        <v>36.086599999999997</v>
      </c>
      <c r="AD13" s="82">
        <f t="shared" ca="1" si="11"/>
        <v>36.086599999999997</v>
      </c>
      <c r="AE13" s="82">
        <f t="shared" ca="1" si="11"/>
        <v>54.129899999999999</v>
      </c>
      <c r="AF13" s="82">
        <f t="shared" ca="1" si="11"/>
        <v>72.173199999999994</v>
      </c>
      <c r="AG13" s="82">
        <f t="shared" ca="1" si="11"/>
        <v>72.173199999999994</v>
      </c>
      <c r="AH13" s="82">
        <f t="shared" ca="1" si="11"/>
        <v>90.216499999999996</v>
      </c>
      <c r="AI13" s="82">
        <f t="shared" ca="1" si="11"/>
        <v>90.216499999999996</v>
      </c>
      <c r="AJ13" s="82">
        <f t="shared" ca="1" si="11"/>
        <v>90.216499999999996</v>
      </c>
      <c r="AK13" s="82">
        <f t="shared" ca="1" si="11"/>
        <v>90.216499999999996</v>
      </c>
      <c r="AL13" s="82">
        <f t="shared" ca="1" si="11"/>
        <v>90.216499999999996</v>
      </c>
      <c r="AM13" s="82">
        <f t="shared" ca="1" si="11"/>
        <v>90.216499999999996</v>
      </c>
      <c r="AN13" s="82">
        <f t="shared" ca="1" si="11"/>
        <v>94.456675500000003</v>
      </c>
      <c r="AO13" s="82">
        <f t="shared" ca="1" si="11"/>
        <v>94.456675500000003</v>
      </c>
      <c r="AP13" s="82">
        <f t="shared" ca="1" si="11"/>
        <v>94.456675500000003</v>
      </c>
      <c r="AQ13" s="82">
        <f t="shared" ca="1" si="11"/>
        <v>94.456675500000003</v>
      </c>
      <c r="AR13" s="82">
        <f t="shared" ca="1" si="11"/>
        <v>94.456675500000003</v>
      </c>
      <c r="AS13" s="82">
        <f t="shared" ca="1" si="11"/>
        <v>94.456675500000003</v>
      </c>
      <c r="AT13" s="82">
        <f t="shared" ca="1" si="11"/>
        <v>109.56974357999999</v>
      </c>
      <c r="AU13" s="82">
        <f t="shared" ca="1" si="11"/>
        <v>109.56974357999999</v>
      </c>
      <c r="AV13" s="82">
        <f t="shared" ref="AV13:CA13" ca="1" si="12">AV43/unit</f>
        <v>113.34801059999999</v>
      </c>
      <c r="AW13" s="82">
        <f t="shared" ca="1" si="12"/>
        <v>113.34801059999999</v>
      </c>
      <c r="AX13" s="82">
        <f t="shared" ca="1" si="12"/>
        <v>113.34801059999999</v>
      </c>
      <c r="AY13" s="82">
        <f t="shared" ca="1" si="12"/>
        <v>113.34801059999999</v>
      </c>
      <c r="AZ13" s="82">
        <f t="shared" ca="1" si="12"/>
        <v>117.08849494979998</v>
      </c>
      <c r="BA13" s="82">
        <f t="shared" ca="1" si="12"/>
        <v>117.08849494979998</v>
      </c>
      <c r="BB13" s="82">
        <f t="shared" ca="1" si="12"/>
        <v>117.08849494979998</v>
      </c>
      <c r="BC13" s="82">
        <f t="shared" ca="1" si="12"/>
        <v>117.08849494979998</v>
      </c>
      <c r="BD13" s="82">
        <f t="shared" ca="1" si="12"/>
        <v>117.08849494979998</v>
      </c>
      <c r="BE13" s="82">
        <f t="shared" ca="1" si="12"/>
        <v>117.08849494979998</v>
      </c>
      <c r="BF13" s="82">
        <f t="shared" ca="1" si="12"/>
        <v>117.08849494979998</v>
      </c>
      <c r="BG13" s="82">
        <f t="shared" ca="1" si="12"/>
        <v>117.08849494979998</v>
      </c>
      <c r="BH13" s="82">
        <f t="shared" ca="1" si="12"/>
        <v>117.08849494979998</v>
      </c>
      <c r="BI13" s="82">
        <f t="shared" ca="1" si="12"/>
        <v>117.08849494979998</v>
      </c>
      <c r="BJ13" s="82">
        <f t="shared" ca="1" si="12"/>
        <v>117.08849494979998</v>
      </c>
      <c r="BK13" s="82">
        <f t="shared" ca="1" si="12"/>
        <v>117.08849494979998</v>
      </c>
      <c r="BL13" s="82">
        <f t="shared" ca="1" si="12"/>
        <v>120.24988431344455</v>
      </c>
      <c r="BM13" s="82">
        <f t="shared" ca="1" si="12"/>
        <v>120.24988431344455</v>
      </c>
      <c r="BN13" s="82">
        <f t="shared" ca="1" si="12"/>
        <v>120.24988431344455</v>
      </c>
      <c r="BO13" s="82">
        <f t="shared" ca="1" si="12"/>
        <v>120.24988431344455</v>
      </c>
      <c r="BP13" s="82">
        <f t="shared" ca="1" si="12"/>
        <v>120.24988431344455</v>
      </c>
      <c r="BQ13" s="82">
        <f t="shared" ca="1" si="12"/>
        <v>120.24988431344455</v>
      </c>
      <c r="BR13" s="82">
        <f t="shared" ca="1" si="12"/>
        <v>120.24988431344455</v>
      </c>
      <c r="BS13" s="82">
        <f t="shared" ca="1" si="12"/>
        <v>120.24988431344455</v>
      </c>
      <c r="BT13" s="82">
        <f t="shared" ca="1" si="12"/>
        <v>120.24988431344455</v>
      </c>
      <c r="BU13" s="82">
        <f t="shared" ca="1" si="12"/>
        <v>120.24988431344455</v>
      </c>
      <c r="BV13" s="82">
        <f t="shared" ca="1" si="12"/>
        <v>120.24988431344455</v>
      </c>
      <c r="BW13" s="82">
        <f t="shared" ca="1" si="12"/>
        <v>120.24988431344455</v>
      </c>
      <c r="BX13" s="82">
        <f t="shared" ca="1" si="12"/>
        <v>123.8573808428479</v>
      </c>
      <c r="BY13" s="82">
        <f t="shared" ca="1" si="12"/>
        <v>123.8573808428479</v>
      </c>
      <c r="BZ13" s="82">
        <f t="shared" ca="1" si="12"/>
        <v>123.8573808428479</v>
      </c>
      <c r="CA13" s="82">
        <f t="shared" ca="1" si="12"/>
        <v>123.8573808428479</v>
      </c>
      <c r="CB13" s="82">
        <f t="shared" ref="CB13:DG13" ca="1" si="13">CB43/unit</f>
        <v>123.8573808428479</v>
      </c>
      <c r="CC13" s="82">
        <f t="shared" ca="1" si="13"/>
        <v>123.8573808428479</v>
      </c>
      <c r="CD13" s="82">
        <f t="shared" ca="1" si="13"/>
        <v>123.8573808428479</v>
      </c>
      <c r="CE13" s="82">
        <f t="shared" ca="1" si="13"/>
        <v>123.8573808428479</v>
      </c>
      <c r="CF13" s="82">
        <f t="shared" ca="1" si="13"/>
        <v>123.8573808428479</v>
      </c>
      <c r="CG13" s="82">
        <f t="shared" ca="1" si="13"/>
        <v>123.8573808428479</v>
      </c>
      <c r="CH13" s="82">
        <f t="shared" ca="1" si="13"/>
        <v>123.8573808428479</v>
      </c>
      <c r="CI13" s="82">
        <f t="shared" ca="1" si="13"/>
        <v>123.8573808428479</v>
      </c>
      <c r="CJ13" s="82">
        <f t="shared" ca="1" si="13"/>
        <v>127.57310226813335</v>
      </c>
      <c r="CK13" s="82">
        <f t="shared" ca="1" si="13"/>
        <v>127.57310226813335</v>
      </c>
      <c r="CL13" s="82">
        <f t="shared" ca="1" si="13"/>
        <v>127.57310226813335</v>
      </c>
      <c r="CM13" s="82">
        <f t="shared" ca="1" si="13"/>
        <v>127.57310226813335</v>
      </c>
      <c r="CN13" s="82">
        <f t="shared" ca="1" si="13"/>
        <v>127.57310226813335</v>
      </c>
      <c r="CO13" s="82">
        <f t="shared" ca="1" si="13"/>
        <v>127.57310226813335</v>
      </c>
      <c r="CP13" s="82">
        <f t="shared" ca="1" si="13"/>
        <v>127.57310226813335</v>
      </c>
      <c r="CQ13" s="82">
        <f t="shared" ca="1" si="13"/>
        <v>127.57310226813335</v>
      </c>
      <c r="CR13" s="82">
        <f t="shared" ca="1" si="13"/>
        <v>127.57310226813335</v>
      </c>
      <c r="CS13" s="82">
        <f t="shared" ca="1" si="13"/>
        <v>127.57310226813335</v>
      </c>
      <c r="CT13" s="82">
        <f t="shared" ca="1" si="13"/>
        <v>127.57310226813335</v>
      </c>
      <c r="CU13" s="82">
        <f t="shared" ca="1" si="13"/>
        <v>127.57310226813335</v>
      </c>
      <c r="CV13" s="82">
        <f t="shared" ca="1" si="13"/>
        <v>131.40029533617732</v>
      </c>
      <c r="CW13" s="82">
        <f t="shared" ca="1" si="13"/>
        <v>131.40029533617732</v>
      </c>
      <c r="CX13" s="82">
        <f t="shared" ca="1" si="13"/>
        <v>131.40029533617732</v>
      </c>
      <c r="CY13" s="82">
        <f t="shared" ca="1" si="13"/>
        <v>131.40029533617732</v>
      </c>
      <c r="CZ13" s="82">
        <f t="shared" ca="1" si="13"/>
        <v>131.40029533617732</v>
      </c>
      <c r="DA13" s="82">
        <f t="shared" ca="1" si="13"/>
        <v>131.40029533617732</v>
      </c>
      <c r="DB13" s="82">
        <f t="shared" ca="1" si="13"/>
        <v>131.40029533617732</v>
      </c>
      <c r="DC13" s="82">
        <f t="shared" ca="1" si="13"/>
        <v>131.40029533617732</v>
      </c>
      <c r="DD13" s="82">
        <f t="shared" ca="1" si="13"/>
        <v>131.40029533617732</v>
      </c>
      <c r="DE13" s="82">
        <f t="shared" ca="1" si="13"/>
        <v>131.40029533617732</v>
      </c>
      <c r="DF13" s="82">
        <f t="shared" ca="1" si="13"/>
        <v>131.40029533617732</v>
      </c>
      <c r="DG13" s="82">
        <f t="shared" ca="1" si="13"/>
        <v>131.40029533617732</v>
      </c>
      <c r="DH13" s="82">
        <f t="shared" ref="DH13:EQ13" ca="1" si="14">DH43/unit</f>
        <v>135.34230419626269</v>
      </c>
      <c r="DI13" s="82">
        <f t="shared" ca="1" si="14"/>
        <v>135.34230419626269</v>
      </c>
      <c r="DJ13" s="82">
        <f t="shared" ca="1" si="14"/>
        <v>135.34230419626269</v>
      </c>
      <c r="DK13" s="82">
        <f t="shared" ca="1" si="14"/>
        <v>0</v>
      </c>
      <c r="DL13" s="82">
        <f t="shared" ca="1" si="14"/>
        <v>0</v>
      </c>
      <c r="DM13" s="82">
        <f t="shared" ca="1" si="14"/>
        <v>0</v>
      </c>
      <c r="DN13" s="82">
        <f t="shared" ca="1" si="14"/>
        <v>0</v>
      </c>
      <c r="DO13" s="82">
        <f t="shared" ca="1" si="14"/>
        <v>0</v>
      </c>
      <c r="DP13" s="82">
        <f t="shared" ca="1" si="14"/>
        <v>0</v>
      </c>
      <c r="DQ13" s="82">
        <f t="shared" ca="1" si="14"/>
        <v>0</v>
      </c>
      <c r="DR13" s="82">
        <f t="shared" ca="1" si="14"/>
        <v>0</v>
      </c>
      <c r="DS13" s="82">
        <f t="shared" ca="1" si="14"/>
        <v>0</v>
      </c>
      <c r="DT13" s="82">
        <f t="shared" ca="1" si="14"/>
        <v>0</v>
      </c>
      <c r="DU13" s="82">
        <f t="shared" ca="1" si="14"/>
        <v>0</v>
      </c>
      <c r="DV13" s="82">
        <f t="shared" ca="1" si="14"/>
        <v>0</v>
      </c>
      <c r="DW13" s="82">
        <f t="shared" ca="1" si="14"/>
        <v>0</v>
      </c>
      <c r="DX13" s="82">
        <f t="shared" ca="1" si="14"/>
        <v>0</v>
      </c>
      <c r="DY13" s="82">
        <f t="shared" ca="1" si="14"/>
        <v>0</v>
      </c>
      <c r="DZ13" s="82">
        <f t="shared" ca="1" si="14"/>
        <v>0</v>
      </c>
      <c r="EA13" s="82">
        <f t="shared" ca="1" si="14"/>
        <v>0</v>
      </c>
      <c r="EB13" s="82">
        <f t="shared" ca="1" si="14"/>
        <v>0</v>
      </c>
      <c r="EC13" s="82">
        <f t="shared" ca="1" si="14"/>
        <v>0</v>
      </c>
      <c r="ED13" s="82">
        <f t="shared" ca="1" si="14"/>
        <v>0</v>
      </c>
      <c r="EE13" s="82">
        <f t="shared" ca="1" si="14"/>
        <v>0</v>
      </c>
      <c r="EF13" s="82">
        <f t="shared" ca="1" si="14"/>
        <v>0</v>
      </c>
      <c r="EG13" s="82">
        <f t="shared" ca="1" si="14"/>
        <v>0</v>
      </c>
      <c r="EH13" s="82">
        <f t="shared" ca="1" si="14"/>
        <v>0</v>
      </c>
      <c r="EI13" s="82">
        <f t="shared" ca="1" si="14"/>
        <v>0</v>
      </c>
      <c r="EJ13" s="82">
        <f t="shared" ca="1" si="14"/>
        <v>0</v>
      </c>
      <c r="EK13" s="82">
        <f t="shared" ca="1" si="14"/>
        <v>0</v>
      </c>
      <c r="EL13" s="82">
        <f t="shared" ca="1" si="14"/>
        <v>0</v>
      </c>
      <c r="EM13" s="82">
        <f t="shared" ca="1" si="14"/>
        <v>0</v>
      </c>
      <c r="EN13" s="82">
        <f t="shared" ca="1" si="14"/>
        <v>0</v>
      </c>
      <c r="EO13" s="82">
        <f t="shared" ca="1" si="14"/>
        <v>0</v>
      </c>
      <c r="EP13" s="82">
        <f t="shared" ca="1" si="14"/>
        <v>0</v>
      </c>
      <c r="EQ13" s="82">
        <f t="shared" ca="1" si="14"/>
        <v>0</v>
      </c>
      <c r="ER13" s="78"/>
      <c r="ES13" s="421"/>
      <c r="ET13" s="63"/>
      <c r="EU13" s="79"/>
    </row>
    <row r="14" spans="1:151" ht="15.75">
      <c r="A14" s="65"/>
      <c r="B14" s="620">
        <f>Assumptions!J23</f>
        <v>11</v>
      </c>
      <c r="C14" s="621">
        <f>Assumptions!N23</f>
        <v>0</v>
      </c>
      <c r="D14" s="621">
        <f>SUM(EF36:EQ36)</f>
        <v>0</v>
      </c>
      <c r="E14" s="622" t="str">
        <f>IF(SUM(EF36:EQ36)-C14=0,"OK","Fix Schedule")</f>
        <v>OK</v>
      </c>
      <c r="F14" s="633"/>
      <c r="G14" s="73"/>
      <c r="H14" s="74" t="s">
        <v>80</v>
      </c>
      <c r="I14" s="75"/>
      <c r="J14" s="478"/>
      <c r="K14" s="83"/>
      <c r="L14" s="5"/>
      <c r="M14" s="5"/>
      <c r="N14" s="682">
        <f>P12/N12-1</f>
        <v>1.9141775347076173E-2</v>
      </c>
      <c r="O14" s="5">
        <v>0</v>
      </c>
      <c r="P14" s="5">
        <f>VLOOKUP(P11,Assumptions!$J$13:$L$23,3,FALSE)</f>
        <v>3.4000000000000002E-2</v>
      </c>
      <c r="Q14" s="5">
        <f>VLOOKUP(Q11,Assumptions!$J$13:$L$23,3,FALSE)</f>
        <v>3.4000000000000002E-2</v>
      </c>
      <c r="R14" s="5">
        <f>VLOOKUP(R11,Assumptions!$J$13:$L$23,3,FALSE)</f>
        <v>3.4000000000000002E-2</v>
      </c>
      <c r="S14" s="5">
        <f>VLOOKUP(S11,Assumptions!$J$13:$L$23,3,FALSE)</f>
        <v>3.4000000000000002E-2</v>
      </c>
      <c r="T14" s="5">
        <f>VLOOKUP(T11,Assumptions!$J$13:$L$23,3,FALSE)</f>
        <v>3.4000000000000002E-2</v>
      </c>
      <c r="U14" s="5">
        <f>VLOOKUP(U11,Assumptions!$J$13:$L$23,3,FALSE)</f>
        <v>3.4000000000000002E-2</v>
      </c>
      <c r="V14" s="5">
        <f>VLOOKUP(V11,Assumptions!$J$13:$L$23,3,FALSE)</f>
        <v>3.4000000000000002E-2</v>
      </c>
      <c r="W14" s="5">
        <f>VLOOKUP(W11,Assumptions!$J$13:$L$23,3,FALSE)</f>
        <v>3.4000000000000002E-2</v>
      </c>
      <c r="X14" s="5">
        <f>VLOOKUP(X11,Assumptions!$J$13:$L$23,3,FALSE)</f>
        <v>3.4000000000000002E-2</v>
      </c>
      <c r="Y14" s="5">
        <f>VLOOKUP(Y11,Assumptions!$J$13:$L$23,3,FALSE)</f>
        <v>3.4000000000000002E-2</v>
      </c>
      <c r="Z14" s="5">
        <f>VLOOKUP(Z11,Assumptions!$J$13:$L$23,3,FALSE)</f>
        <v>3.4000000000000002E-2</v>
      </c>
      <c r="AA14" s="5">
        <f>VLOOKUP(AA11,Assumptions!$J$13:$L$23,3,FALSE)</f>
        <v>3.4000000000000002E-2</v>
      </c>
      <c r="AB14" s="5">
        <f>VLOOKUP(AB11,Assumptions!$J$13:$L$23,3,FALSE)</f>
        <v>4.7E-2</v>
      </c>
      <c r="AC14" s="5">
        <f>VLOOKUP(AC11,Assumptions!$J$13:$L$23,3,FALSE)</f>
        <v>4.7E-2</v>
      </c>
      <c r="AD14" s="5">
        <f>VLOOKUP(AD11,Assumptions!$J$13:$L$23,3,FALSE)</f>
        <v>4.7E-2</v>
      </c>
      <c r="AE14" s="5">
        <f>VLOOKUP(AE11,Assumptions!$J$13:$L$23,3,FALSE)</f>
        <v>4.7E-2</v>
      </c>
      <c r="AF14" s="5">
        <f>VLOOKUP(AF11,Assumptions!$J$13:$L$23,3,FALSE)</f>
        <v>4.7E-2</v>
      </c>
      <c r="AG14" s="5">
        <f>VLOOKUP(AG11,Assumptions!$J$13:$L$23,3,FALSE)</f>
        <v>4.7E-2</v>
      </c>
      <c r="AH14" s="5">
        <f>VLOOKUP(AH11,Assumptions!$J$13:$L$23,3,FALSE)</f>
        <v>4.7E-2</v>
      </c>
      <c r="AI14" s="5">
        <f>VLOOKUP(AI11,Assumptions!$J$13:$L$23,3,FALSE)</f>
        <v>4.7E-2</v>
      </c>
      <c r="AJ14" s="5">
        <f>VLOOKUP(AJ11,Assumptions!$J$13:$L$23,3,FALSE)</f>
        <v>4.7E-2</v>
      </c>
      <c r="AK14" s="5">
        <f>VLOOKUP(AK11,Assumptions!$J$13:$L$23,3,FALSE)</f>
        <v>4.7E-2</v>
      </c>
      <c r="AL14" s="5">
        <f>VLOOKUP(AL11,Assumptions!$J$13:$L$23,3,FALSE)</f>
        <v>4.7E-2</v>
      </c>
      <c r="AM14" s="5">
        <f>VLOOKUP(AM11,Assumptions!$J$13:$L$23,3,FALSE)</f>
        <v>4.7E-2</v>
      </c>
      <c r="AN14" s="5">
        <f>VLOOKUP(AN11,Assumptions!$J$13:$L$23,3,FALSE)</f>
        <v>4.7E-2</v>
      </c>
      <c r="AO14" s="5">
        <f>VLOOKUP(AO11,Assumptions!$J$13:$L$23,3,FALSE)</f>
        <v>4.7E-2</v>
      </c>
      <c r="AP14" s="5">
        <f>VLOOKUP(AP11,Assumptions!$J$13:$L$23,3,FALSE)</f>
        <v>4.7E-2</v>
      </c>
      <c r="AQ14" s="5">
        <f>VLOOKUP(AQ11,Assumptions!$J$13:$L$23,3,FALSE)</f>
        <v>4.7E-2</v>
      </c>
      <c r="AR14" s="5">
        <f>VLOOKUP(AR11,Assumptions!$J$13:$L$23,3,FALSE)</f>
        <v>4.7E-2</v>
      </c>
      <c r="AS14" s="5">
        <f>VLOOKUP(AS11,Assumptions!$J$13:$L$23,3,FALSE)</f>
        <v>4.7E-2</v>
      </c>
      <c r="AT14" s="5">
        <f>VLOOKUP(AT11,Assumptions!$J$13:$L$23,3,FALSE)</f>
        <v>4.7E-2</v>
      </c>
      <c r="AU14" s="5">
        <f>VLOOKUP(AU11,Assumptions!$J$13:$L$23,3,FALSE)</f>
        <v>4.7E-2</v>
      </c>
      <c r="AV14" s="5">
        <f>VLOOKUP(AV11,Assumptions!$J$13:$L$23,3,FALSE)</f>
        <v>4.7E-2</v>
      </c>
      <c r="AW14" s="5">
        <f>VLOOKUP(AW11,Assumptions!$J$13:$L$23,3,FALSE)</f>
        <v>4.7E-2</v>
      </c>
      <c r="AX14" s="5">
        <f>VLOOKUP(AX11,Assumptions!$J$13:$L$23,3,FALSE)</f>
        <v>4.7E-2</v>
      </c>
      <c r="AY14" s="5">
        <f>VLOOKUP(AY11,Assumptions!$J$13:$L$23,3,FALSE)</f>
        <v>4.7E-2</v>
      </c>
      <c r="AZ14" s="5">
        <f>VLOOKUP(AZ11,Assumptions!$J$13:$L$23,3,FALSE)</f>
        <v>3.3000000000000002E-2</v>
      </c>
      <c r="BA14" s="5">
        <f>VLOOKUP(BA11,Assumptions!$J$13:$L$23,3,FALSE)</f>
        <v>3.3000000000000002E-2</v>
      </c>
      <c r="BB14" s="5">
        <f>VLOOKUP(BB11,Assumptions!$J$13:$L$23,3,FALSE)</f>
        <v>3.3000000000000002E-2</v>
      </c>
      <c r="BC14" s="5">
        <f>VLOOKUP(BC11,Assumptions!$J$13:$L$23,3,FALSE)</f>
        <v>3.3000000000000002E-2</v>
      </c>
      <c r="BD14" s="5">
        <f>VLOOKUP(BD11,Assumptions!$J$13:$L$23,3,FALSE)</f>
        <v>3.3000000000000002E-2</v>
      </c>
      <c r="BE14" s="5">
        <f>VLOOKUP(BE11,Assumptions!$J$13:$L$23,3,FALSE)</f>
        <v>3.3000000000000002E-2</v>
      </c>
      <c r="BF14" s="5">
        <f>VLOOKUP(BF11,Assumptions!$J$13:$L$23,3,FALSE)</f>
        <v>3.3000000000000002E-2</v>
      </c>
      <c r="BG14" s="5">
        <f>VLOOKUP(BG11,Assumptions!$J$13:$L$23,3,FALSE)</f>
        <v>3.3000000000000002E-2</v>
      </c>
      <c r="BH14" s="5">
        <f>VLOOKUP(BH11,Assumptions!$J$13:$L$23,3,FALSE)</f>
        <v>3.3000000000000002E-2</v>
      </c>
      <c r="BI14" s="5">
        <f>VLOOKUP(BI11,Assumptions!$J$13:$L$23,3,FALSE)</f>
        <v>3.3000000000000002E-2</v>
      </c>
      <c r="BJ14" s="5">
        <f>VLOOKUP(BJ11,Assumptions!$J$13:$L$23,3,FALSE)</f>
        <v>3.3000000000000002E-2</v>
      </c>
      <c r="BK14" s="5">
        <f>VLOOKUP(BK11,Assumptions!$J$13:$L$23,3,FALSE)</f>
        <v>3.3000000000000002E-2</v>
      </c>
      <c r="BL14" s="5">
        <f>VLOOKUP(BL11,Assumptions!$J$13:$L$23,3,FALSE)</f>
        <v>2.7E-2</v>
      </c>
      <c r="BM14" s="5">
        <f>VLOOKUP(BM11,Assumptions!$J$13:$L$23,3,FALSE)</f>
        <v>2.7E-2</v>
      </c>
      <c r="BN14" s="5">
        <f>VLOOKUP(BN11,Assumptions!$J$13:$L$23,3,FALSE)</f>
        <v>2.7E-2</v>
      </c>
      <c r="BO14" s="5">
        <f>VLOOKUP(BO11,Assumptions!$J$13:$L$23,3,FALSE)</f>
        <v>2.7E-2</v>
      </c>
      <c r="BP14" s="5">
        <f>VLOOKUP(BP11,Assumptions!$J$13:$L$23,3,FALSE)</f>
        <v>2.7E-2</v>
      </c>
      <c r="BQ14" s="5">
        <f>VLOOKUP(BQ11,Assumptions!$J$13:$L$23,3,FALSE)</f>
        <v>2.7E-2</v>
      </c>
      <c r="BR14" s="5">
        <f>VLOOKUP(BR11,Assumptions!$J$13:$L$23,3,FALSE)</f>
        <v>2.7E-2</v>
      </c>
      <c r="BS14" s="5">
        <f>VLOOKUP(BS11,Assumptions!$J$13:$L$23,3,FALSE)</f>
        <v>2.7E-2</v>
      </c>
      <c r="BT14" s="5">
        <f>VLOOKUP(BT11,Assumptions!$J$13:$L$23,3,FALSE)</f>
        <v>2.7E-2</v>
      </c>
      <c r="BU14" s="5">
        <f>VLOOKUP(BU11,Assumptions!$J$13:$L$23,3,FALSE)</f>
        <v>2.7E-2</v>
      </c>
      <c r="BV14" s="5">
        <f>VLOOKUP(BV11,Assumptions!$J$13:$L$23,3,FALSE)</f>
        <v>2.7E-2</v>
      </c>
      <c r="BW14" s="5">
        <f>VLOOKUP(BW11,Assumptions!$J$13:$L$23,3,FALSE)</f>
        <v>2.7E-2</v>
      </c>
      <c r="BX14" s="5">
        <f>VLOOKUP(BX11,Assumptions!$J$13:$L$23,3,FALSE)</f>
        <v>0.03</v>
      </c>
      <c r="BY14" s="5">
        <f>VLOOKUP(BY11,Assumptions!$J$13:$L$23,3,FALSE)</f>
        <v>0.03</v>
      </c>
      <c r="BZ14" s="5">
        <f>VLOOKUP(BZ11,Assumptions!$J$13:$L$23,3,FALSE)</f>
        <v>0.03</v>
      </c>
      <c r="CA14" s="5">
        <f>VLOOKUP(CA11,Assumptions!$J$13:$L$23,3,FALSE)</f>
        <v>0.03</v>
      </c>
      <c r="CB14" s="5">
        <f>VLOOKUP(CB11,Assumptions!$J$13:$L$23,3,FALSE)</f>
        <v>0.03</v>
      </c>
      <c r="CC14" s="5">
        <f>VLOOKUP(CC11,Assumptions!$J$13:$L$23,3,FALSE)</f>
        <v>0.03</v>
      </c>
      <c r="CD14" s="5">
        <f>VLOOKUP(CD11,Assumptions!$J$13:$L$23,3,FALSE)</f>
        <v>0.03</v>
      </c>
      <c r="CE14" s="5">
        <f>VLOOKUP(CE11,Assumptions!$J$13:$L$23,3,FALSE)</f>
        <v>0.03</v>
      </c>
      <c r="CF14" s="5">
        <f>VLOOKUP(CF11,Assumptions!$J$13:$L$23,3,FALSE)</f>
        <v>0.03</v>
      </c>
      <c r="CG14" s="5">
        <f>VLOOKUP(CG11,Assumptions!$J$13:$L$23,3,FALSE)</f>
        <v>0.03</v>
      </c>
      <c r="CH14" s="5">
        <f>VLOOKUP(CH11,Assumptions!$J$13:$L$23,3,FALSE)</f>
        <v>0.03</v>
      </c>
      <c r="CI14" s="5">
        <f>VLOOKUP(CI11,Assumptions!$J$13:$L$23,3,FALSE)</f>
        <v>0.03</v>
      </c>
      <c r="CJ14" s="5">
        <f>VLOOKUP(CJ11,Assumptions!$J$13:$L$23,3,FALSE)</f>
        <v>0.03</v>
      </c>
      <c r="CK14" s="5">
        <f>VLOOKUP(CK11,Assumptions!$J$13:$L$23,3,FALSE)</f>
        <v>0.03</v>
      </c>
      <c r="CL14" s="5">
        <f>VLOOKUP(CL11,Assumptions!$J$13:$L$23,3,FALSE)</f>
        <v>0.03</v>
      </c>
      <c r="CM14" s="5">
        <f>VLOOKUP(CM11,Assumptions!$J$13:$L$23,3,FALSE)</f>
        <v>0.03</v>
      </c>
      <c r="CN14" s="5">
        <f>VLOOKUP(CN11,Assumptions!$J$13:$L$23,3,FALSE)</f>
        <v>0.03</v>
      </c>
      <c r="CO14" s="5">
        <f>VLOOKUP(CO11,Assumptions!$J$13:$L$23,3,FALSE)</f>
        <v>0.03</v>
      </c>
      <c r="CP14" s="5">
        <f>VLOOKUP(CP11,Assumptions!$J$13:$L$23,3,FALSE)</f>
        <v>0.03</v>
      </c>
      <c r="CQ14" s="5">
        <f>VLOOKUP(CQ11,Assumptions!$J$13:$L$23,3,FALSE)</f>
        <v>0.03</v>
      </c>
      <c r="CR14" s="5">
        <f>VLOOKUP(CR11,Assumptions!$J$13:$L$23,3,FALSE)</f>
        <v>0.03</v>
      </c>
      <c r="CS14" s="5">
        <f>VLOOKUP(CS11,Assumptions!$J$13:$L$23,3,FALSE)</f>
        <v>0.03</v>
      </c>
      <c r="CT14" s="5">
        <f>VLOOKUP(CT11,Assumptions!$J$13:$L$23,3,FALSE)</f>
        <v>0.03</v>
      </c>
      <c r="CU14" s="5">
        <f>VLOOKUP(CU11,Assumptions!$J$13:$L$23,3,FALSE)</f>
        <v>0.03</v>
      </c>
      <c r="CV14" s="5">
        <f>VLOOKUP(CV11,Assumptions!$J$13:$L$23,3,FALSE)</f>
        <v>0.03</v>
      </c>
      <c r="CW14" s="5">
        <f>VLOOKUP(CW11,Assumptions!$J$13:$L$23,3,FALSE)</f>
        <v>0.03</v>
      </c>
      <c r="CX14" s="5">
        <f>VLOOKUP(CX11,Assumptions!$J$13:$L$23,3,FALSE)</f>
        <v>0.03</v>
      </c>
      <c r="CY14" s="5">
        <f>VLOOKUP(CY11,Assumptions!$J$13:$L$23,3,FALSE)</f>
        <v>0.03</v>
      </c>
      <c r="CZ14" s="5">
        <f>VLOOKUP(CZ11,Assumptions!$J$13:$L$23,3,FALSE)</f>
        <v>0.03</v>
      </c>
      <c r="DA14" s="5">
        <f>VLOOKUP(DA11,Assumptions!$J$13:$L$23,3,FALSE)</f>
        <v>0.03</v>
      </c>
      <c r="DB14" s="5">
        <f>VLOOKUP(DB11,Assumptions!$J$13:$L$23,3,FALSE)</f>
        <v>0.03</v>
      </c>
      <c r="DC14" s="5">
        <f>VLOOKUP(DC11,Assumptions!$J$13:$L$23,3,FALSE)</f>
        <v>0.03</v>
      </c>
      <c r="DD14" s="5">
        <f>VLOOKUP(DD11,Assumptions!$J$13:$L$23,3,FALSE)</f>
        <v>0.03</v>
      </c>
      <c r="DE14" s="5">
        <f>VLOOKUP(DE11,Assumptions!$J$13:$L$23,3,FALSE)</f>
        <v>0.03</v>
      </c>
      <c r="DF14" s="5">
        <f>VLOOKUP(DF11,Assumptions!$J$13:$L$23,3,FALSE)</f>
        <v>0.03</v>
      </c>
      <c r="DG14" s="5">
        <f>VLOOKUP(DG11,Assumptions!$J$13:$L$23,3,FALSE)</f>
        <v>0.03</v>
      </c>
      <c r="DH14" s="5">
        <f>VLOOKUP(DH11,Assumptions!$J$13:$L$23,3,FALSE)</f>
        <v>0.03</v>
      </c>
      <c r="DI14" s="5">
        <f>VLOOKUP(DI11,Assumptions!$J$13:$L$23,3,FALSE)</f>
        <v>0.03</v>
      </c>
      <c r="DJ14" s="5">
        <f>VLOOKUP(DJ11,Assumptions!$J$13:$L$23,3,FALSE)</f>
        <v>0.03</v>
      </c>
      <c r="DK14" s="5">
        <f>VLOOKUP(DK11,Assumptions!$J$13:$L$23,3,FALSE)</f>
        <v>0.03</v>
      </c>
      <c r="DL14" s="5">
        <f>VLOOKUP(DL11,Assumptions!$J$13:$L$23,3,FALSE)</f>
        <v>0.03</v>
      </c>
      <c r="DM14" s="5">
        <f>VLOOKUP(DM11,Assumptions!$J$13:$L$23,3,FALSE)</f>
        <v>0.03</v>
      </c>
      <c r="DN14" s="5">
        <f>VLOOKUP(DN11,Assumptions!$J$13:$L$23,3,FALSE)</f>
        <v>0.03</v>
      </c>
      <c r="DO14" s="5">
        <f>VLOOKUP(DO11,Assumptions!$J$13:$L$23,3,FALSE)</f>
        <v>0.03</v>
      </c>
      <c r="DP14" s="5">
        <f>VLOOKUP(DP11,Assumptions!$J$13:$L$23,3,FALSE)</f>
        <v>0.03</v>
      </c>
      <c r="DQ14" s="5">
        <f>VLOOKUP(DQ11,Assumptions!$J$13:$L$23,3,FALSE)</f>
        <v>0.03</v>
      </c>
      <c r="DR14" s="5">
        <f>VLOOKUP(DR11,Assumptions!$J$13:$L$23,3,FALSE)</f>
        <v>0.03</v>
      </c>
      <c r="DS14" s="5">
        <f>VLOOKUP(DS11,Assumptions!$J$13:$L$23,3,FALSE)</f>
        <v>0.03</v>
      </c>
      <c r="DT14" s="5">
        <f>VLOOKUP(DT11,Assumptions!$J$13:$L$23,3,FALSE)</f>
        <v>0.03</v>
      </c>
      <c r="DU14" s="5">
        <f>VLOOKUP(DU11,Assumptions!$J$13:$L$23,3,FALSE)</f>
        <v>0.03</v>
      </c>
      <c r="DV14" s="5">
        <f>VLOOKUP(DV11,Assumptions!$J$13:$L$23,3,FALSE)</f>
        <v>0.03</v>
      </c>
      <c r="DW14" s="5">
        <f>VLOOKUP(DW11,Assumptions!$J$13:$L$23,3,FALSE)</f>
        <v>0.03</v>
      </c>
      <c r="DX14" s="5">
        <f>VLOOKUP(DX11,Assumptions!$J$13:$L$23,3,FALSE)</f>
        <v>0.03</v>
      </c>
      <c r="DY14" s="5">
        <f>VLOOKUP(DY11,Assumptions!$J$13:$L$23,3,FALSE)</f>
        <v>0.03</v>
      </c>
      <c r="DZ14" s="5">
        <f>VLOOKUP(DZ11,Assumptions!$J$13:$L$23,3,FALSE)</f>
        <v>0.03</v>
      </c>
      <c r="EA14" s="5">
        <f>VLOOKUP(EA11,Assumptions!$J$13:$L$23,3,FALSE)</f>
        <v>0.03</v>
      </c>
      <c r="EB14" s="5">
        <f>VLOOKUP(EB11,Assumptions!$J$13:$L$23,3,FALSE)</f>
        <v>0.03</v>
      </c>
      <c r="EC14" s="5">
        <f>VLOOKUP(EC11,Assumptions!$J$13:$L$23,3,FALSE)</f>
        <v>0.03</v>
      </c>
      <c r="ED14" s="5">
        <f>VLOOKUP(ED11,Assumptions!$J$13:$L$23,3,FALSE)</f>
        <v>0.03</v>
      </c>
      <c r="EE14" s="5">
        <f>VLOOKUP(EE11,Assumptions!$J$13:$L$23,3,FALSE)</f>
        <v>0.03</v>
      </c>
      <c r="EF14" s="5">
        <f>VLOOKUP(EF11,Assumptions!$J$13:$L$23,3,FALSE)</f>
        <v>0.03</v>
      </c>
      <c r="EG14" s="5">
        <f>VLOOKUP(EG11,Assumptions!$J$13:$L$23,3,FALSE)</f>
        <v>0.03</v>
      </c>
      <c r="EH14" s="5">
        <f>VLOOKUP(EH11,Assumptions!$J$13:$L$23,3,FALSE)</f>
        <v>0.03</v>
      </c>
      <c r="EI14" s="5">
        <f>VLOOKUP(EI11,Assumptions!$J$13:$L$23,3,FALSE)</f>
        <v>0.03</v>
      </c>
      <c r="EJ14" s="5">
        <f>VLOOKUP(EJ11,Assumptions!$J$13:$L$23,3,FALSE)</f>
        <v>0.03</v>
      </c>
      <c r="EK14" s="5">
        <f>VLOOKUP(EK11,Assumptions!$J$13:$L$23,3,FALSE)</f>
        <v>0.03</v>
      </c>
      <c r="EL14" s="5">
        <f>VLOOKUP(EL11,Assumptions!$J$13:$L$23,3,FALSE)</f>
        <v>0.03</v>
      </c>
      <c r="EM14" s="5">
        <f>VLOOKUP(EM11,Assumptions!$J$13:$L$23,3,FALSE)</f>
        <v>0.03</v>
      </c>
      <c r="EN14" s="5">
        <f>VLOOKUP(EN11,Assumptions!$J$13:$L$23,3,FALSE)</f>
        <v>0.03</v>
      </c>
      <c r="EO14" s="5">
        <f>VLOOKUP(EO11,Assumptions!$J$13:$L$23,3,FALSE)</f>
        <v>0.03</v>
      </c>
      <c r="EP14" s="5">
        <f>VLOOKUP(EP11,Assumptions!$J$13:$L$23,3,FALSE)</f>
        <v>0.03</v>
      </c>
      <c r="EQ14" s="5">
        <f>VLOOKUP(EQ11,Assumptions!$J$13:$L$23,3,FALSE)</f>
        <v>0.03</v>
      </c>
      <c r="ER14" s="78"/>
      <c r="ES14" s="421"/>
      <c r="ET14" s="63"/>
      <c r="EU14" s="5"/>
    </row>
    <row r="15" spans="1:151" s="87" customFormat="1" ht="6" customHeight="1">
      <c r="A15" s="65"/>
      <c r="B15" s="65"/>
      <c r="C15" s="65"/>
      <c r="D15" s="65"/>
      <c r="E15" s="65"/>
      <c r="F15" s="65"/>
      <c r="G15" s="84"/>
      <c r="H15" s="85"/>
      <c r="I15" s="86"/>
      <c r="J15" s="479"/>
      <c r="K15" s="88"/>
      <c r="L15" s="89"/>
      <c r="M15" s="89"/>
      <c r="N15" s="211"/>
      <c r="O15" s="647"/>
      <c r="P15" s="205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64"/>
      <c r="ES15" s="421"/>
      <c r="ET15" s="63"/>
      <c r="EU15" s="91"/>
    </row>
    <row r="16" spans="1:151" s="87" customFormat="1" ht="6" customHeight="1">
      <c r="A16" s="65"/>
      <c r="B16" s="65"/>
      <c r="C16" s="65"/>
      <c r="D16" s="65"/>
      <c r="E16" s="65"/>
      <c r="F16" s="65"/>
      <c r="G16" s="480"/>
      <c r="H16" s="480"/>
      <c r="I16" s="75"/>
      <c r="J16" s="481"/>
      <c r="K16" s="93"/>
      <c r="L16" s="75"/>
      <c r="M16" s="75"/>
      <c r="N16" s="212"/>
      <c r="O16" s="75"/>
      <c r="P16" s="206"/>
      <c r="Q16" s="92"/>
      <c r="R16" s="92"/>
      <c r="S16" s="91"/>
      <c r="T16" s="91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64"/>
      <c r="ES16" s="421"/>
      <c r="ET16" s="63"/>
      <c r="EU16" s="92"/>
    </row>
    <row r="17" spans="2:151" s="87" customFormat="1" ht="15.75">
      <c r="G17" s="978">
        <f>Assumptions!H11-Assumptions!M7</f>
        <v>30</v>
      </c>
      <c r="H17" s="978"/>
      <c r="I17" s="978"/>
      <c r="J17" s="979"/>
      <c r="K17" s="93"/>
      <c r="L17" s="75"/>
      <c r="M17" s="75"/>
      <c r="N17" s="212"/>
      <c r="O17" s="75"/>
      <c r="P17" s="206"/>
      <c r="Q17" s="92"/>
      <c r="R17" s="92"/>
      <c r="S17" s="91"/>
      <c r="T17" s="91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64"/>
      <c r="ES17" s="421"/>
      <c r="ET17" s="63"/>
      <c r="EU17" s="92"/>
    </row>
    <row r="18" spans="2:151" s="87" customFormat="1" ht="6" customHeight="1">
      <c r="G18" s="480"/>
      <c r="H18" s="480"/>
      <c r="I18" s="75"/>
      <c r="J18" s="212"/>
      <c r="K18" s="93"/>
      <c r="L18" s="75"/>
      <c r="M18" s="75"/>
      <c r="N18" s="212"/>
      <c r="O18" s="75"/>
      <c r="P18" s="206"/>
      <c r="Q18" s="92"/>
      <c r="R18" s="92"/>
      <c r="S18" s="91"/>
      <c r="T18" s="91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64"/>
      <c r="ES18" s="421"/>
      <c r="ET18" s="63"/>
      <c r="EU18" s="92"/>
    </row>
    <row r="19" spans="2:151" s="65" customFormat="1" ht="15.75" outlineLevel="1">
      <c r="B19" s="87"/>
      <c r="C19" s="87"/>
      <c r="D19" s="87"/>
      <c r="E19" s="87"/>
      <c r="F19" s="87"/>
      <c r="G19" s="472"/>
      <c r="H19" s="472"/>
      <c r="I19" s="472"/>
      <c r="J19" s="473"/>
      <c r="K19" s="267"/>
      <c r="L19" s="472"/>
      <c r="M19" s="472"/>
      <c r="N19" s="473"/>
      <c r="O19" s="47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262"/>
      <c r="DI19" s="262"/>
      <c r="DJ19" s="262"/>
      <c r="DK19" s="262"/>
      <c r="DL19" s="262"/>
      <c r="DM19" s="262"/>
      <c r="DN19" s="262"/>
      <c r="DO19" s="262"/>
      <c r="DP19" s="262"/>
      <c r="DQ19" s="262"/>
      <c r="DR19" s="262"/>
      <c r="DS19" s="262"/>
      <c r="DT19" s="262"/>
      <c r="DU19" s="262"/>
      <c r="DV19" s="262"/>
      <c r="DW19" s="262"/>
      <c r="DX19" s="262"/>
      <c r="DY19" s="262"/>
      <c r="DZ19" s="262"/>
      <c r="EA19" s="262"/>
      <c r="EB19" s="262"/>
      <c r="EC19" s="262"/>
      <c r="ED19" s="262"/>
      <c r="EE19" s="262"/>
      <c r="EF19" s="262"/>
      <c r="EG19" s="262"/>
      <c r="EH19" s="262"/>
      <c r="EI19" s="262"/>
      <c r="EJ19" s="262"/>
      <c r="EK19" s="262"/>
      <c r="EL19" s="262"/>
      <c r="EM19" s="262"/>
      <c r="EN19" s="262"/>
      <c r="EO19" s="262"/>
      <c r="EP19" s="262"/>
      <c r="EQ19" s="262"/>
      <c r="ES19" s="421"/>
      <c r="ET19" s="67"/>
      <c r="EU19" s="262"/>
    </row>
    <row r="20" spans="2:151" s="87" customFormat="1" ht="15.75" outlineLevel="1">
      <c r="G20" s="480" t="s">
        <v>52</v>
      </c>
      <c r="H20" s="480"/>
      <c r="I20" s="75"/>
      <c r="J20" s="212"/>
      <c r="K20" s="93"/>
      <c r="L20" s="75"/>
      <c r="M20" s="75"/>
      <c r="N20" s="212"/>
      <c r="O20" s="75">
        <v>0</v>
      </c>
      <c r="P20" s="102">
        <f>P10</f>
        <v>1</v>
      </c>
      <c r="Q20" s="102">
        <f t="shared" ref="Q20:CB20" si="15">Q10</f>
        <v>2</v>
      </c>
      <c r="R20" s="102">
        <f t="shared" si="15"/>
        <v>3</v>
      </c>
      <c r="S20" s="102">
        <f t="shared" si="15"/>
        <v>4</v>
      </c>
      <c r="T20" s="102">
        <f t="shared" si="15"/>
        <v>5</v>
      </c>
      <c r="U20" s="102">
        <f t="shared" si="15"/>
        <v>6</v>
      </c>
      <c r="V20" s="102">
        <f t="shared" si="15"/>
        <v>7</v>
      </c>
      <c r="W20" s="102">
        <f t="shared" si="15"/>
        <v>8</v>
      </c>
      <c r="X20" s="102">
        <f t="shared" si="15"/>
        <v>9</v>
      </c>
      <c r="Y20" s="102">
        <f t="shared" si="15"/>
        <v>10</v>
      </c>
      <c r="Z20" s="102">
        <f t="shared" si="15"/>
        <v>11</v>
      </c>
      <c r="AA20" s="102">
        <f t="shared" si="15"/>
        <v>12</v>
      </c>
      <c r="AB20" s="102">
        <f t="shared" si="15"/>
        <v>13</v>
      </c>
      <c r="AC20" s="102">
        <f t="shared" si="15"/>
        <v>14</v>
      </c>
      <c r="AD20" s="102">
        <f t="shared" si="15"/>
        <v>15</v>
      </c>
      <c r="AE20" s="102">
        <f t="shared" si="15"/>
        <v>16</v>
      </c>
      <c r="AF20" s="102">
        <f t="shared" si="15"/>
        <v>17</v>
      </c>
      <c r="AG20" s="102">
        <f t="shared" si="15"/>
        <v>18</v>
      </c>
      <c r="AH20" s="102">
        <f t="shared" si="15"/>
        <v>19</v>
      </c>
      <c r="AI20" s="102">
        <f t="shared" si="15"/>
        <v>20</v>
      </c>
      <c r="AJ20" s="102">
        <f t="shared" si="15"/>
        <v>21</v>
      </c>
      <c r="AK20" s="102">
        <f t="shared" si="15"/>
        <v>22</v>
      </c>
      <c r="AL20" s="102">
        <f t="shared" si="15"/>
        <v>23</v>
      </c>
      <c r="AM20" s="102">
        <f t="shared" si="15"/>
        <v>24</v>
      </c>
      <c r="AN20" s="102">
        <f t="shared" si="15"/>
        <v>25</v>
      </c>
      <c r="AO20" s="102">
        <f t="shared" si="15"/>
        <v>26</v>
      </c>
      <c r="AP20" s="102">
        <f t="shared" si="15"/>
        <v>27</v>
      </c>
      <c r="AQ20" s="102">
        <f t="shared" si="15"/>
        <v>28</v>
      </c>
      <c r="AR20" s="102">
        <f t="shared" si="15"/>
        <v>29</v>
      </c>
      <c r="AS20" s="102">
        <f t="shared" si="15"/>
        <v>30</v>
      </c>
      <c r="AT20" s="102">
        <f t="shared" si="15"/>
        <v>31</v>
      </c>
      <c r="AU20" s="102">
        <f t="shared" si="15"/>
        <v>32</v>
      </c>
      <c r="AV20" s="102">
        <f t="shared" si="15"/>
        <v>33</v>
      </c>
      <c r="AW20" s="102">
        <f t="shared" si="15"/>
        <v>34</v>
      </c>
      <c r="AX20" s="102">
        <f t="shared" si="15"/>
        <v>35</v>
      </c>
      <c r="AY20" s="102">
        <f t="shared" si="15"/>
        <v>36</v>
      </c>
      <c r="AZ20" s="102">
        <f t="shared" si="15"/>
        <v>37</v>
      </c>
      <c r="BA20" s="102">
        <f t="shared" si="15"/>
        <v>38</v>
      </c>
      <c r="BB20" s="102">
        <f t="shared" si="15"/>
        <v>39</v>
      </c>
      <c r="BC20" s="102">
        <f t="shared" si="15"/>
        <v>40</v>
      </c>
      <c r="BD20" s="102">
        <f t="shared" si="15"/>
        <v>41</v>
      </c>
      <c r="BE20" s="102">
        <f t="shared" si="15"/>
        <v>42</v>
      </c>
      <c r="BF20" s="102">
        <f t="shared" si="15"/>
        <v>43</v>
      </c>
      <c r="BG20" s="102">
        <f t="shared" si="15"/>
        <v>44</v>
      </c>
      <c r="BH20" s="102">
        <f t="shared" si="15"/>
        <v>45</v>
      </c>
      <c r="BI20" s="102">
        <f t="shared" si="15"/>
        <v>46</v>
      </c>
      <c r="BJ20" s="102">
        <f t="shared" si="15"/>
        <v>47</v>
      </c>
      <c r="BK20" s="102">
        <f t="shared" si="15"/>
        <v>48</v>
      </c>
      <c r="BL20" s="102">
        <f t="shared" si="15"/>
        <v>49</v>
      </c>
      <c r="BM20" s="102">
        <f t="shared" si="15"/>
        <v>50</v>
      </c>
      <c r="BN20" s="102">
        <f t="shared" si="15"/>
        <v>51</v>
      </c>
      <c r="BO20" s="102">
        <f t="shared" si="15"/>
        <v>52</v>
      </c>
      <c r="BP20" s="102">
        <f t="shared" si="15"/>
        <v>53</v>
      </c>
      <c r="BQ20" s="102">
        <f t="shared" si="15"/>
        <v>54</v>
      </c>
      <c r="BR20" s="102">
        <f t="shared" si="15"/>
        <v>55</v>
      </c>
      <c r="BS20" s="102">
        <f t="shared" si="15"/>
        <v>56</v>
      </c>
      <c r="BT20" s="102">
        <f t="shared" si="15"/>
        <v>57</v>
      </c>
      <c r="BU20" s="102">
        <f t="shared" si="15"/>
        <v>58</v>
      </c>
      <c r="BV20" s="102">
        <f t="shared" si="15"/>
        <v>59</v>
      </c>
      <c r="BW20" s="102">
        <f t="shared" si="15"/>
        <v>60</v>
      </c>
      <c r="BX20" s="102">
        <f t="shared" si="15"/>
        <v>61</v>
      </c>
      <c r="BY20" s="102">
        <f t="shared" si="15"/>
        <v>62</v>
      </c>
      <c r="BZ20" s="102">
        <f t="shared" si="15"/>
        <v>63</v>
      </c>
      <c r="CA20" s="102">
        <f t="shared" si="15"/>
        <v>64</v>
      </c>
      <c r="CB20" s="102">
        <f t="shared" si="15"/>
        <v>65</v>
      </c>
      <c r="CC20" s="102">
        <f t="shared" ref="CC20:EN20" si="16">CC10</f>
        <v>66</v>
      </c>
      <c r="CD20" s="102">
        <f t="shared" si="16"/>
        <v>67</v>
      </c>
      <c r="CE20" s="102">
        <f t="shared" si="16"/>
        <v>68</v>
      </c>
      <c r="CF20" s="102">
        <f t="shared" si="16"/>
        <v>69</v>
      </c>
      <c r="CG20" s="102">
        <f t="shared" si="16"/>
        <v>70</v>
      </c>
      <c r="CH20" s="102">
        <f t="shared" si="16"/>
        <v>71</v>
      </c>
      <c r="CI20" s="102">
        <f t="shared" si="16"/>
        <v>72</v>
      </c>
      <c r="CJ20" s="102">
        <f t="shared" si="16"/>
        <v>73</v>
      </c>
      <c r="CK20" s="102">
        <f t="shared" si="16"/>
        <v>74</v>
      </c>
      <c r="CL20" s="102">
        <f t="shared" si="16"/>
        <v>75</v>
      </c>
      <c r="CM20" s="102">
        <f t="shared" si="16"/>
        <v>76</v>
      </c>
      <c r="CN20" s="102">
        <f t="shared" si="16"/>
        <v>77</v>
      </c>
      <c r="CO20" s="102">
        <f t="shared" si="16"/>
        <v>78</v>
      </c>
      <c r="CP20" s="102">
        <f t="shared" si="16"/>
        <v>79</v>
      </c>
      <c r="CQ20" s="102">
        <f t="shared" si="16"/>
        <v>80</v>
      </c>
      <c r="CR20" s="102">
        <f t="shared" si="16"/>
        <v>81</v>
      </c>
      <c r="CS20" s="102">
        <f t="shared" si="16"/>
        <v>82</v>
      </c>
      <c r="CT20" s="102">
        <f t="shared" si="16"/>
        <v>83</v>
      </c>
      <c r="CU20" s="102">
        <f t="shared" si="16"/>
        <v>84</v>
      </c>
      <c r="CV20" s="102">
        <f t="shared" si="16"/>
        <v>85</v>
      </c>
      <c r="CW20" s="102">
        <f t="shared" si="16"/>
        <v>86</v>
      </c>
      <c r="CX20" s="102">
        <f t="shared" si="16"/>
        <v>87</v>
      </c>
      <c r="CY20" s="102">
        <f t="shared" si="16"/>
        <v>88</v>
      </c>
      <c r="CZ20" s="102">
        <f t="shared" si="16"/>
        <v>89</v>
      </c>
      <c r="DA20" s="102">
        <f t="shared" si="16"/>
        <v>90</v>
      </c>
      <c r="DB20" s="102">
        <f t="shared" si="16"/>
        <v>91</v>
      </c>
      <c r="DC20" s="102">
        <f t="shared" si="16"/>
        <v>92</v>
      </c>
      <c r="DD20" s="102">
        <f t="shared" si="16"/>
        <v>93</v>
      </c>
      <c r="DE20" s="102">
        <f t="shared" si="16"/>
        <v>94</v>
      </c>
      <c r="DF20" s="102">
        <f t="shared" si="16"/>
        <v>95</v>
      </c>
      <c r="DG20" s="102">
        <f t="shared" si="16"/>
        <v>96</v>
      </c>
      <c r="DH20" s="102">
        <f t="shared" si="16"/>
        <v>97</v>
      </c>
      <c r="DI20" s="102">
        <f t="shared" si="16"/>
        <v>98</v>
      </c>
      <c r="DJ20" s="102">
        <f t="shared" si="16"/>
        <v>99</v>
      </c>
      <c r="DK20" s="102">
        <f t="shared" si="16"/>
        <v>100</v>
      </c>
      <c r="DL20" s="102">
        <f t="shared" si="16"/>
        <v>101</v>
      </c>
      <c r="DM20" s="102">
        <f t="shared" si="16"/>
        <v>102</v>
      </c>
      <c r="DN20" s="102">
        <f t="shared" si="16"/>
        <v>103</v>
      </c>
      <c r="DO20" s="102">
        <f t="shared" si="16"/>
        <v>104</v>
      </c>
      <c r="DP20" s="102">
        <f t="shared" si="16"/>
        <v>105</v>
      </c>
      <c r="DQ20" s="102">
        <f t="shared" si="16"/>
        <v>106</v>
      </c>
      <c r="DR20" s="102">
        <f t="shared" si="16"/>
        <v>107</v>
      </c>
      <c r="DS20" s="102">
        <f t="shared" si="16"/>
        <v>108</v>
      </c>
      <c r="DT20" s="102">
        <f t="shared" si="16"/>
        <v>109</v>
      </c>
      <c r="DU20" s="102">
        <f t="shared" si="16"/>
        <v>110</v>
      </c>
      <c r="DV20" s="102">
        <f t="shared" si="16"/>
        <v>111</v>
      </c>
      <c r="DW20" s="102">
        <f t="shared" si="16"/>
        <v>112</v>
      </c>
      <c r="DX20" s="102">
        <f t="shared" si="16"/>
        <v>113</v>
      </c>
      <c r="DY20" s="102">
        <f t="shared" si="16"/>
        <v>114</v>
      </c>
      <c r="DZ20" s="102">
        <f t="shared" si="16"/>
        <v>115</v>
      </c>
      <c r="EA20" s="102">
        <f t="shared" si="16"/>
        <v>116</v>
      </c>
      <c r="EB20" s="102">
        <f t="shared" si="16"/>
        <v>117</v>
      </c>
      <c r="EC20" s="102">
        <f t="shared" si="16"/>
        <v>118</v>
      </c>
      <c r="ED20" s="102">
        <f t="shared" si="16"/>
        <v>119</v>
      </c>
      <c r="EE20" s="102">
        <f t="shared" si="16"/>
        <v>120</v>
      </c>
      <c r="EF20" s="102">
        <f t="shared" si="16"/>
        <v>121</v>
      </c>
      <c r="EG20" s="102">
        <f t="shared" si="16"/>
        <v>122</v>
      </c>
      <c r="EH20" s="102">
        <f t="shared" si="16"/>
        <v>123</v>
      </c>
      <c r="EI20" s="102">
        <f t="shared" si="16"/>
        <v>124</v>
      </c>
      <c r="EJ20" s="102">
        <f t="shared" si="16"/>
        <v>125</v>
      </c>
      <c r="EK20" s="102">
        <f t="shared" si="16"/>
        <v>126</v>
      </c>
      <c r="EL20" s="102">
        <f t="shared" si="16"/>
        <v>127</v>
      </c>
      <c r="EM20" s="102">
        <f t="shared" si="16"/>
        <v>128</v>
      </c>
      <c r="EN20" s="102">
        <f t="shared" si="16"/>
        <v>129</v>
      </c>
      <c r="EO20" s="102">
        <f>EO10</f>
        <v>130</v>
      </c>
      <c r="EP20" s="102">
        <f>EP10</f>
        <v>131</v>
      </c>
      <c r="EQ20" s="102">
        <f>EQ10</f>
        <v>132</v>
      </c>
      <c r="ER20" s="64"/>
      <c r="ES20" s="421"/>
      <c r="ET20" s="63"/>
      <c r="EU20" s="92"/>
    </row>
    <row r="21" spans="2:151" s="87" customFormat="1" ht="13.5" customHeight="1" outlineLevel="1">
      <c r="B21" s="255" t="s">
        <v>90</v>
      </c>
      <c r="C21" s="256">
        <f>MIN(P21:EQ21)</f>
        <v>0</v>
      </c>
      <c r="D21" s="256"/>
      <c r="E21" s="256"/>
      <c r="F21" s="256"/>
      <c r="G21" s="480" t="s">
        <v>103</v>
      </c>
      <c r="H21" s="480"/>
      <c r="I21" s="75"/>
      <c r="J21" s="212"/>
      <c r="K21" s="93"/>
      <c r="L21" s="75"/>
      <c r="M21" s="75"/>
      <c r="N21" s="212"/>
      <c r="O21" s="75">
        <v>0</v>
      </c>
      <c r="P21" s="102">
        <f>$G$17-P23</f>
        <v>30</v>
      </c>
      <c r="Q21" s="102">
        <f t="shared" ref="Q21:AV21" si="17">P21-Q23</f>
        <v>29</v>
      </c>
      <c r="R21" s="102">
        <f t="shared" si="17"/>
        <v>25</v>
      </c>
      <c r="S21" s="102">
        <f t="shared" si="17"/>
        <v>20</v>
      </c>
      <c r="T21" s="102">
        <f t="shared" si="17"/>
        <v>20</v>
      </c>
      <c r="U21" s="102">
        <f t="shared" si="17"/>
        <v>20</v>
      </c>
      <c r="V21" s="102">
        <f t="shared" si="17"/>
        <v>20</v>
      </c>
      <c r="W21" s="102">
        <f t="shared" si="17"/>
        <v>20</v>
      </c>
      <c r="X21" s="102">
        <f t="shared" si="17"/>
        <v>20</v>
      </c>
      <c r="Y21" s="102">
        <f t="shared" si="17"/>
        <v>20</v>
      </c>
      <c r="Z21" s="102">
        <f t="shared" si="17"/>
        <v>20</v>
      </c>
      <c r="AA21" s="102">
        <f t="shared" si="17"/>
        <v>20</v>
      </c>
      <c r="AB21" s="102">
        <f t="shared" si="17"/>
        <v>15</v>
      </c>
      <c r="AC21" s="102">
        <f t="shared" si="17"/>
        <v>10</v>
      </c>
      <c r="AD21" s="102">
        <f t="shared" si="17"/>
        <v>10</v>
      </c>
      <c r="AE21" s="102">
        <f t="shared" si="17"/>
        <v>5</v>
      </c>
      <c r="AF21" s="102">
        <f t="shared" si="17"/>
        <v>5</v>
      </c>
      <c r="AG21" s="102">
        <f t="shared" si="17"/>
        <v>5</v>
      </c>
      <c r="AH21" s="102">
        <f t="shared" si="17"/>
        <v>5</v>
      </c>
      <c r="AI21" s="102">
        <f t="shared" si="17"/>
        <v>5</v>
      </c>
      <c r="AJ21" s="102">
        <f t="shared" si="17"/>
        <v>5</v>
      </c>
      <c r="AK21" s="102">
        <f t="shared" si="17"/>
        <v>5</v>
      </c>
      <c r="AL21" s="102">
        <f t="shared" si="17"/>
        <v>5</v>
      </c>
      <c r="AM21" s="102">
        <f t="shared" si="17"/>
        <v>5</v>
      </c>
      <c r="AN21" s="102">
        <f t="shared" si="17"/>
        <v>5</v>
      </c>
      <c r="AO21" s="102">
        <f t="shared" si="17"/>
        <v>5</v>
      </c>
      <c r="AP21" s="102">
        <f t="shared" si="17"/>
        <v>5</v>
      </c>
      <c r="AQ21" s="102">
        <f t="shared" si="17"/>
        <v>1</v>
      </c>
      <c r="AR21" s="102">
        <f t="shared" si="17"/>
        <v>1</v>
      </c>
      <c r="AS21" s="102">
        <f t="shared" si="17"/>
        <v>0</v>
      </c>
      <c r="AT21" s="102">
        <f t="shared" si="17"/>
        <v>0</v>
      </c>
      <c r="AU21" s="102">
        <f t="shared" si="17"/>
        <v>0</v>
      </c>
      <c r="AV21" s="102">
        <f t="shared" si="17"/>
        <v>0</v>
      </c>
      <c r="AW21" s="102">
        <f t="shared" ref="AW21:CB21" si="18">AV21-AW23</f>
        <v>0</v>
      </c>
      <c r="AX21" s="102">
        <f t="shared" si="18"/>
        <v>0</v>
      </c>
      <c r="AY21" s="102">
        <f t="shared" si="18"/>
        <v>0</v>
      </c>
      <c r="AZ21" s="102">
        <f t="shared" si="18"/>
        <v>0</v>
      </c>
      <c r="BA21" s="102">
        <f t="shared" si="18"/>
        <v>0</v>
      </c>
      <c r="BB21" s="102">
        <f t="shared" si="18"/>
        <v>0</v>
      </c>
      <c r="BC21" s="102">
        <f t="shared" si="18"/>
        <v>0</v>
      </c>
      <c r="BD21" s="102">
        <f t="shared" si="18"/>
        <v>0</v>
      </c>
      <c r="BE21" s="102">
        <f t="shared" si="18"/>
        <v>0</v>
      </c>
      <c r="BF21" s="102">
        <f t="shared" si="18"/>
        <v>0</v>
      </c>
      <c r="BG21" s="102">
        <f t="shared" si="18"/>
        <v>0</v>
      </c>
      <c r="BH21" s="102">
        <f t="shared" si="18"/>
        <v>0</v>
      </c>
      <c r="BI21" s="102">
        <f t="shared" si="18"/>
        <v>0</v>
      </c>
      <c r="BJ21" s="102">
        <f t="shared" si="18"/>
        <v>0</v>
      </c>
      <c r="BK21" s="102">
        <f t="shared" si="18"/>
        <v>0</v>
      </c>
      <c r="BL21" s="102">
        <f t="shared" si="18"/>
        <v>0</v>
      </c>
      <c r="BM21" s="102">
        <f t="shared" si="18"/>
        <v>0</v>
      </c>
      <c r="BN21" s="102">
        <f t="shared" si="18"/>
        <v>0</v>
      </c>
      <c r="BO21" s="102">
        <f t="shared" si="18"/>
        <v>0</v>
      </c>
      <c r="BP21" s="102">
        <f t="shared" si="18"/>
        <v>0</v>
      </c>
      <c r="BQ21" s="102">
        <f t="shared" si="18"/>
        <v>0</v>
      </c>
      <c r="BR21" s="102">
        <f t="shared" si="18"/>
        <v>0</v>
      </c>
      <c r="BS21" s="102">
        <f t="shared" si="18"/>
        <v>0</v>
      </c>
      <c r="BT21" s="102">
        <f t="shared" si="18"/>
        <v>0</v>
      </c>
      <c r="BU21" s="102">
        <f t="shared" si="18"/>
        <v>0</v>
      </c>
      <c r="BV21" s="102">
        <f t="shared" si="18"/>
        <v>0</v>
      </c>
      <c r="BW21" s="102">
        <f t="shared" si="18"/>
        <v>0</v>
      </c>
      <c r="BX21" s="102">
        <f t="shared" si="18"/>
        <v>0</v>
      </c>
      <c r="BY21" s="102">
        <f t="shared" si="18"/>
        <v>0</v>
      </c>
      <c r="BZ21" s="102">
        <f t="shared" si="18"/>
        <v>0</v>
      </c>
      <c r="CA21" s="102">
        <f t="shared" si="18"/>
        <v>0</v>
      </c>
      <c r="CB21" s="102">
        <f t="shared" si="18"/>
        <v>0</v>
      </c>
      <c r="CC21" s="102">
        <f t="shared" ref="CC21:DH21" si="19">CB21-CC23</f>
        <v>0</v>
      </c>
      <c r="CD21" s="102">
        <f t="shared" si="19"/>
        <v>0</v>
      </c>
      <c r="CE21" s="102">
        <f t="shared" si="19"/>
        <v>0</v>
      </c>
      <c r="CF21" s="102">
        <f t="shared" si="19"/>
        <v>0</v>
      </c>
      <c r="CG21" s="102">
        <f t="shared" si="19"/>
        <v>0</v>
      </c>
      <c r="CH21" s="102">
        <f t="shared" si="19"/>
        <v>0</v>
      </c>
      <c r="CI21" s="102">
        <f t="shared" si="19"/>
        <v>0</v>
      </c>
      <c r="CJ21" s="102">
        <f t="shared" si="19"/>
        <v>0</v>
      </c>
      <c r="CK21" s="102">
        <f t="shared" si="19"/>
        <v>0</v>
      </c>
      <c r="CL21" s="102">
        <f t="shared" si="19"/>
        <v>0</v>
      </c>
      <c r="CM21" s="102">
        <f t="shared" si="19"/>
        <v>0</v>
      </c>
      <c r="CN21" s="102">
        <f t="shared" si="19"/>
        <v>0</v>
      </c>
      <c r="CO21" s="102">
        <f t="shared" si="19"/>
        <v>0</v>
      </c>
      <c r="CP21" s="102">
        <f t="shared" si="19"/>
        <v>0</v>
      </c>
      <c r="CQ21" s="102">
        <f t="shared" si="19"/>
        <v>0</v>
      </c>
      <c r="CR21" s="102">
        <f t="shared" si="19"/>
        <v>0</v>
      </c>
      <c r="CS21" s="102">
        <f t="shared" si="19"/>
        <v>0</v>
      </c>
      <c r="CT21" s="102">
        <f t="shared" si="19"/>
        <v>0</v>
      </c>
      <c r="CU21" s="102">
        <f t="shared" si="19"/>
        <v>0</v>
      </c>
      <c r="CV21" s="102">
        <f t="shared" si="19"/>
        <v>0</v>
      </c>
      <c r="CW21" s="102">
        <f t="shared" si="19"/>
        <v>0</v>
      </c>
      <c r="CX21" s="102">
        <f t="shared" si="19"/>
        <v>0</v>
      </c>
      <c r="CY21" s="102">
        <f t="shared" si="19"/>
        <v>0</v>
      </c>
      <c r="CZ21" s="102">
        <f t="shared" si="19"/>
        <v>0</v>
      </c>
      <c r="DA21" s="102">
        <f t="shared" si="19"/>
        <v>0</v>
      </c>
      <c r="DB21" s="102">
        <f t="shared" si="19"/>
        <v>0</v>
      </c>
      <c r="DC21" s="102">
        <f t="shared" si="19"/>
        <v>0</v>
      </c>
      <c r="DD21" s="102">
        <f t="shared" si="19"/>
        <v>0</v>
      </c>
      <c r="DE21" s="102">
        <f t="shared" si="19"/>
        <v>0</v>
      </c>
      <c r="DF21" s="102">
        <f t="shared" si="19"/>
        <v>0</v>
      </c>
      <c r="DG21" s="102">
        <f t="shared" si="19"/>
        <v>0</v>
      </c>
      <c r="DH21" s="102">
        <f t="shared" si="19"/>
        <v>0</v>
      </c>
      <c r="DI21" s="102">
        <f t="shared" ref="DI21:EQ21" si="20">DH21-DI23</f>
        <v>0</v>
      </c>
      <c r="DJ21" s="102">
        <f t="shared" si="20"/>
        <v>0</v>
      </c>
      <c r="DK21" s="102">
        <f t="shared" si="20"/>
        <v>0</v>
      </c>
      <c r="DL21" s="102">
        <f t="shared" si="20"/>
        <v>0</v>
      </c>
      <c r="DM21" s="102">
        <f t="shared" si="20"/>
        <v>0</v>
      </c>
      <c r="DN21" s="102">
        <f t="shared" si="20"/>
        <v>0</v>
      </c>
      <c r="DO21" s="102">
        <f t="shared" si="20"/>
        <v>0</v>
      </c>
      <c r="DP21" s="102">
        <f t="shared" si="20"/>
        <v>0</v>
      </c>
      <c r="DQ21" s="102">
        <f t="shared" si="20"/>
        <v>0</v>
      </c>
      <c r="DR21" s="102">
        <f t="shared" si="20"/>
        <v>0</v>
      </c>
      <c r="DS21" s="102">
        <f t="shared" si="20"/>
        <v>0</v>
      </c>
      <c r="DT21" s="102">
        <f t="shared" si="20"/>
        <v>0</v>
      </c>
      <c r="DU21" s="102">
        <f t="shared" si="20"/>
        <v>0</v>
      </c>
      <c r="DV21" s="102">
        <f t="shared" si="20"/>
        <v>0</v>
      </c>
      <c r="DW21" s="102">
        <f t="shared" si="20"/>
        <v>0</v>
      </c>
      <c r="DX21" s="102">
        <f t="shared" si="20"/>
        <v>0</v>
      </c>
      <c r="DY21" s="102">
        <f t="shared" si="20"/>
        <v>0</v>
      </c>
      <c r="DZ21" s="102">
        <f t="shared" si="20"/>
        <v>0</v>
      </c>
      <c r="EA21" s="102">
        <f t="shared" si="20"/>
        <v>0</v>
      </c>
      <c r="EB21" s="102">
        <f t="shared" si="20"/>
        <v>0</v>
      </c>
      <c r="EC21" s="102">
        <f t="shared" si="20"/>
        <v>0</v>
      </c>
      <c r="ED21" s="102">
        <f t="shared" si="20"/>
        <v>0</v>
      </c>
      <c r="EE21" s="102">
        <f t="shared" si="20"/>
        <v>0</v>
      </c>
      <c r="EF21" s="102">
        <f t="shared" si="20"/>
        <v>0</v>
      </c>
      <c r="EG21" s="102">
        <f t="shared" si="20"/>
        <v>0</v>
      </c>
      <c r="EH21" s="102">
        <f t="shared" si="20"/>
        <v>0</v>
      </c>
      <c r="EI21" s="102">
        <f t="shared" si="20"/>
        <v>0</v>
      </c>
      <c r="EJ21" s="102">
        <f t="shared" si="20"/>
        <v>0</v>
      </c>
      <c r="EK21" s="102">
        <f t="shared" si="20"/>
        <v>0</v>
      </c>
      <c r="EL21" s="102">
        <f t="shared" si="20"/>
        <v>0</v>
      </c>
      <c r="EM21" s="102">
        <f t="shared" si="20"/>
        <v>0</v>
      </c>
      <c r="EN21" s="102">
        <f t="shared" si="20"/>
        <v>0</v>
      </c>
      <c r="EO21" s="102">
        <f t="shared" si="20"/>
        <v>0</v>
      </c>
      <c r="EP21" s="102">
        <f t="shared" si="20"/>
        <v>0</v>
      </c>
      <c r="EQ21" s="102">
        <f t="shared" si="20"/>
        <v>0</v>
      </c>
      <c r="ER21" s="64"/>
      <c r="ES21" s="421"/>
      <c r="ET21" s="63"/>
      <c r="EU21" s="92"/>
    </row>
    <row r="22" spans="2:151" s="87" customFormat="1" ht="13.5" customHeight="1" outlineLevel="1">
      <c r="B22" s="255" t="s">
        <v>88</v>
      </c>
      <c r="C22" s="256">
        <f>MAX(P22:EQ22)</f>
        <v>30</v>
      </c>
      <c r="D22" s="256"/>
      <c r="E22" s="256"/>
      <c r="F22" s="256"/>
      <c r="G22" s="480" t="s">
        <v>84</v>
      </c>
      <c r="H22" s="480"/>
      <c r="I22" s="75"/>
      <c r="J22" s="212"/>
      <c r="K22" s="93"/>
      <c r="L22" s="75"/>
      <c r="M22" s="75"/>
      <c r="N22" s="212"/>
      <c r="O22" s="75">
        <v>0</v>
      </c>
      <c r="P22" s="102">
        <f>Assumptions!M7+'Monthly Cash Flow Solution'!P36</f>
        <v>0</v>
      </c>
      <c r="Q22" s="102">
        <f>P22+Q23</f>
        <v>1</v>
      </c>
      <c r="R22" s="102">
        <f>Q22+R23</f>
        <v>5</v>
      </c>
      <c r="S22" s="102">
        <f>R22+S23</f>
        <v>10</v>
      </c>
      <c r="T22" s="102">
        <f t="shared" ref="T22:CE22" si="21">S22+T23</f>
        <v>10</v>
      </c>
      <c r="U22" s="102">
        <f t="shared" si="21"/>
        <v>10</v>
      </c>
      <c r="V22" s="102">
        <f t="shared" si="21"/>
        <v>10</v>
      </c>
      <c r="W22" s="102">
        <f t="shared" si="21"/>
        <v>10</v>
      </c>
      <c r="X22" s="102">
        <f t="shared" si="21"/>
        <v>10</v>
      </c>
      <c r="Y22" s="102">
        <f t="shared" si="21"/>
        <v>10</v>
      </c>
      <c r="Z22" s="102">
        <f t="shared" si="21"/>
        <v>10</v>
      </c>
      <c r="AA22" s="102">
        <f t="shared" si="21"/>
        <v>10</v>
      </c>
      <c r="AB22" s="102">
        <f t="shared" si="21"/>
        <v>15</v>
      </c>
      <c r="AC22" s="102">
        <f t="shared" si="21"/>
        <v>20</v>
      </c>
      <c r="AD22" s="102">
        <f t="shared" si="21"/>
        <v>20</v>
      </c>
      <c r="AE22" s="102">
        <f t="shared" si="21"/>
        <v>25</v>
      </c>
      <c r="AF22" s="102">
        <f t="shared" si="21"/>
        <v>25</v>
      </c>
      <c r="AG22" s="102">
        <f t="shared" si="21"/>
        <v>25</v>
      </c>
      <c r="AH22" s="102">
        <f t="shared" si="21"/>
        <v>25</v>
      </c>
      <c r="AI22" s="102">
        <f t="shared" si="21"/>
        <v>25</v>
      </c>
      <c r="AJ22" s="102">
        <f t="shared" si="21"/>
        <v>25</v>
      </c>
      <c r="AK22" s="102">
        <f t="shared" si="21"/>
        <v>25</v>
      </c>
      <c r="AL22" s="102">
        <f t="shared" si="21"/>
        <v>25</v>
      </c>
      <c r="AM22" s="102">
        <f t="shared" si="21"/>
        <v>25</v>
      </c>
      <c r="AN22" s="102">
        <f t="shared" si="21"/>
        <v>25</v>
      </c>
      <c r="AO22" s="102">
        <f t="shared" si="21"/>
        <v>25</v>
      </c>
      <c r="AP22" s="102">
        <f t="shared" si="21"/>
        <v>25</v>
      </c>
      <c r="AQ22" s="102">
        <f t="shared" si="21"/>
        <v>29</v>
      </c>
      <c r="AR22" s="102">
        <f t="shared" si="21"/>
        <v>29</v>
      </c>
      <c r="AS22" s="102">
        <f t="shared" si="21"/>
        <v>30</v>
      </c>
      <c r="AT22" s="102">
        <f t="shared" si="21"/>
        <v>30</v>
      </c>
      <c r="AU22" s="102">
        <f t="shared" si="21"/>
        <v>30</v>
      </c>
      <c r="AV22" s="102">
        <f t="shared" si="21"/>
        <v>30</v>
      </c>
      <c r="AW22" s="102">
        <f t="shared" si="21"/>
        <v>30</v>
      </c>
      <c r="AX22" s="102">
        <f t="shared" si="21"/>
        <v>30</v>
      </c>
      <c r="AY22" s="102">
        <f t="shared" si="21"/>
        <v>30</v>
      </c>
      <c r="AZ22" s="102">
        <f t="shared" si="21"/>
        <v>30</v>
      </c>
      <c r="BA22" s="102">
        <f t="shared" si="21"/>
        <v>30</v>
      </c>
      <c r="BB22" s="102">
        <f t="shared" si="21"/>
        <v>30</v>
      </c>
      <c r="BC22" s="102">
        <f t="shared" si="21"/>
        <v>30</v>
      </c>
      <c r="BD22" s="102">
        <f t="shared" si="21"/>
        <v>30</v>
      </c>
      <c r="BE22" s="102">
        <f t="shared" si="21"/>
        <v>30</v>
      </c>
      <c r="BF22" s="102">
        <f t="shared" si="21"/>
        <v>30</v>
      </c>
      <c r="BG22" s="102">
        <f t="shared" si="21"/>
        <v>30</v>
      </c>
      <c r="BH22" s="102">
        <f t="shared" si="21"/>
        <v>30</v>
      </c>
      <c r="BI22" s="102">
        <f t="shared" si="21"/>
        <v>30</v>
      </c>
      <c r="BJ22" s="102">
        <f t="shared" si="21"/>
        <v>30</v>
      </c>
      <c r="BK22" s="102">
        <f t="shared" si="21"/>
        <v>30</v>
      </c>
      <c r="BL22" s="102">
        <f t="shared" si="21"/>
        <v>30</v>
      </c>
      <c r="BM22" s="102">
        <f t="shared" si="21"/>
        <v>30</v>
      </c>
      <c r="BN22" s="102">
        <f t="shared" si="21"/>
        <v>30</v>
      </c>
      <c r="BO22" s="102">
        <f t="shared" si="21"/>
        <v>30</v>
      </c>
      <c r="BP22" s="102">
        <f t="shared" si="21"/>
        <v>30</v>
      </c>
      <c r="BQ22" s="102">
        <f t="shared" si="21"/>
        <v>30</v>
      </c>
      <c r="BR22" s="102">
        <f t="shared" si="21"/>
        <v>30</v>
      </c>
      <c r="BS22" s="102">
        <f t="shared" si="21"/>
        <v>30</v>
      </c>
      <c r="BT22" s="102">
        <f t="shared" si="21"/>
        <v>30</v>
      </c>
      <c r="BU22" s="102">
        <f t="shared" si="21"/>
        <v>30</v>
      </c>
      <c r="BV22" s="102">
        <f t="shared" si="21"/>
        <v>30</v>
      </c>
      <c r="BW22" s="102">
        <f t="shared" si="21"/>
        <v>30</v>
      </c>
      <c r="BX22" s="102">
        <f t="shared" si="21"/>
        <v>30</v>
      </c>
      <c r="BY22" s="102">
        <f t="shared" si="21"/>
        <v>30</v>
      </c>
      <c r="BZ22" s="102">
        <f t="shared" si="21"/>
        <v>30</v>
      </c>
      <c r="CA22" s="102">
        <f t="shared" si="21"/>
        <v>30</v>
      </c>
      <c r="CB22" s="102">
        <f t="shared" si="21"/>
        <v>30</v>
      </c>
      <c r="CC22" s="102">
        <f t="shared" si="21"/>
        <v>30</v>
      </c>
      <c r="CD22" s="102">
        <f t="shared" si="21"/>
        <v>30</v>
      </c>
      <c r="CE22" s="102">
        <f t="shared" si="21"/>
        <v>30</v>
      </c>
      <c r="CF22" s="102">
        <f t="shared" ref="CF22:EQ22" si="22">CE22+CF23</f>
        <v>30</v>
      </c>
      <c r="CG22" s="102">
        <f t="shared" si="22"/>
        <v>30</v>
      </c>
      <c r="CH22" s="102">
        <f t="shared" si="22"/>
        <v>30</v>
      </c>
      <c r="CI22" s="102">
        <f t="shared" si="22"/>
        <v>30</v>
      </c>
      <c r="CJ22" s="102">
        <f t="shared" si="22"/>
        <v>30</v>
      </c>
      <c r="CK22" s="102">
        <f t="shared" si="22"/>
        <v>30</v>
      </c>
      <c r="CL22" s="102">
        <f t="shared" si="22"/>
        <v>30</v>
      </c>
      <c r="CM22" s="102">
        <f t="shared" si="22"/>
        <v>30</v>
      </c>
      <c r="CN22" s="102">
        <f t="shared" si="22"/>
        <v>30</v>
      </c>
      <c r="CO22" s="102">
        <f t="shared" si="22"/>
        <v>30</v>
      </c>
      <c r="CP22" s="102">
        <f t="shared" si="22"/>
        <v>30</v>
      </c>
      <c r="CQ22" s="102">
        <f t="shared" si="22"/>
        <v>30</v>
      </c>
      <c r="CR22" s="102">
        <f t="shared" si="22"/>
        <v>30</v>
      </c>
      <c r="CS22" s="102">
        <f t="shared" si="22"/>
        <v>30</v>
      </c>
      <c r="CT22" s="102">
        <f t="shared" si="22"/>
        <v>30</v>
      </c>
      <c r="CU22" s="102">
        <f t="shared" si="22"/>
        <v>30</v>
      </c>
      <c r="CV22" s="102">
        <f t="shared" si="22"/>
        <v>30</v>
      </c>
      <c r="CW22" s="102">
        <f t="shared" si="22"/>
        <v>30</v>
      </c>
      <c r="CX22" s="102">
        <f t="shared" si="22"/>
        <v>30</v>
      </c>
      <c r="CY22" s="102">
        <f t="shared" si="22"/>
        <v>30</v>
      </c>
      <c r="CZ22" s="102">
        <f t="shared" si="22"/>
        <v>30</v>
      </c>
      <c r="DA22" s="102">
        <f t="shared" si="22"/>
        <v>30</v>
      </c>
      <c r="DB22" s="102">
        <f t="shared" si="22"/>
        <v>30</v>
      </c>
      <c r="DC22" s="102">
        <f t="shared" si="22"/>
        <v>30</v>
      </c>
      <c r="DD22" s="102">
        <f t="shared" si="22"/>
        <v>30</v>
      </c>
      <c r="DE22" s="102">
        <f t="shared" si="22"/>
        <v>30</v>
      </c>
      <c r="DF22" s="102">
        <f t="shared" si="22"/>
        <v>30</v>
      </c>
      <c r="DG22" s="102">
        <f t="shared" si="22"/>
        <v>30</v>
      </c>
      <c r="DH22" s="102">
        <f t="shared" si="22"/>
        <v>30</v>
      </c>
      <c r="DI22" s="102">
        <f t="shared" si="22"/>
        <v>30</v>
      </c>
      <c r="DJ22" s="102">
        <f t="shared" si="22"/>
        <v>30</v>
      </c>
      <c r="DK22" s="102">
        <f t="shared" si="22"/>
        <v>30</v>
      </c>
      <c r="DL22" s="102">
        <f t="shared" si="22"/>
        <v>30</v>
      </c>
      <c r="DM22" s="102">
        <f t="shared" si="22"/>
        <v>30</v>
      </c>
      <c r="DN22" s="102">
        <f t="shared" si="22"/>
        <v>30</v>
      </c>
      <c r="DO22" s="102">
        <f t="shared" si="22"/>
        <v>30</v>
      </c>
      <c r="DP22" s="102">
        <f t="shared" si="22"/>
        <v>30</v>
      </c>
      <c r="DQ22" s="102">
        <f t="shared" si="22"/>
        <v>30</v>
      </c>
      <c r="DR22" s="102">
        <f t="shared" si="22"/>
        <v>30</v>
      </c>
      <c r="DS22" s="102">
        <f t="shared" si="22"/>
        <v>30</v>
      </c>
      <c r="DT22" s="102">
        <f t="shared" si="22"/>
        <v>30</v>
      </c>
      <c r="DU22" s="102">
        <f t="shared" si="22"/>
        <v>30</v>
      </c>
      <c r="DV22" s="102">
        <f t="shared" si="22"/>
        <v>30</v>
      </c>
      <c r="DW22" s="102">
        <f t="shared" si="22"/>
        <v>30</v>
      </c>
      <c r="DX22" s="102">
        <f t="shared" si="22"/>
        <v>30</v>
      </c>
      <c r="DY22" s="102">
        <f t="shared" si="22"/>
        <v>30</v>
      </c>
      <c r="DZ22" s="102">
        <f t="shared" si="22"/>
        <v>30</v>
      </c>
      <c r="EA22" s="102">
        <f t="shared" si="22"/>
        <v>30</v>
      </c>
      <c r="EB22" s="102">
        <f t="shared" si="22"/>
        <v>30</v>
      </c>
      <c r="EC22" s="102">
        <f t="shared" si="22"/>
        <v>30</v>
      </c>
      <c r="ED22" s="102">
        <f t="shared" si="22"/>
        <v>30</v>
      </c>
      <c r="EE22" s="102">
        <f t="shared" si="22"/>
        <v>30</v>
      </c>
      <c r="EF22" s="102">
        <f t="shared" si="22"/>
        <v>30</v>
      </c>
      <c r="EG22" s="102">
        <f t="shared" si="22"/>
        <v>30</v>
      </c>
      <c r="EH22" s="102">
        <f t="shared" si="22"/>
        <v>30</v>
      </c>
      <c r="EI22" s="102">
        <f t="shared" si="22"/>
        <v>30</v>
      </c>
      <c r="EJ22" s="102">
        <f t="shared" si="22"/>
        <v>30</v>
      </c>
      <c r="EK22" s="102">
        <f t="shared" si="22"/>
        <v>30</v>
      </c>
      <c r="EL22" s="102">
        <f t="shared" si="22"/>
        <v>30</v>
      </c>
      <c r="EM22" s="102">
        <f t="shared" si="22"/>
        <v>30</v>
      </c>
      <c r="EN22" s="102">
        <f t="shared" si="22"/>
        <v>30</v>
      </c>
      <c r="EO22" s="102">
        <f t="shared" si="22"/>
        <v>30</v>
      </c>
      <c r="EP22" s="102">
        <f t="shared" si="22"/>
        <v>30</v>
      </c>
      <c r="EQ22" s="102">
        <f t="shared" si="22"/>
        <v>30</v>
      </c>
      <c r="ER22" s="64"/>
      <c r="ES22" s="421"/>
      <c r="ET22" s="63"/>
      <c r="EU22" s="92"/>
    </row>
    <row r="23" spans="2:151" s="87" customFormat="1" ht="15.75" outlineLevel="1">
      <c r="B23" s="255" t="s">
        <v>93</v>
      </c>
      <c r="C23" s="256">
        <f>SUM(P23:EQ23)</f>
        <v>30</v>
      </c>
      <c r="D23" s="256"/>
      <c r="E23" s="256"/>
      <c r="F23" s="256"/>
      <c r="G23" s="482" t="s">
        <v>99</v>
      </c>
      <c r="H23" s="482"/>
      <c r="I23" s="184"/>
      <c r="J23" s="214"/>
      <c r="K23" s="183"/>
      <c r="L23" s="184"/>
      <c r="M23" s="184"/>
      <c r="N23" s="214"/>
      <c r="O23" s="184">
        <v>0</v>
      </c>
      <c r="P23" s="301">
        <f>P36</f>
        <v>0</v>
      </c>
      <c r="Q23" s="301">
        <f>Q36</f>
        <v>1</v>
      </c>
      <c r="R23" s="301">
        <f t="shared" ref="R23:CC23" si="23">R36</f>
        <v>4</v>
      </c>
      <c r="S23" s="301">
        <f t="shared" si="23"/>
        <v>5</v>
      </c>
      <c r="T23" s="301">
        <f t="shared" si="23"/>
        <v>0</v>
      </c>
      <c r="U23" s="301">
        <f t="shared" si="23"/>
        <v>0</v>
      </c>
      <c r="V23" s="301">
        <f t="shared" si="23"/>
        <v>0</v>
      </c>
      <c r="W23" s="301">
        <f t="shared" si="23"/>
        <v>0</v>
      </c>
      <c r="X23" s="301">
        <f t="shared" si="23"/>
        <v>0</v>
      </c>
      <c r="Y23" s="301">
        <f t="shared" si="23"/>
        <v>0</v>
      </c>
      <c r="Z23" s="301">
        <f t="shared" si="23"/>
        <v>0</v>
      </c>
      <c r="AA23" s="301">
        <f t="shared" si="23"/>
        <v>0</v>
      </c>
      <c r="AB23" s="301">
        <f t="shared" si="23"/>
        <v>5</v>
      </c>
      <c r="AC23" s="301">
        <f t="shared" si="23"/>
        <v>5</v>
      </c>
      <c r="AD23" s="301">
        <f t="shared" si="23"/>
        <v>0</v>
      </c>
      <c r="AE23" s="301">
        <f t="shared" si="23"/>
        <v>5</v>
      </c>
      <c r="AF23" s="301">
        <f t="shared" si="23"/>
        <v>0</v>
      </c>
      <c r="AG23" s="301">
        <f t="shared" si="23"/>
        <v>0</v>
      </c>
      <c r="AH23" s="301">
        <f t="shared" si="23"/>
        <v>0</v>
      </c>
      <c r="AI23" s="301">
        <f t="shared" si="23"/>
        <v>0</v>
      </c>
      <c r="AJ23" s="301">
        <f t="shared" si="23"/>
        <v>0</v>
      </c>
      <c r="AK23" s="301">
        <f t="shared" si="23"/>
        <v>0</v>
      </c>
      <c r="AL23" s="301">
        <f t="shared" si="23"/>
        <v>0</v>
      </c>
      <c r="AM23" s="301">
        <f t="shared" si="23"/>
        <v>0</v>
      </c>
      <c r="AN23" s="301">
        <f t="shared" si="23"/>
        <v>0</v>
      </c>
      <c r="AO23" s="301">
        <f t="shared" si="23"/>
        <v>0</v>
      </c>
      <c r="AP23" s="301">
        <f t="shared" si="23"/>
        <v>0</v>
      </c>
      <c r="AQ23" s="301">
        <f t="shared" si="23"/>
        <v>4</v>
      </c>
      <c r="AR23" s="301">
        <f t="shared" si="23"/>
        <v>0</v>
      </c>
      <c r="AS23" s="301">
        <f t="shared" si="23"/>
        <v>1</v>
      </c>
      <c r="AT23" s="301">
        <f t="shared" si="23"/>
        <v>0</v>
      </c>
      <c r="AU23" s="301">
        <f t="shared" si="23"/>
        <v>0</v>
      </c>
      <c r="AV23" s="301">
        <f t="shared" si="23"/>
        <v>0</v>
      </c>
      <c r="AW23" s="301">
        <f t="shared" si="23"/>
        <v>0</v>
      </c>
      <c r="AX23" s="301">
        <f t="shared" si="23"/>
        <v>0</v>
      </c>
      <c r="AY23" s="301">
        <f t="shared" si="23"/>
        <v>0</v>
      </c>
      <c r="AZ23" s="301">
        <f t="shared" si="23"/>
        <v>0</v>
      </c>
      <c r="BA23" s="301">
        <f t="shared" si="23"/>
        <v>0</v>
      </c>
      <c r="BB23" s="301">
        <f t="shared" si="23"/>
        <v>0</v>
      </c>
      <c r="BC23" s="301">
        <f t="shared" si="23"/>
        <v>0</v>
      </c>
      <c r="BD23" s="301">
        <f t="shared" si="23"/>
        <v>0</v>
      </c>
      <c r="BE23" s="301">
        <f t="shared" si="23"/>
        <v>0</v>
      </c>
      <c r="BF23" s="301">
        <f t="shared" si="23"/>
        <v>0</v>
      </c>
      <c r="BG23" s="301">
        <f t="shared" si="23"/>
        <v>0</v>
      </c>
      <c r="BH23" s="301">
        <f t="shared" si="23"/>
        <v>0</v>
      </c>
      <c r="BI23" s="301">
        <f t="shared" si="23"/>
        <v>0</v>
      </c>
      <c r="BJ23" s="301">
        <f t="shared" si="23"/>
        <v>0</v>
      </c>
      <c r="BK23" s="301">
        <f t="shared" si="23"/>
        <v>0</v>
      </c>
      <c r="BL23" s="301">
        <f t="shared" si="23"/>
        <v>0</v>
      </c>
      <c r="BM23" s="301">
        <f t="shared" si="23"/>
        <v>0</v>
      </c>
      <c r="BN23" s="301">
        <f t="shared" si="23"/>
        <v>0</v>
      </c>
      <c r="BO23" s="301">
        <f t="shared" si="23"/>
        <v>0</v>
      </c>
      <c r="BP23" s="301">
        <f t="shared" si="23"/>
        <v>0</v>
      </c>
      <c r="BQ23" s="301">
        <f t="shared" si="23"/>
        <v>0</v>
      </c>
      <c r="BR23" s="301">
        <f t="shared" si="23"/>
        <v>0</v>
      </c>
      <c r="BS23" s="301">
        <f t="shared" si="23"/>
        <v>0</v>
      </c>
      <c r="BT23" s="301">
        <f t="shared" si="23"/>
        <v>0</v>
      </c>
      <c r="BU23" s="301">
        <f t="shared" si="23"/>
        <v>0</v>
      </c>
      <c r="BV23" s="301">
        <f t="shared" si="23"/>
        <v>0</v>
      </c>
      <c r="BW23" s="301">
        <f t="shared" si="23"/>
        <v>0</v>
      </c>
      <c r="BX23" s="301">
        <f t="shared" si="23"/>
        <v>0</v>
      </c>
      <c r="BY23" s="301">
        <f t="shared" si="23"/>
        <v>0</v>
      </c>
      <c r="BZ23" s="301">
        <f t="shared" si="23"/>
        <v>0</v>
      </c>
      <c r="CA23" s="301">
        <f t="shared" si="23"/>
        <v>0</v>
      </c>
      <c r="CB23" s="301">
        <f t="shared" si="23"/>
        <v>0</v>
      </c>
      <c r="CC23" s="301">
        <f t="shared" si="23"/>
        <v>0</v>
      </c>
      <c r="CD23" s="301">
        <f t="shared" ref="CD23:EO23" si="24">CD36</f>
        <v>0</v>
      </c>
      <c r="CE23" s="301">
        <f t="shared" si="24"/>
        <v>0</v>
      </c>
      <c r="CF23" s="301">
        <f t="shared" si="24"/>
        <v>0</v>
      </c>
      <c r="CG23" s="301">
        <f t="shared" si="24"/>
        <v>0</v>
      </c>
      <c r="CH23" s="301">
        <f t="shared" si="24"/>
        <v>0</v>
      </c>
      <c r="CI23" s="301">
        <f t="shared" si="24"/>
        <v>0</v>
      </c>
      <c r="CJ23" s="301">
        <f t="shared" si="24"/>
        <v>0</v>
      </c>
      <c r="CK23" s="301">
        <f t="shared" si="24"/>
        <v>0</v>
      </c>
      <c r="CL23" s="301">
        <f t="shared" si="24"/>
        <v>0</v>
      </c>
      <c r="CM23" s="301">
        <f t="shared" si="24"/>
        <v>0</v>
      </c>
      <c r="CN23" s="301">
        <f t="shared" si="24"/>
        <v>0</v>
      </c>
      <c r="CO23" s="301">
        <f t="shared" si="24"/>
        <v>0</v>
      </c>
      <c r="CP23" s="301">
        <f t="shared" si="24"/>
        <v>0</v>
      </c>
      <c r="CQ23" s="301">
        <f t="shared" si="24"/>
        <v>0</v>
      </c>
      <c r="CR23" s="301">
        <f t="shared" si="24"/>
        <v>0</v>
      </c>
      <c r="CS23" s="301">
        <f t="shared" si="24"/>
        <v>0</v>
      </c>
      <c r="CT23" s="301">
        <f t="shared" si="24"/>
        <v>0</v>
      </c>
      <c r="CU23" s="301">
        <f t="shared" si="24"/>
        <v>0</v>
      </c>
      <c r="CV23" s="301">
        <f t="shared" si="24"/>
        <v>0</v>
      </c>
      <c r="CW23" s="301">
        <f t="shared" si="24"/>
        <v>0</v>
      </c>
      <c r="CX23" s="301">
        <f t="shared" si="24"/>
        <v>0</v>
      </c>
      <c r="CY23" s="301">
        <f t="shared" si="24"/>
        <v>0</v>
      </c>
      <c r="CZ23" s="301">
        <f t="shared" si="24"/>
        <v>0</v>
      </c>
      <c r="DA23" s="301">
        <f t="shared" si="24"/>
        <v>0</v>
      </c>
      <c r="DB23" s="301">
        <f t="shared" si="24"/>
        <v>0</v>
      </c>
      <c r="DC23" s="301">
        <f t="shared" si="24"/>
        <v>0</v>
      </c>
      <c r="DD23" s="301">
        <f t="shared" si="24"/>
        <v>0</v>
      </c>
      <c r="DE23" s="301">
        <f t="shared" si="24"/>
        <v>0</v>
      </c>
      <c r="DF23" s="301">
        <f t="shared" si="24"/>
        <v>0</v>
      </c>
      <c r="DG23" s="301">
        <f t="shared" si="24"/>
        <v>0</v>
      </c>
      <c r="DH23" s="301">
        <f t="shared" si="24"/>
        <v>0</v>
      </c>
      <c r="DI23" s="301">
        <f t="shared" si="24"/>
        <v>0</v>
      </c>
      <c r="DJ23" s="301">
        <f t="shared" si="24"/>
        <v>0</v>
      </c>
      <c r="DK23" s="301">
        <f t="shared" si="24"/>
        <v>0</v>
      </c>
      <c r="DL23" s="301">
        <f t="shared" si="24"/>
        <v>0</v>
      </c>
      <c r="DM23" s="301">
        <f t="shared" si="24"/>
        <v>0</v>
      </c>
      <c r="DN23" s="301">
        <f t="shared" si="24"/>
        <v>0</v>
      </c>
      <c r="DO23" s="301">
        <f t="shared" si="24"/>
        <v>0</v>
      </c>
      <c r="DP23" s="301">
        <f t="shared" si="24"/>
        <v>0</v>
      </c>
      <c r="DQ23" s="301">
        <f t="shared" si="24"/>
        <v>0</v>
      </c>
      <c r="DR23" s="301">
        <f t="shared" si="24"/>
        <v>0</v>
      </c>
      <c r="DS23" s="301">
        <f t="shared" si="24"/>
        <v>0</v>
      </c>
      <c r="DT23" s="301">
        <f t="shared" si="24"/>
        <v>0</v>
      </c>
      <c r="DU23" s="301">
        <f t="shared" si="24"/>
        <v>0</v>
      </c>
      <c r="DV23" s="301">
        <f t="shared" si="24"/>
        <v>0</v>
      </c>
      <c r="DW23" s="301">
        <f t="shared" si="24"/>
        <v>0</v>
      </c>
      <c r="DX23" s="301">
        <f t="shared" si="24"/>
        <v>0</v>
      </c>
      <c r="DY23" s="301">
        <f t="shared" si="24"/>
        <v>0</v>
      </c>
      <c r="DZ23" s="301">
        <f t="shared" si="24"/>
        <v>0</v>
      </c>
      <c r="EA23" s="301">
        <f t="shared" si="24"/>
        <v>0</v>
      </c>
      <c r="EB23" s="301">
        <f t="shared" si="24"/>
        <v>0</v>
      </c>
      <c r="EC23" s="301">
        <f t="shared" si="24"/>
        <v>0</v>
      </c>
      <c r="ED23" s="301">
        <f t="shared" si="24"/>
        <v>0</v>
      </c>
      <c r="EE23" s="301">
        <f t="shared" si="24"/>
        <v>0</v>
      </c>
      <c r="EF23" s="301">
        <f t="shared" si="24"/>
        <v>0</v>
      </c>
      <c r="EG23" s="301">
        <f t="shared" si="24"/>
        <v>0</v>
      </c>
      <c r="EH23" s="301">
        <f t="shared" si="24"/>
        <v>0</v>
      </c>
      <c r="EI23" s="301">
        <f t="shared" si="24"/>
        <v>0</v>
      </c>
      <c r="EJ23" s="301">
        <f t="shared" si="24"/>
        <v>0</v>
      </c>
      <c r="EK23" s="301">
        <f t="shared" si="24"/>
        <v>0</v>
      </c>
      <c r="EL23" s="301">
        <f t="shared" si="24"/>
        <v>0</v>
      </c>
      <c r="EM23" s="301">
        <f t="shared" si="24"/>
        <v>0</v>
      </c>
      <c r="EN23" s="301">
        <f t="shared" si="24"/>
        <v>0</v>
      </c>
      <c r="EO23" s="301">
        <f t="shared" si="24"/>
        <v>0</v>
      </c>
      <c r="EP23" s="301">
        <f>EP36</f>
        <v>0</v>
      </c>
      <c r="EQ23" s="301">
        <f>EQ36</f>
        <v>0</v>
      </c>
      <c r="ER23" s="64"/>
      <c r="ES23" s="421"/>
      <c r="ET23" s="63"/>
      <c r="EU23" s="92"/>
    </row>
    <row r="24" spans="2:151" s="87" customFormat="1" ht="15.75" outlineLevel="1">
      <c r="B24" s="255" t="s">
        <v>93</v>
      </c>
      <c r="C24" s="256">
        <f>SUM(P24:EQ24)</f>
        <v>22</v>
      </c>
      <c r="D24" s="256"/>
      <c r="E24" s="256"/>
      <c r="F24" s="256"/>
      <c r="G24" s="483" t="s">
        <v>94</v>
      </c>
      <c r="H24" s="483"/>
      <c r="I24" s="268"/>
      <c r="J24" s="270"/>
      <c r="K24" s="269"/>
      <c r="L24" s="268"/>
      <c r="M24" s="268"/>
      <c r="N24" s="270"/>
      <c r="O24" s="268">
        <v>0</v>
      </c>
      <c r="P24" s="271">
        <f>'Renovation Timing'!C33</f>
        <v>0</v>
      </c>
      <c r="Q24" s="271">
        <f>'Renovation Timing'!D33</f>
        <v>5</v>
      </c>
      <c r="R24" s="271">
        <f>'Renovation Timing'!E33</f>
        <v>3</v>
      </c>
      <c r="S24" s="271">
        <f>'Renovation Timing'!F33</f>
        <v>3</v>
      </c>
      <c r="T24" s="271">
        <f>'Renovation Timing'!G33</f>
        <v>0</v>
      </c>
      <c r="U24" s="271">
        <f>'Renovation Timing'!H33</f>
        <v>3</v>
      </c>
      <c r="V24" s="271">
        <f>'Renovation Timing'!I33</f>
        <v>1</v>
      </c>
      <c r="W24" s="271">
        <f>'Renovation Timing'!J33</f>
        <v>1</v>
      </c>
      <c r="X24" s="271">
        <f>'Renovation Timing'!K33</f>
        <v>4</v>
      </c>
      <c r="Y24" s="271">
        <f>'Renovation Timing'!L33</f>
        <v>2</v>
      </c>
      <c r="Z24" s="271">
        <f>'Renovation Timing'!M33</f>
        <v>0</v>
      </c>
      <c r="AA24" s="271">
        <f>'Renovation Timing'!N33</f>
        <v>0</v>
      </c>
      <c r="AB24" s="271">
        <f>'Renovation Timing'!O33</f>
        <v>0</v>
      </c>
      <c r="AC24" s="271">
        <f>'Renovation Timing'!P33</f>
        <v>0</v>
      </c>
      <c r="AD24" s="271">
        <f>'Renovation Timing'!Q33</f>
        <v>0</v>
      </c>
      <c r="AE24" s="271">
        <f>'Renovation Timing'!R33</f>
        <v>0</v>
      </c>
      <c r="AF24" s="271">
        <f>'Renovation Timing'!S33</f>
        <v>0</v>
      </c>
      <c r="AG24" s="271">
        <f>'Renovation Timing'!T33</f>
        <v>0</v>
      </c>
      <c r="AH24" s="271">
        <f>'Renovation Timing'!U33</f>
        <v>0</v>
      </c>
      <c r="AI24" s="271">
        <f>'Renovation Timing'!V33</f>
        <v>0</v>
      </c>
      <c r="AJ24" s="271">
        <f>'Renovation Timing'!W33</f>
        <v>0</v>
      </c>
      <c r="AK24" s="271">
        <f>'Renovation Timing'!X33</f>
        <v>0</v>
      </c>
      <c r="AL24" s="271">
        <f>'Renovation Timing'!Y33</f>
        <v>0</v>
      </c>
      <c r="AM24" s="271">
        <f>'Renovation Timing'!Z33</f>
        <v>0</v>
      </c>
      <c r="AN24" s="271">
        <f>'Renovation Timing'!AA33</f>
        <v>0</v>
      </c>
      <c r="AO24" s="271">
        <f>'Renovation Timing'!AB33</f>
        <v>0</v>
      </c>
      <c r="AP24" s="271">
        <f>'Renovation Timing'!AC33</f>
        <v>0</v>
      </c>
      <c r="AQ24" s="271">
        <f>'Renovation Timing'!AD33</f>
        <v>0</v>
      </c>
      <c r="AR24" s="271">
        <f>'Renovation Timing'!AE33</f>
        <v>0</v>
      </c>
      <c r="AS24" s="271">
        <f>'Renovation Timing'!AF33</f>
        <v>0</v>
      </c>
      <c r="AT24" s="271">
        <f>'Renovation Timing'!AG33</f>
        <v>0</v>
      </c>
      <c r="AU24" s="271">
        <f>'Renovation Timing'!AH33</f>
        <v>0</v>
      </c>
      <c r="AV24" s="271">
        <f>'Renovation Timing'!AI33</f>
        <v>0</v>
      </c>
      <c r="AW24" s="271">
        <f>'Renovation Timing'!AJ33</f>
        <v>0</v>
      </c>
      <c r="AX24" s="271">
        <f>'Renovation Timing'!AK33</f>
        <v>0</v>
      </c>
      <c r="AY24" s="271">
        <f>'Renovation Timing'!AL33</f>
        <v>0</v>
      </c>
      <c r="AZ24" s="271">
        <f>'Renovation Timing'!AM33</f>
        <v>0</v>
      </c>
      <c r="BA24" s="271">
        <f>'Renovation Timing'!AN33</f>
        <v>0</v>
      </c>
      <c r="BB24" s="271">
        <f>'Renovation Timing'!AO33</f>
        <v>0</v>
      </c>
      <c r="BC24" s="271">
        <f>'Renovation Timing'!AP33</f>
        <v>0</v>
      </c>
      <c r="BD24" s="271">
        <f>'Renovation Timing'!AQ33</f>
        <v>0</v>
      </c>
      <c r="BE24" s="271">
        <f>'Renovation Timing'!AR33</f>
        <v>0</v>
      </c>
      <c r="BF24" s="271">
        <f>'Renovation Timing'!AS33</f>
        <v>0</v>
      </c>
      <c r="BG24" s="271">
        <f>'Renovation Timing'!AT33</f>
        <v>0</v>
      </c>
      <c r="BH24" s="271">
        <f>'Renovation Timing'!AU33</f>
        <v>0</v>
      </c>
      <c r="BI24" s="271">
        <f>'Renovation Timing'!AV33</f>
        <v>0</v>
      </c>
      <c r="BJ24" s="271">
        <f>'Renovation Timing'!AW33</f>
        <v>0</v>
      </c>
      <c r="BK24" s="271">
        <f>'Renovation Timing'!AX33</f>
        <v>0</v>
      </c>
      <c r="BL24" s="271">
        <f>'Renovation Timing'!AY33</f>
        <v>0</v>
      </c>
      <c r="BM24" s="271">
        <f>'Renovation Timing'!AZ33</f>
        <v>0</v>
      </c>
      <c r="BN24" s="271">
        <f>'Renovation Timing'!BA33</f>
        <v>0</v>
      </c>
      <c r="BO24" s="271">
        <f>'Renovation Timing'!BB33</f>
        <v>0</v>
      </c>
      <c r="BP24" s="271">
        <f>'Renovation Timing'!BC33</f>
        <v>0</v>
      </c>
      <c r="BQ24" s="271">
        <f>'Renovation Timing'!BD33</f>
        <v>0</v>
      </c>
      <c r="BR24" s="271">
        <f>'Renovation Timing'!BE33</f>
        <v>0</v>
      </c>
      <c r="BS24" s="271">
        <f>'Renovation Timing'!BF33</f>
        <v>0</v>
      </c>
      <c r="BT24" s="271">
        <f>'Renovation Timing'!BG33</f>
        <v>0</v>
      </c>
      <c r="BU24" s="271">
        <f>'Renovation Timing'!BH33</f>
        <v>0</v>
      </c>
      <c r="BV24" s="271">
        <f>'Renovation Timing'!BI33</f>
        <v>0</v>
      </c>
      <c r="BW24" s="271">
        <f>'Renovation Timing'!BJ33</f>
        <v>0</v>
      </c>
      <c r="BX24" s="271">
        <f>'Renovation Timing'!BK33</f>
        <v>0</v>
      </c>
      <c r="BY24" s="271">
        <f>'Renovation Timing'!BL33</f>
        <v>0</v>
      </c>
      <c r="BZ24" s="271">
        <f>'Renovation Timing'!BM33</f>
        <v>0</v>
      </c>
      <c r="CA24" s="271">
        <f>'Renovation Timing'!BN33</f>
        <v>0</v>
      </c>
      <c r="CB24" s="271">
        <f>'Renovation Timing'!BO33</f>
        <v>0</v>
      </c>
      <c r="CC24" s="271">
        <f>'Renovation Timing'!BP33</f>
        <v>0</v>
      </c>
      <c r="CD24" s="271">
        <f>'Renovation Timing'!BQ33</f>
        <v>0</v>
      </c>
      <c r="CE24" s="271">
        <f>'Renovation Timing'!BR33</f>
        <v>0</v>
      </c>
      <c r="CF24" s="271">
        <f>'Renovation Timing'!BS33</f>
        <v>0</v>
      </c>
      <c r="CG24" s="271">
        <f>'Renovation Timing'!BT33</f>
        <v>0</v>
      </c>
      <c r="CH24" s="271">
        <f>'Renovation Timing'!BU33</f>
        <v>0</v>
      </c>
      <c r="CI24" s="271">
        <f>'Renovation Timing'!BV33</f>
        <v>0</v>
      </c>
      <c r="CJ24" s="271">
        <f>'Renovation Timing'!BW33</f>
        <v>0</v>
      </c>
      <c r="CK24" s="271">
        <f>'Renovation Timing'!BX33</f>
        <v>0</v>
      </c>
      <c r="CL24" s="271">
        <f>'Renovation Timing'!BY33</f>
        <v>0</v>
      </c>
      <c r="CM24" s="271">
        <f>'Renovation Timing'!BZ33</f>
        <v>0</v>
      </c>
      <c r="CN24" s="271">
        <f>'Renovation Timing'!CA33</f>
        <v>0</v>
      </c>
      <c r="CO24" s="271">
        <f>'Renovation Timing'!CB33</f>
        <v>0</v>
      </c>
      <c r="CP24" s="271">
        <f>'Renovation Timing'!CC33</f>
        <v>0</v>
      </c>
      <c r="CQ24" s="271">
        <f>'Renovation Timing'!CD33</f>
        <v>0</v>
      </c>
      <c r="CR24" s="271">
        <f>'Renovation Timing'!CE33</f>
        <v>0</v>
      </c>
      <c r="CS24" s="271">
        <f>'Renovation Timing'!CF33</f>
        <v>0</v>
      </c>
      <c r="CT24" s="271">
        <f>'Renovation Timing'!CG33</f>
        <v>0</v>
      </c>
      <c r="CU24" s="271">
        <f>'Renovation Timing'!CH33</f>
        <v>0</v>
      </c>
      <c r="CV24" s="271">
        <f>'Renovation Timing'!CI33</f>
        <v>0</v>
      </c>
      <c r="CW24" s="271">
        <f>'Renovation Timing'!CJ33</f>
        <v>0</v>
      </c>
      <c r="CX24" s="271">
        <f>'Renovation Timing'!CK33</f>
        <v>0</v>
      </c>
      <c r="CY24" s="271">
        <f>'Renovation Timing'!CL33</f>
        <v>0</v>
      </c>
      <c r="CZ24" s="271">
        <f>'Renovation Timing'!CM33</f>
        <v>0</v>
      </c>
      <c r="DA24" s="271">
        <f>'Renovation Timing'!CN33</f>
        <v>0</v>
      </c>
      <c r="DB24" s="271">
        <f>'Renovation Timing'!CO33</f>
        <v>0</v>
      </c>
      <c r="DC24" s="271">
        <f>'Renovation Timing'!CP33</f>
        <v>0</v>
      </c>
      <c r="DD24" s="271">
        <f>'Renovation Timing'!CQ33</f>
        <v>0</v>
      </c>
      <c r="DE24" s="271">
        <f>'Renovation Timing'!CR33</f>
        <v>0</v>
      </c>
      <c r="DF24" s="271">
        <f>'Renovation Timing'!CS33</f>
        <v>0</v>
      </c>
      <c r="DG24" s="271">
        <f>'Renovation Timing'!CT33</f>
        <v>0</v>
      </c>
      <c r="DH24" s="271">
        <f>'Renovation Timing'!CU33</f>
        <v>0</v>
      </c>
      <c r="DI24" s="271">
        <f>'Renovation Timing'!CV33</f>
        <v>0</v>
      </c>
      <c r="DJ24" s="271">
        <f>'Renovation Timing'!CW33</f>
        <v>0</v>
      </c>
      <c r="DK24" s="271">
        <f>'Renovation Timing'!CX33</f>
        <v>0</v>
      </c>
      <c r="DL24" s="271">
        <f>'Renovation Timing'!CY33</f>
        <v>0</v>
      </c>
      <c r="DM24" s="271">
        <f>'Renovation Timing'!CZ33</f>
        <v>0</v>
      </c>
      <c r="DN24" s="271">
        <f>'Renovation Timing'!DA33</f>
        <v>0</v>
      </c>
      <c r="DO24" s="271">
        <f>'Renovation Timing'!DB33</f>
        <v>0</v>
      </c>
      <c r="DP24" s="271">
        <f>'Renovation Timing'!DC33</f>
        <v>0</v>
      </c>
      <c r="DQ24" s="271">
        <f>'Renovation Timing'!DD33</f>
        <v>0</v>
      </c>
      <c r="DR24" s="271">
        <f>'Renovation Timing'!DE33</f>
        <v>0</v>
      </c>
      <c r="DS24" s="271">
        <f>'Renovation Timing'!DF33</f>
        <v>0</v>
      </c>
      <c r="DT24" s="271">
        <f>'Renovation Timing'!DG33</f>
        <v>0</v>
      </c>
      <c r="DU24" s="271">
        <f>'Renovation Timing'!DH33</f>
        <v>0</v>
      </c>
      <c r="DV24" s="271">
        <f>'Renovation Timing'!DI33</f>
        <v>0</v>
      </c>
      <c r="DW24" s="271">
        <f>'Renovation Timing'!DJ33</f>
        <v>0</v>
      </c>
      <c r="DX24" s="271">
        <f>'Renovation Timing'!DK33</f>
        <v>0</v>
      </c>
      <c r="DY24" s="271">
        <f>'Renovation Timing'!DL33</f>
        <v>0</v>
      </c>
      <c r="DZ24" s="271">
        <f>'Renovation Timing'!DM33</f>
        <v>0</v>
      </c>
      <c r="EA24" s="271">
        <f>'Renovation Timing'!DN33</f>
        <v>0</v>
      </c>
      <c r="EB24" s="271">
        <f>'Renovation Timing'!DO33</f>
        <v>0</v>
      </c>
      <c r="EC24" s="271">
        <f>'Renovation Timing'!DP33</f>
        <v>0</v>
      </c>
      <c r="ED24" s="271">
        <f>'Renovation Timing'!DQ33</f>
        <v>0</v>
      </c>
      <c r="EE24" s="271">
        <f>'Renovation Timing'!DR33</f>
        <v>0</v>
      </c>
      <c r="EF24" s="271">
        <f>'Renovation Timing'!DS33</f>
        <v>0</v>
      </c>
      <c r="EG24" s="271">
        <f>'Renovation Timing'!DT33</f>
        <v>0</v>
      </c>
      <c r="EH24" s="271">
        <f>'Renovation Timing'!DU33</f>
        <v>0</v>
      </c>
      <c r="EI24" s="271">
        <f>'Renovation Timing'!DV33</f>
        <v>0</v>
      </c>
      <c r="EJ24" s="271">
        <f>'Renovation Timing'!DW33</f>
        <v>0</v>
      </c>
      <c r="EK24" s="271">
        <f>'Renovation Timing'!DX33</f>
        <v>0</v>
      </c>
      <c r="EL24" s="271">
        <f>'Renovation Timing'!DY33</f>
        <v>0</v>
      </c>
      <c r="EM24" s="271">
        <f>'Renovation Timing'!DZ33</f>
        <v>0</v>
      </c>
      <c r="EN24" s="271">
        <f>'Renovation Timing'!EA33</f>
        <v>0</v>
      </c>
      <c r="EO24" s="271">
        <f>'Renovation Timing'!EB33</f>
        <v>0</v>
      </c>
      <c r="EP24" s="271">
        <f>'Renovation Timing'!EC33</f>
        <v>0</v>
      </c>
      <c r="EQ24" s="271">
        <f>'Renovation Timing'!ED33</f>
        <v>0</v>
      </c>
      <c r="ER24" s="64"/>
      <c r="ES24" s="421"/>
      <c r="ET24" s="63"/>
      <c r="EU24" s="92"/>
    </row>
    <row r="25" spans="2:151" s="65" customFormat="1" ht="15.75" outlineLevel="1">
      <c r="B25" s="609"/>
      <c r="C25" s="610"/>
      <c r="D25" s="610"/>
      <c r="E25" s="610"/>
      <c r="F25" s="610"/>
      <c r="G25" s="483" t="s">
        <v>253</v>
      </c>
      <c r="H25" s="483"/>
      <c r="I25" s="268"/>
      <c r="J25" s="270"/>
      <c r="K25" s="269"/>
      <c r="L25" s="268"/>
      <c r="M25" s="268"/>
      <c r="N25" s="270"/>
      <c r="O25" s="268">
        <v>0</v>
      </c>
      <c r="P25" s="271">
        <f>P24-P23</f>
        <v>0</v>
      </c>
      <c r="Q25" s="271">
        <f t="shared" ref="Q25:AL25" si="25">Q24-Q23</f>
        <v>4</v>
      </c>
      <c r="R25" s="271">
        <f t="shared" si="25"/>
        <v>-1</v>
      </c>
      <c r="S25" s="271">
        <f t="shared" si="25"/>
        <v>-2</v>
      </c>
      <c r="T25" s="271">
        <f t="shared" si="25"/>
        <v>0</v>
      </c>
      <c r="U25" s="271">
        <f t="shared" si="25"/>
        <v>3</v>
      </c>
      <c r="V25" s="271">
        <f t="shared" si="25"/>
        <v>1</v>
      </c>
      <c r="W25" s="271">
        <f t="shared" si="25"/>
        <v>1</v>
      </c>
      <c r="X25" s="271">
        <f t="shared" si="25"/>
        <v>4</v>
      </c>
      <c r="Y25" s="271">
        <f t="shared" si="25"/>
        <v>2</v>
      </c>
      <c r="Z25" s="271">
        <f t="shared" si="25"/>
        <v>0</v>
      </c>
      <c r="AA25" s="271">
        <f t="shared" si="25"/>
        <v>0</v>
      </c>
      <c r="AB25" s="271">
        <f t="shared" si="25"/>
        <v>-5</v>
      </c>
      <c r="AC25" s="271">
        <f t="shared" si="25"/>
        <v>-5</v>
      </c>
      <c r="AD25" s="271">
        <f t="shared" si="25"/>
        <v>0</v>
      </c>
      <c r="AE25" s="271">
        <f t="shared" si="25"/>
        <v>-5</v>
      </c>
      <c r="AF25" s="271">
        <f t="shared" si="25"/>
        <v>0</v>
      </c>
      <c r="AG25" s="271">
        <f t="shared" si="25"/>
        <v>0</v>
      </c>
      <c r="AH25" s="271">
        <f t="shared" si="25"/>
        <v>0</v>
      </c>
      <c r="AI25" s="271">
        <f t="shared" si="25"/>
        <v>0</v>
      </c>
      <c r="AJ25" s="271">
        <f t="shared" si="25"/>
        <v>0</v>
      </c>
      <c r="AK25" s="271">
        <f t="shared" si="25"/>
        <v>0</v>
      </c>
      <c r="AL25" s="271">
        <f t="shared" si="25"/>
        <v>0</v>
      </c>
      <c r="AM25" s="271">
        <f t="shared" ref="AM25:CX25" si="26">AM24-AM23</f>
        <v>0</v>
      </c>
      <c r="AN25" s="271">
        <f t="shared" si="26"/>
        <v>0</v>
      </c>
      <c r="AO25" s="271">
        <f t="shared" si="26"/>
        <v>0</v>
      </c>
      <c r="AP25" s="271">
        <f t="shared" si="26"/>
        <v>0</v>
      </c>
      <c r="AQ25" s="271">
        <f t="shared" si="26"/>
        <v>-4</v>
      </c>
      <c r="AR25" s="271">
        <f t="shared" si="26"/>
        <v>0</v>
      </c>
      <c r="AS25" s="271">
        <f t="shared" si="26"/>
        <v>-1</v>
      </c>
      <c r="AT25" s="271">
        <f t="shared" si="26"/>
        <v>0</v>
      </c>
      <c r="AU25" s="271">
        <f t="shared" si="26"/>
        <v>0</v>
      </c>
      <c r="AV25" s="271">
        <f t="shared" si="26"/>
        <v>0</v>
      </c>
      <c r="AW25" s="271">
        <f t="shared" si="26"/>
        <v>0</v>
      </c>
      <c r="AX25" s="271">
        <f t="shared" si="26"/>
        <v>0</v>
      </c>
      <c r="AY25" s="271">
        <f t="shared" si="26"/>
        <v>0</v>
      </c>
      <c r="AZ25" s="271">
        <f t="shared" si="26"/>
        <v>0</v>
      </c>
      <c r="BA25" s="271">
        <f t="shared" si="26"/>
        <v>0</v>
      </c>
      <c r="BB25" s="271">
        <f t="shared" si="26"/>
        <v>0</v>
      </c>
      <c r="BC25" s="271">
        <f t="shared" si="26"/>
        <v>0</v>
      </c>
      <c r="BD25" s="271">
        <f t="shared" si="26"/>
        <v>0</v>
      </c>
      <c r="BE25" s="271">
        <f t="shared" si="26"/>
        <v>0</v>
      </c>
      <c r="BF25" s="271">
        <f t="shared" si="26"/>
        <v>0</v>
      </c>
      <c r="BG25" s="271">
        <f t="shared" si="26"/>
        <v>0</v>
      </c>
      <c r="BH25" s="271">
        <f t="shared" si="26"/>
        <v>0</v>
      </c>
      <c r="BI25" s="271">
        <f t="shared" si="26"/>
        <v>0</v>
      </c>
      <c r="BJ25" s="271">
        <f t="shared" si="26"/>
        <v>0</v>
      </c>
      <c r="BK25" s="271">
        <f t="shared" si="26"/>
        <v>0</v>
      </c>
      <c r="BL25" s="271">
        <f t="shared" si="26"/>
        <v>0</v>
      </c>
      <c r="BM25" s="271">
        <f t="shared" si="26"/>
        <v>0</v>
      </c>
      <c r="BN25" s="271">
        <f t="shared" si="26"/>
        <v>0</v>
      </c>
      <c r="BO25" s="271">
        <f t="shared" si="26"/>
        <v>0</v>
      </c>
      <c r="BP25" s="271">
        <f t="shared" si="26"/>
        <v>0</v>
      </c>
      <c r="BQ25" s="271">
        <f t="shared" si="26"/>
        <v>0</v>
      </c>
      <c r="BR25" s="271">
        <f t="shared" si="26"/>
        <v>0</v>
      </c>
      <c r="BS25" s="271">
        <f t="shared" si="26"/>
        <v>0</v>
      </c>
      <c r="BT25" s="271">
        <f t="shared" si="26"/>
        <v>0</v>
      </c>
      <c r="BU25" s="271">
        <f t="shared" si="26"/>
        <v>0</v>
      </c>
      <c r="BV25" s="271">
        <f t="shared" si="26"/>
        <v>0</v>
      </c>
      <c r="BW25" s="271">
        <f t="shared" si="26"/>
        <v>0</v>
      </c>
      <c r="BX25" s="271">
        <f t="shared" si="26"/>
        <v>0</v>
      </c>
      <c r="BY25" s="271">
        <f t="shared" si="26"/>
        <v>0</v>
      </c>
      <c r="BZ25" s="271">
        <f t="shared" si="26"/>
        <v>0</v>
      </c>
      <c r="CA25" s="271">
        <f t="shared" si="26"/>
        <v>0</v>
      </c>
      <c r="CB25" s="271">
        <f t="shared" si="26"/>
        <v>0</v>
      </c>
      <c r="CC25" s="271">
        <f t="shared" si="26"/>
        <v>0</v>
      </c>
      <c r="CD25" s="271">
        <f t="shared" si="26"/>
        <v>0</v>
      </c>
      <c r="CE25" s="271">
        <f t="shared" si="26"/>
        <v>0</v>
      </c>
      <c r="CF25" s="271">
        <f t="shared" si="26"/>
        <v>0</v>
      </c>
      <c r="CG25" s="271">
        <f t="shared" si="26"/>
        <v>0</v>
      </c>
      <c r="CH25" s="271">
        <f t="shared" si="26"/>
        <v>0</v>
      </c>
      <c r="CI25" s="271">
        <f t="shared" si="26"/>
        <v>0</v>
      </c>
      <c r="CJ25" s="271">
        <f t="shared" si="26"/>
        <v>0</v>
      </c>
      <c r="CK25" s="271">
        <f t="shared" si="26"/>
        <v>0</v>
      </c>
      <c r="CL25" s="271">
        <f t="shared" si="26"/>
        <v>0</v>
      </c>
      <c r="CM25" s="271">
        <f t="shared" si="26"/>
        <v>0</v>
      </c>
      <c r="CN25" s="271">
        <f t="shared" si="26"/>
        <v>0</v>
      </c>
      <c r="CO25" s="271">
        <f t="shared" si="26"/>
        <v>0</v>
      </c>
      <c r="CP25" s="271">
        <f t="shared" si="26"/>
        <v>0</v>
      </c>
      <c r="CQ25" s="271">
        <f t="shared" si="26"/>
        <v>0</v>
      </c>
      <c r="CR25" s="271">
        <f t="shared" si="26"/>
        <v>0</v>
      </c>
      <c r="CS25" s="271">
        <f t="shared" si="26"/>
        <v>0</v>
      </c>
      <c r="CT25" s="271">
        <f t="shared" si="26"/>
        <v>0</v>
      </c>
      <c r="CU25" s="271">
        <f t="shared" si="26"/>
        <v>0</v>
      </c>
      <c r="CV25" s="271">
        <f t="shared" si="26"/>
        <v>0</v>
      </c>
      <c r="CW25" s="271">
        <f t="shared" si="26"/>
        <v>0</v>
      </c>
      <c r="CX25" s="271">
        <f t="shared" si="26"/>
        <v>0</v>
      </c>
      <c r="CY25" s="271">
        <f t="shared" ref="CY25:EQ25" si="27">CY24-CY23</f>
        <v>0</v>
      </c>
      <c r="CZ25" s="271">
        <f t="shared" si="27"/>
        <v>0</v>
      </c>
      <c r="DA25" s="271">
        <f t="shared" si="27"/>
        <v>0</v>
      </c>
      <c r="DB25" s="271">
        <f t="shared" si="27"/>
        <v>0</v>
      </c>
      <c r="DC25" s="271">
        <f t="shared" si="27"/>
        <v>0</v>
      </c>
      <c r="DD25" s="271">
        <f t="shared" si="27"/>
        <v>0</v>
      </c>
      <c r="DE25" s="271">
        <f t="shared" si="27"/>
        <v>0</v>
      </c>
      <c r="DF25" s="271">
        <f t="shared" si="27"/>
        <v>0</v>
      </c>
      <c r="DG25" s="271">
        <f t="shared" si="27"/>
        <v>0</v>
      </c>
      <c r="DH25" s="271">
        <f t="shared" si="27"/>
        <v>0</v>
      </c>
      <c r="DI25" s="271">
        <f t="shared" si="27"/>
        <v>0</v>
      </c>
      <c r="DJ25" s="271">
        <f t="shared" si="27"/>
        <v>0</v>
      </c>
      <c r="DK25" s="271">
        <f t="shared" si="27"/>
        <v>0</v>
      </c>
      <c r="DL25" s="271">
        <f t="shared" si="27"/>
        <v>0</v>
      </c>
      <c r="DM25" s="271">
        <f t="shared" si="27"/>
        <v>0</v>
      </c>
      <c r="DN25" s="271">
        <f t="shared" si="27"/>
        <v>0</v>
      </c>
      <c r="DO25" s="271">
        <f t="shared" si="27"/>
        <v>0</v>
      </c>
      <c r="DP25" s="271">
        <f t="shared" si="27"/>
        <v>0</v>
      </c>
      <c r="DQ25" s="271">
        <f t="shared" si="27"/>
        <v>0</v>
      </c>
      <c r="DR25" s="271">
        <f t="shared" si="27"/>
        <v>0</v>
      </c>
      <c r="DS25" s="271">
        <f t="shared" si="27"/>
        <v>0</v>
      </c>
      <c r="DT25" s="271">
        <f t="shared" si="27"/>
        <v>0</v>
      </c>
      <c r="DU25" s="271">
        <f t="shared" si="27"/>
        <v>0</v>
      </c>
      <c r="DV25" s="271">
        <f t="shared" si="27"/>
        <v>0</v>
      </c>
      <c r="DW25" s="271">
        <f t="shared" si="27"/>
        <v>0</v>
      </c>
      <c r="DX25" s="271">
        <f t="shared" si="27"/>
        <v>0</v>
      </c>
      <c r="DY25" s="271">
        <f t="shared" si="27"/>
        <v>0</v>
      </c>
      <c r="DZ25" s="271">
        <f t="shared" si="27"/>
        <v>0</v>
      </c>
      <c r="EA25" s="271">
        <f t="shared" si="27"/>
        <v>0</v>
      </c>
      <c r="EB25" s="271">
        <f t="shared" si="27"/>
        <v>0</v>
      </c>
      <c r="EC25" s="271">
        <f t="shared" si="27"/>
        <v>0</v>
      </c>
      <c r="ED25" s="271">
        <f t="shared" si="27"/>
        <v>0</v>
      </c>
      <c r="EE25" s="271">
        <f t="shared" si="27"/>
        <v>0</v>
      </c>
      <c r="EF25" s="271">
        <f t="shared" si="27"/>
        <v>0</v>
      </c>
      <c r="EG25" s="271">
        <f t="shared" si="27"/>
        <v>0</v>
      </c>
      <c r="EH25" s="271">
        <f t="shared" si="27"/>
        <v>0</v>
      </c>
      <c r="EI25" s="271">
        <f t="shared" si="27"/>
        <v>0</v>
      </c>
      <c r="EJ25" s="271">
        <f t="shared" si="27"/>
        <v>0</v>
      </c>
      <c r="EK25" s="271">
        <f t="shared" si="27"/>
        <v>0</v>
      </c>
      <c r="EL25" s="271">
        <f t="shared" si="27"/>
        <v>0</v>
      </c>
      <c r="EM25" s="271">
        <f t="shared" si="27"/>
        <v>0</v>
      </c>
      <c r="EN25" s="271">
        <f t="shared" si="27"/>
        <v>0</v>
      </c>
      <c r="EO25" s="271">
        <f t="shared" si="27"/>
        <v>0</v>
      </c>
      <c r="EP25" s="271">
        <f t="shared" si="27"/>
        <v>0</v>
      </c>
      <c r="EQ25" s="271">
        <f t="shared" si="27"/>
        <v>0</v>
      </c>
      <c r="ES25" s="446"/>
      <c r="ET25" s="67"/>
      <c r="EU25" s="262"/>
    </row>
    <row r="26" spans="2:151" s="87" customFormat="1" ht="15.75" outlineLevel="1">
      <c r="B26" s="255" t="s">
        <v>88</v>
      </c>
      <c r="C26" s="256">
        <f ca="1">MAX(P26:EQ26)</f>
        <v>5</v>
      </c>
      <c r="D26" s="256"/>
      <c r="E26" s="256"/>
      <c r="F26" s="256"/>
      <c r="G26" s="480" t="s">
        <v>85</v>
      </c>
      <c r="H26" s="480"/>
      <c r="I26" s="75"/>
      <c r="J26" s="212"/>
      <c r="K26" s="93"/>
      <c r="L26" s="75"/>
      <c r="M26" s="75"/>
      <c r="N26" s="212"/>
      <c r="O26" s="75">
        <v>0</v>
      </c>
      <c r="P26" s="102">
        <f ca="1">SUM(OFFSET(P23,0,-$C$38):OFFSET(P23,0,-1))</f>
        <v>0</v>
      </c>
      <c r="Q26" s="102">
        <f ca="1">SUM(OFFSET(Q23,0,-$C$38):OFFSET(Q23,0,-1))</f>
        <v>0</v>
      </c>
      <c r="R26" s="102">
        <f ca="1">SUM(OFFSET(R23,0,-$C$38):OFFSET(R23,0,-1))</f>
        <v>1</v>
      </c>
      <c r="S26" s="102">
        <f ca="1">SUM(OFFSET(S23,0,-$C$38):OFFSET(S23,0,-1))</f>
        <v>4</v>
      </c>
      <c r="T26" s="102">
        <f ca="1">SUM(OFFSET(T23,0,-$C$38):OFFSET(T23,0,-1))</f>
        <v>5</v>
      </c>
      <c r="U26" s="102">
        <f ca="1">SUM(OFFSET(U23,0,-$C$38):OFFSET(U23,0,-1))</f>
        <v>0</v>
      </c>
      <c r="V26" s="102">
        <f ca="1">SUM(OFFSET(V23,0,-$C$38):OFFSET(V23,0,-1))</f>
        <v>0</v>
      </c>
      <c r="W26" s="102">
        <f ca="1">SUM(OFFSET(W23,0,-$C$38):OFFSET(W23,0,-1))</f>
        <v>0</v>
      </c>
      <c r="X26" s="102">
        <f ca="1">SUM(OFFSET(X23,0,-$C$38):OFFSET(X23,0,-1))</f>
        <v>0</v>
      </c>
      <c r="Y26" s="102">
        <f ca="1">SUM(OFFSET(Y23,0,-$C$38):OFFSET(Y23,0,-1))</f>
        <v>0</v>
      </c>
      <c r="Z26" s="102">
        <f ca="1">SUM(OFFSET(Z23,0,-$C$38):OFFSET(Z23,0,-1))</f>
        <v>0</v>
      </c>
      <c r="AA26" s="102">
        <f ca="1">SUM(OFFSET(AA23,0,-$C$38):OFFSET(AA23,0,-1))</f>
        <v>0</v>
      </c>
      <c r="AB26" s="102">
        <f ca="1">SUM(OFFSET(AB23,0,-$C$38):OFFSET(AB23,0,-1))</f>
        <v>0</v>
      </c>
      <c r="AC26" s="102">
        <f ca="1">SUM(OFFSET(AC23,0,-$C$38):OFFSET(AC23,0,-1))</f>
        <v>5</v>
      </c>
      <c r="AD26" s="102">
        <f ca="1">SUM(OFFSET(AD23,0,-$C$38):OFFSET(AD23,0,-1))</f>
        <v>5</v>
      </c>
      <c r="AE26" s="102">
        <f ca="1">SUM(OFFSET(AE23,0,-$C$38):OFFSET(AE23,0,-1))</f>
        <v>0</v>
      </c>
      <c r="AF26" s="102">
        <f ca="1">SUM(OFFSET(AF23,0,-$C$38):OFFSET(AF23,0,-1))</f>
        <v>5</v>
      </c>
      <c r="AG26" s="102">
        <f ca="1">SUM(OFFSET(AG23,0,-$C$38):OFFSET(AG23,0,-1))</f>
        <v>0</v>
      </c>
      <c r="AH26" s="102">
        <f ca="1">SUM(OFFSET(AH23,0,-$C$38):OFFSET(AH23,0,-1))</f>
        <v>0</v>
      </c>
      <c r="AI26" s="102">
        <f ca="1">SUM(OFFSET(AI23,0,-$C$38):OFFSET(AI23,0,-1))</f>
        <v>0</v>
      </c>
      <c r="AJ26" s="102">
        <f ca="1">SUM(OFFSET(AJ23,0,-$C$38):OFFSET(AJ23,0,-1))</f>
        <v>0</v>
      </c>
      <c r="AK26" s="102">
        <f ca="1">SUM(OFFSET(AK23,0,-$C$38):OFFSET(AK23,0,-1))</f>
        <v>0</v>
      </c>
      <c r="AL26" s="102">
        <f ca="1">SUM(OFFSET(AL23,0,-$C$38):OFFSET(AL23,0,-1))</f>
        <v>0</v>
      </c>
      <c r="AM26" s="102">
        <f ca="1">SUM(OFFSET(AM23,0,-$C$38):OFFSET(AM23,0,-1))</f>
        <v>0</v>
      </c>
      <c r="AN26" s="102">
        <f ca="1">SUM(OFFSET(AN23,0,-$C$38):OFFSET(AN23,0,-1))</f>
        <v>0</v>
      </c>
      <c r="AO26" s="102">
        <f ca="1">SUM(OFFSET(AO23,0,-$C$38):OFFSET(AO23,0,-1))</f>
        <v>0</v>
      </c>
      <c r="AP26" s="102">
        <f ca="1">SUM(OFFSET(AP23,0,-$C$38):OFFSET(AP23,0,-1))</f>
        <v>0</v>
      </c>
      <c r="AQ26" s="102">
        <f ca="1">SUM(OFFSET(AQ23,0,-$C$38):OFFSET(AQ23,0,-1))</f>
        <v>0</v>
      </c>
      <c r="AR26" s="102">
        <f ca="1">SUM(OFFSET(AR23,0,-$C$38):OFFSET(AR23,0,-1))</f>
        <v>4</v>
      </c>
      <c r="AS26" s="102">
        <f ca="1">SUM(OFFSET(AS23,0,-$C$38):OFFSET(AS23,0,-1))</f>
        <v>0</v>
      </c>
      <c r="AT26" s="102">
        <f ca="1">SUM(OFFSET(AT23,0,-$C$38):OFFSET(AT23,0,-1))</f>
        <v>1</v>
      </c>
      <c r="AU26" s="102">
        <f ca="1">SUM(OFFSET(AU23,0,-$C$38):OFFSET(AU23,0,-1))</f>
        <v>0</v>
      </c>
      <c r="AV26" s="102">
        <f ca="1">SUM(OFFSET(AV23,0,-$C$38):OFFSET(AV23,0,-1))</f>
        <v>0</v>
      </c>
      <c r="AW26" s="102">
        <f ca="1">SUM(OFFSET(AW23,0,-$C$38):OFFSET(AW23,0,-1))</f>
        <v>0</v>
      </c>
      <c r="AX26" s="102">
        <f ca="1">SUM(OFFSET(AX23,0,-$C$38):OFFSET(AX23,0,-1))</f>
        <v>0</v>
      </c>
      <c r="AY26" s="102">
        <f ca="1">SUM(OFFSET(AY23,0,-$C$38):OFFSET(AY23,0,-1))</f>
        <v>0</v>
      </c>
      <c r="AZ26" s="102">
        <f ca="1">SUM(OFFSET(AZ23,0,-$C$38):OFFSET(AZ23,0,-1))</f>
        <v>0</v>
      </c>
      <c r="BA26" s="102">
        <f ca="1">SUM(OFFSET(BA23,0,-$C$38):OFFSET(BA23,0,-1))</f>
        <v>0</v>
      </c>
      <c r="BB26" s="102">
        <f ca="1">SUM(OFFSET(BB23,0,-$C$38):OFFSET(BB23,0,-1))</f>
        <v>0</v>
      </c>
      <c r="BC26" s="102">
        <f ca="1">SUM(OFFSET(BC23,0,-$C$38):OFFSET(BC23,0,-1))</f>
        <v>0</v>
      </c>
      <c r="BD26" s="102">
        <f ca="1">SUM(OFFSET(BD23,0,-$C$38):OFFSET(BD23,0,-1))</f>
        <v>0</v>
      </c>
      <c r="BE26" s="102">
        <f ca="1">SUM(OFFSET(BE23,0,-$C$38):OFFSET(BE23,0,-1))</f>
        <v>0</v>
      </c>
      <c r="BF26" s="102">
        <f ca="1">SUM(OFFSET(BF23,0,-$C$38):OFFSET(BF23,0,-1))</f>
        <v>0</v>
      </c>
      <c r="BG26" s="102">
        <f ca="1">SUM(OFFSET(BG23,0,-$C$38):OFFSET(BG23,0,-1))</f>
        <v>0</v>
      </c>
      <c r="BH26" s="102">
        <f ca="1">SUM(OFFSET(BH23,0,-$C$38):OFFSET(BH23,0,-1))</f>
        <v>0</v>
      </c>
      <c r="BI26" s="102">
        <f ca="1">SUM(OFFSET(BI23,0,-$C$38):OFFSET(BI23,0,-1))</f>
        <v>0</v>
      </c>
      <c r="BJ26" s="102">
        <f ca="1">SUM(OFFSET(BJ23,0,-$C$38):OFFSET(BJ23,0,-1))</f>
        <v>0</v>
      </c>
      <c r="BK26" s="102">
        <f ca="1">SUM(OFFSET(BK23,0,-$C$38):OFFSET(BK23,0,-1))</f>
        <v>0</v>
      </c>
      <c r="BL26" s="102">
        <f ca="1">SUM(OFFSET(BL23,0,-$C$38):OFFSET(BL23,0,-1))</f>
        <v>0</v>
      </c>
      <c r="BM26" s="102">
        <f ca="1">SUM(OFFSET(BM23,0,-$C$38):OFFSET(BM23,0,-1))</f>
        <v>0</v>
      </c>
      <c r="BN26" s="102">
        <f ca="1">SUM(OFFSET(BN23,0,-$C$38):OFFSET(BN23,0,-1))</f>
        <v>0</v>
      </c>
      <c r="BO26" s="102">
        <f ca="1">SUM(OFFSET(BO23,0,-$C$38):OFFSET(BO23,0,-1))</f>
        <v>0</v>
      </c>
      <c r="BP26" s="102">
        <f ca="1">SUM(OFFSET(BP23,0,-$C$38):OFFSET(BP23,0,-1))</f>
        <v>0</v>
      </c>
      <c r="BQ26" s="102">
        <f ca="1">SUM(OFFSET(BQ23,0,-$C$38):OFFSET(BQ23,0,-1))</f>
        <v>0</v>
      </c>
      <c r="BR26" s="102">
        <f ca="1">SUM(OFFSET(BR23,0,-$C$38):OFFSET(BR23,0,-1))</f>
        <v>0</v>
      </c>
      <c r="BS26" s="102">
        <f ca="1">SUM(OFFSET(BS23,0,-$C$38):OFFSET(BS23,0,-1))</f>
        <v>0</v>
      </c>
      <c r="BT26" s="102">
        <f ca="1">SUM(OFFSET(BT23,0,-$C$38):OFFSET(BT23,0,-1))</f>
        <v>0</v>
      </c>
      <c r="BU26" s="102">
        <f ca="1">SUM(OFFSET(BU23,0,-$C$38):OFFSET(BU23,0,-1))</f>
        <v>0</v>
      </c>
      <c r="BV26" s="102">
        <f ca="1">SUM(OFFSET(BV23,0,-$C$38):OFFSET(BV23,0,-1))</f>
        <v>0</v>
      </c>
      <c r="BW26" s="102">
        <f ca="1">SUM(OFFSET(BW23,0,-$C$38):OFFSET(BW23,0,-1))</f>
        <v>0</v>
      </c>
      <c r="BX26" s="102">
        <f ca="1">SUM(OFFSET(BX23,0,-$C$38):OFFSET(BX23,0,-1))</f>
        <v>0</v>
      </c>
      <c r="BY26" s="102">
        <f ca="1">SUM(OFFSET(BY23,0,-$C$38):OFFSET(BY23,0,-1))</f>
        <v>0</v>
      </c>
      <c r="BZ26" s="102">
        <f ca="1">SUM(OFFSET(BZ23,0,-$C$38):OFFSET(BZ23,0,-1))</f>
        <v>0</v>
      </c>
      <c r="CA26" s="102">
        <f ca="1">SUM(OFFSET(CA23,0,-$C$38):OFFSET(CA23,0,-1))</f>
        <v>0</v>
      </c>
      <c r="CB26" s="102">
        <f ca="1">SUM(OFFSET(CB23,0,-$C$38):OFFSET(CB23,0,-1))</f>
        <v>0</v>
      </c>
      <c r="CC26" s="102">
        <f ca="1">SUM(OFFSET(CC23,0,-$C$38):OFFSET(CC23,0,-1))</f>
        <v>0</v>
      </c>
      <c r="CD26" s="102">
        <f ca="1">SUM(OFFSET(CD23,0,-$C$38):OFFSET(CD23,0,-1))</f>
        <v>0</v>
      </c>
      <c r="CE26" s="102">
        <f ca="1">SUM(OFFSET(CE23,0,-$C$38):OFFSET(CE23,0,-1))</f>
        <v>0</v>
      </c>
      <c r="CF26" s="102">
        <f ca="1">SUM(OFFSET(CF23,0,-$C$38):OFFSET(CF23,0,-1))</f>
        <v>0</v>
      </c>
      <c r="CG26" s="102">
        <f ca="1">SUM(OFFSET(CG23,0,-$C$38):OFFSET(CG23,0,-1))</f>
        <v>0</v>
      </c>
      <c r="CH26" s="102">
        <f ca="1">SUM(OFFSET(CH23,0,-$C$38):OFFSET(CH23,0,-1))</f>
        <v>0</v>
      </c>
      <c r="CI26" s="102">
        <f ca="1">SUM(OFFSET(CI23,0,-$C$38):OFFSET(CI23,0,-1))</f>
        <v>0</v>
      </c>
      <c r="CJ26" s="102">
        <f ca="1">SUM(OFFSET(CJ23,0,-$C$38):OFFSET(CJ23,0,-1))</f>
        <v>0</v>
      </c>
      <c r="CK26" s="102">
        <f ca="1">SUM(OFFSET(CK23,0,-$C$38):OFFSET(CK23,0,-1))</f>
        <v>0</v>
      </c>
      <c r="CL26" s="102">
        <f ca="1">SUM(OFFSET(CL23,0,-$C$38):OFFSET(CL23,0,-1))</f>
        <v>0</v>
      </c>
      <c r="CM26" s="102">
        <f ca="1">SUM(OFFSET(CM23,0,-$C$38):OFFSET(CM23,0,-1))</f>
        <v>0</v>
      </c>
      <c r="CN26" s="102">
        <f ca="1">SUM(OFFSET(CN23,0,-$C$38):OFFSET(CN23,0,-1))</f>
        <v>0</v>
      </c>
      <c r="CO26" s="102">
        <f ca="1">SUM(OFFSET(CO23,0,-$C$38):OFFSET(CO23,0,-1))</f>
        <v>0</v>
      </c>
      <c r="CP26" s="102">
        <f ca="1">SUM(OFFSET(CP23,0,-$C$38):OFFSET(CP23,0,-1))</f>
        <v>0</v>
      </c>
      <c r="CQ26" s="102">
        <f ca="1">SUM(OFFSET(CQ23,0,-$C$38):OFFSET(CQ23,0,-1))</f>
        <v>0</v>
      </c>
      <c r="CR26" s="102">
        <f ca="1">SUM(OFFSET(CR23,0,-$C$38):OFFSET(CR23,0,-1))</f>
        <v>0</v>
      </c>
      <c r="CS26" s="102">
        <f ca="1">SUM(OFFSET(CS23,0,-$C$38):OFFSET(CS23,0,-1))</f>
        <v>0</v>
      </c>
      <c r="CT26" s="102">
        <f ca="1">SUM(OFFSET(CT23,0,-$C$38):OFFSET(CT23,0,-1))</f>
        <v>0</v>
      </c>
      <c r="CU26" s="102">
        <f ca="1">SUM(OFFSET(CU23,0,-$C$38):OFFSET(CU23,0,-1))</f>
        <v>0</v>
      </c>
      <c r="CV26" s="102">
        <f ca="1">SUM(OFFSET(CV23,0,-$C$38):OFFSET(CV23,0,-1))</f>
        <v>0</v>
      </c>
      <c r="CW26" s="102">
        <f ca="1">SUM(OFFSET(CW23,0,-$C$38):OFFSET(CW23,0,-1))</f>
        <v>0</v>
      </c>
      <c r="CX26" s="102">
        <f ca="1">SUM(OFFSET(CX23,0,-$C$38):OFFSET(CX23,0,-1))</f>
        <v>0</v>
      </c>
      <c r="CY26" s="102">
        <f ca="1">SUM(OFFSET(CY23,0,-$C$38):OFFSET(CY23,0,-1))</f>
        <v>0</v>
      </c>
      <c r="CZ26" s="102">
        <f ca="1">SUM(OFFSET(CZ23,0,-$C$38):OFFSET(CZ23,0,-1))</f>
        <v>0</v>
      </c>
      <c r="DA26" s="102">
        <f ca="1">SUM(OFFSET(DA23,0,-$C$38):OFFSET(DA23,0,-1))</f>
        <v>0</v>
      </c>
      <c r="DB26" s="102">
        <f ca="1">SUM(OFFSET(DB23,0,-$C$38):OFFSET(DB23,0,-1))</f>
        <v>0</v>
      </c>
      <c r="DC26" s="102">
        <f ca="1">SUM(OFFSET(DC23,0,-$C$38):OFFSET(DC23,0,-1))</f>
        <v>0</v>
      </c>
      <c r="DD26" s="102">
        <f ca="1">SUM(OFFSET(DD23,0,-$C$38):OFFSET(DD23,0,-1))</f>
        <v>0</v>
      </c>
      <c r="DE26" s="102">
        <f ca="1">SUM(OFFSET(DE23,0,-$C$38):OFFSET(DE23,0,-1))</f>
        <v>0</v>
      </c>
      <c r="DF26" s="102">
        <f ca="1">SUM(OFFSET(DF23,0,-$C$38):OFFSET(DF23,0,-1))</f>
        <v>0</v>
      </c>
      <c r="DG26" s="102">
        <f ca="1">SUM(OFFSET(DG23,0,-$C$38):OFFSET(DG23,0,-1))</f>
        <v>0</v>
      </c>
      <c r="DH26" s="102">
        <f ca="1">SUM(OFFSET(DH23,0,-$C$38):OFFSET(DH23,0,-1))</f>
        <v>0</v>
      </c>
      <c r="DI26" s="102">
        <f ca="1">SUM(OFFSET(DI23,0,-$C$38):OFFSET(DI23,0,-1))</f>
        <v>0</v>
      </c>
      <c r="DJ26" s="102">
        <f ca="1">SUM(OFFSET(DJ23,0,-$C$38):OFFSET(DJ23,0,-1))</f>
        <v>0</v>
      </c>
      <c r="DK26" s="102">
        <f ca="1">SUM(OFFSET(DK23,0,-$C$38):OFFSET(DK23,0,-1))</f>
        <v>0</v>
      </c>
      <c r="DL26" s="102">
        <f ca="1">SUM(OFFSET(DL23,0,-$C$38):OFFSET(DL23,0,-1))</f>
        <v>0</v>
      </c>
      <c r="DM26" s="102">
        <f ca="1">SUM(OFFSET(DM23,0,-$C$38):OFFSET(DM23,0,-1))</f>
        <v>0</v>
      </c>
      <c r="DN26" s="102">
        <f ca="1">SUM(OFFSET(DN23,0,-$C$38):OFFSET(DN23,0,-1))</f>
        <v>0</v>
      </c>
      <c r="DO26" s="102">
        <f ca="1">SUM(OFFSET(DO23,0,-$C$38):OFFSET(DO23,0,-1))</f>
        <v>0</v>
      </c>
      <c r="DP26" s="102">
        <f ca="1">SUM(OFFSET(DP23,0,-$C$38):OFFSET(DP23,0,-1))</f>
        <v>0</v>
      </c>
      <c r="DQ26" s="102">
        <f ca="1">SUM(OFFSET(DQ23,0,-$C$38):OFFSET(DQ23,0,-1))</f>
        <v>0</v>
      </c>
      <c r="DR26" s="102">
        <f ca="1">SUM(OFFSET(DR23,0,-$C$38):OFFSET(DR23,0,-1))</f>
        <v>0</v>
      </c>
      <c r="DS26" s="102">
        <f ca="1">SUM(OFFSET(DS23,0,-$C$38):OFFSET(DS23,0,-1))</f>
        <v>0</v>
      </c>
      <c r="DT26" s="102">
        <f ca="1">SUM(OFFSET(DT23,0,-$C$38):OFFSET(DT23,0,-1))</f>
        <v>0</v>
      </c>
      <c r="DU26" s="102">
        <f ca="1">SUM(OFFSET(DU23,0,-$C$38):OFFSET(DU23,0,-1))</f>
        <v>0</v>
      </c>
      <c r="DV26" s="102">
        <f ca="1">SUM(OFFSET(DV23,0,-$C$38):OFFSET(DV23,0,-1))</f>
        <v>0</v>
      </c>
      <c r="DW26" s="102">
        <f ca="1">SUM(OFFSET(DW23,0,-$C$38):OFFSET(DW23,0,-1))</f>
        <v>0</v>
      </c>
      <c r="DX26" s="102">
        <f ca="1">SUM(OFFSET(DX23,0,-$C$38):OFFSET(DX23,0,-1))</f>
        <v>0</v>
      </c>
      <c r="DY26" s="102">
        <f ca="1">SUM(OFFSET(DY23,0,-$C$38):OFFSET(DY23,0,-1))</f>
        <v>0</v>
      </c>
      <c r="DZ26" s="102">
        <f ca="1">SUM(OFFSET(DZ23,0,-$C$38):OFFSET(DZ23,0,-1))</f>
        <v>0</v>
      </c>
      <c r="EA26" s="102">
        <f ca="1">SUM(OFFSET(EA23,0,-$C$38):OFFSET(EA23,0,-1))</f>
        <v>0</v>
      </c>
      <c r="EB26" s="102">
        <f ca="1">SUM(OFFSET(EB23,0,-$C$38):OFFSET(EB23,0,-1))</f>
        <v>0</v>
      </c>
      <c r="EC26" s="102">
        <f ca="1">SUM(OFFSET(EC23,0,-$C$38):OFFSET(EC23,0,-1))</f>
        <v>0</v>
      </c>
      <c r="ED26" s="102">
        <f ca="1">SUM(OFFSET(ED23,0,-$C$38):OFFSET(ED23,0,-1))</f>
        <v>0</v>
      </c>
      <c r="EE26" s="102">
        <f ca="1">SUM(OFFSET(EE23,0,-$C$38):OFFSET(EE23,0,-1))</f>
        <v>0</v>
      </c>
      <c r="EF26" s="102">
        <f ca="1">SUM(OFFSET(EF23,0,-$C$38):OFFSET(EF23,0,-1))</f>
        <v>0</v>
      </c>
      <c r="EG26" s="102">
        <f ca="1">SUM(OFFSET(EG23,0,-$C$38):OFFSET(EG23,0,-1))</f>
        <v>0</v>
      </c>
      <c r="EH26" s="102">
        <f ca="1">SUM(OFFSET(EH23,0,-$C$38):OFFSET(EH23,0,-1))</f>
        <v>0</v>
      </c>
      <c r="EI26" s="102">
        <f ca="1">SUM(OFFSET(EI23,0,-$C$38):OFFSET(EI23,0,-1))</f>
        <v>0</v>
      </c>
      <c r="EJ26" s="102">
        <f ca="1">SUM(OFFSET(EJ23,0,-$C$38):OFFSET(EJ23,0,-1))</f>
        <v>0</v>
      </c>
      <c r="EK26" s="102">
        <f ca="1">SUM(OFFSET(EK23,0,-$C$38):OFFSET(EK23,0,-1))</f>
        <v>0</v>
      </c>
      <c r="EL26" s="102">
        <f ca="1">SUM(OFFSET(EL23,0,-$C$38):OFFSET(EL23,0,-1))</f>
        <v>0</v>
      </c>
      <c r="EM26" s="102">
        <f ca="1">SUM(OFFSET(EM23,0,-$C$38):OFFSET(EM23,0,-1))</f>
        <v>0</v>
      </c>
      <c r="EN26" s="102">
        <f ca="1">SUM(OFFSET(EN23,0,-$C$38):OFFSET(EN23,0,-1))</f>
        <v>0</v>
      </c>
      <c r="EO26" s="102">
        <f ca="1">SUM(OFFSET(EO23,0,-$C$38):OFFSET(EO23,0,-1))</f>
        <v>0</v>
      </c>
      <c r="EP26" s="102">
        <f ca="1">SUM(OFFSET(EP23,0,-$C$38):OFFSET(EP23,0,-1))</f>
        <v>0</v>
      </c>
      <c r="EQ26" s="102">
        <f ca="1">SUM(OFFSET(EQ23,0,-$C$38):OFFSET(EQ23,0,-1))</f>
        <v>0</v>
      </c>
      <c r="ER26" s="64"/>
      <c r="ES26" s="421"/>
      <c r="ET26" s="63"/>
      <c r="EU26" s="92"/>
    </row>
    <row r="27" spans="2:151" s="87" customFormat="1" ht="15.75" outlineLevel="1">
      <c r="B27" s="255" t="s">
        <v>88</v>
      </c>
      <c r="C27" s="256">
        <f ca="1">MAX(P27:EQ27)</f>
        <v>30</v>
      </c>
      <c r="D27" s="256"/>
      <c r="E27" s="256"/>
      <c r="F27" s="256"/>
      <c r="G27" s="480" t="s">
        <v>92</v>
      </c>
      <c r="H27" s="89"/>
      <c r="I27" s="89"/>
      <c r="J27" s="211"/>
      <c r="K27" s="93"/>
      <c r="L27" s="89"/>
      <c r="M27" s="89"/>
      <c r="N27" s="211"/>
      <c r="O27" s="89">
        <v>0</v>
      </c>
      <c r="P27" s="102">
        <f>P22-P36</f>
        <v>0</v>
      </c>
      <c r="Q27" s="102">
        <f ca="1">IF(ISERROR(P27+OFFSET(Q23,0,-$C$37)),"NA",P27+OFFSET(Q23,0,-$C$37))</f>
        <v>0</v>
      </c>
      <c r="R27" s="102">
        <f t="shared" ref="R27:CC27" ca="1" si="28">IF(ISERROR(Q27+OFFSET(R23,0,-$C$37)),"NA",Q27+OFFSET(R23,0,-$C$37))</f>
        <v>0</v>
      </c>
      <c r="S27" s="102">
        <f t="shared" ca="1" si="28"/>
        <v>0</v>
      </c>
      <c r="T27" s="102">
        <f t="shared" ca="1" si="28"/>
        <v>1</v>
      </c>
      <c r="U27" s="102">
        <f t="shared" ca="1" si="28"/>
        <v>5</v>
      </c>
      <c r="V27" s="102">
        <f t="shared" ca="1" si="28"/>
        <v>10</v>
      </c>
      <c r="W27" s="102">
        <f t="shared" ca="1" si="28"/>
        <v>10</v>
      </c>
      <c r="X27" s="102">
        <f t="shared" ca="1" si="28"/>
        <v>10</v>
      </c>
      <c r="Y27" s="102">
        <f t="shared" ca="1" si="28"/>
        <v>10</v>
      </c>
      <c r="Z27" s="102">
        <f t="shared" ca="1" si="28"/>
        <v>10</v>
      </c>
      <c r="AA27" s="102">
        <f t="shared" ca="1" si="28"/>
        <v>10</v>
      </c>
      <c r="AB27" s="102">
        <f t="shared" ca="1" si="28"/>
        <v>10</v>
      </c>
      <c r="AC27" s="102">
        <f t="shared" ca="1" si="28"/>
        <v>10</v>
      </c>
      <c r="AD27" s="102">
        <f t="shared" ca="1" si="28"/>
        <v>10</v>
      </c>
      <c r="AE27" s="102">
        <f t="shared" ca="1" si="28"/>
        <v>15</v>
      </c>
      <c r="AF27" s="102">
        <f t="shared" ca="1" si="28"/>
        <v>20</v>
      </c>
      <c r="AG27" s="102">
        <f t="shared" ca="1" si="28"/>
        <v>20</v>
      </c>
      <c r="AH27" s="102">
        <f t="shared" ca="1" si="28"/>
        <v>25</v>
      </c>
      <c r="AI27" s="102">
        <f t="shared" ca="1" si="28"/>
        <v>25</v>
      </c>
      <c r="AJ27" s="102">
        <f t="shared" ca="1" si="28"/>
        <v>25</v>
      </c>
      <c r="AK27" s="102">
        <f t="shared" ca="1" si="28"/>
        <v>25</v>
      </c>
      <c r="AL27" s="102">
        <f t="shared" ca="1" si="28"/>
        <v>25</v>
      </c>
      <c r="AM27" s="102">
        <f t="shared" ca="1" si="28"/>
        <v>25</v>
      </c>
      <c r="AN27" s="102">
        <f t="shared" ca="1" si="28"/>
        <v>25</v>
      </c>
      <c r="AO27" s="102">
        <f t="shared" ca="1" si="28"/>
        <v>25</v>
      </c>
      <c r="AP27" s="102">
        <f t="shared" ca="1" si="28"/>
        <v>25</v>
      </c>
      <c r="AQ27" s="102">
        <f t="shared" ca="1" si="28"/>
        <v>25</v>
      </c>
      <c r="AR27" s="102">
        <f t="shared" ca="1" si="28"/>
        <v>25</v>
      </c>
      <c r="AS27" s="102">
        <f t="shared" ca="1" si="28"/>
        <v>25</v>
      </c>
      <c r="AT27" s="102">
        <f t="shared" ca="1" si="28"/>
        <v>29</v>
      </c>
      <c r="AU27" s="102">
        <f t="shared" ca="1" si="28"/>
        <v>29</v>
      </c>
      <c r="AV27" s="102">
        <f t="shared" ca="1" si="28"/>
        <v>30</v>
      </c>
      <c r="AW27" s="102">
        <f t="shared" ca="1" si="28"/>
        <v>30</v>
      </c>
      <c r="AX27" s="102">
        <f t="shared" ca="1" si="28"/>
        <v>30</v>
      </c>
      <c r="AY27" s="102">
        <f t="shared" ca="1" si="28"/>
        <v>30</v>
      </c>
      <c r="AZ27" s="102">
        <f t="shared" ca="1" si="28"/>
        <v>30</v>
      </c>
      <c r="BA27" s="102">
        <f t="shared" ca="1" si="28"/>
        <v>30</v>
      </c>
      <c r="BB27" s="102">
        <f t="shared" ca="1" si="28"/>
        <v>30</v>
      </c>
      <c r="BC27" s="102">
        <f t="shared" ca="1" si="28"/>
        <v>30</v>
      </c>
      <c r="BD27" s="102">
        <f t="shared" ca="1" si="28"/>
        <v>30</v>
      </c>
      <c r="BE27" s="102">
        <f t="shared" ca="1" si="28"/>
        <v>30</v>
      </c>
      <c r="BF27" s="102">
        <f t="shared" ca="1" si="28"/>
        <v>30</v>
      </c>
      <c r="BG27" s="102">
        <f t="shared" ca="1" si="28"/>
        <v>30</v>
      </c>
      <c r="BH27" s="102">
        <f t="shared" ca="1" si="28"/>
        <v>30</v>
      </c>
      <c r="BI27" s="102">
        <f t="shared" ca="1" si="28"/>
        <v>30</v>
      </c>
      <c r="BJ27" s="102">
        <f t="shared" ca="1" si="28"/>
        <v>30</v>
      </c>
      <c r="BK27" s="102">
        <f t="shared" ca="1" si="28"/>
        <v>30</v>
      </c>
      <c r="BL27" s="102">
        <f t="shared" ca="1" si="28"/>
        <v>30</v>
      </c>
      <c r="BM27" s="102">
        <f t="shared" ca="1" si="28"/>
        <v>30</v>
      </c>
      <c r="BN27" s="102">
        <f t="shared" ca="1" si="28"/>
        <v>30</v>
      </c>
      <c r="BO27" s="102">
        <f t="shared" ca="1" si="28"/>
        <v>30</v>
      </c>
      <c r="BP27" s="102">
        <f t="shared" ca="1" si="28"/>
        <v>30</v>
      </c>
      <c r="BQ27" s="102">
        <f t="shared" ca="1" si="28"/>
        <v>30</v>
      </c>
      <c r="BR27" s="102">
        <f t="shared" ca="1" si="28"/>
        <v>30</v>
      </c>
      <c r="BS27" s="102">
        <f t="shared" ca="1" si="28"/>
        <v>30</v>
      </c>
      <c r="BT27" s="102">
        <f t="shared" ca="1" si="28"/>
        <v>30</v>
      </c>
      <c r="BU27" s="102">
        <f t="shared" ca="1" si="28"/>
        <v>30</v>
      </c>
      <c r="BV27" s="102">
        <f t="shared" ca="1" si="28"/>
        <v>30</v>
      </c>
      <c r="BW27" s="102">
        <f t="shared" ca="1" si="28"/>
        <v>30</v>
      </c>
      <c r="BX27" s="102">
        <f t="shared" ca="1" si="28"/>
        <v>30</v>
      </c>
      <c r="BY27" s="102">
        <f t="shared" ca="1" si="28"/>
        <v>30</v>
      </c>
      <c r="BZ27" s="102">
        <f t="shared" ca="1" si="28"/>
        <v>30</v>
      </c>
      <c r="CA27" s="102">
        <f t="shared" ca="1" si="28"/>
        <v>30</v>
      </c>
      <c r="CB27" s="102">
        <f t="shared" ca="1" si="28"/>
        <v>30</v>
      </c>
      <c r="CC27" s="102">
        <f t="shared" ca="1" si="28"/>
        <v>30</v>
      </c>
      <c r="CD27" s="102">
        <f t="shared" ref="CD27:EO27" ca="1" si="29">IF(ISERROR(CC27+OFFSET(CD23,0,-$C$37)),"NA",CC27+OFFSET(CD23,0,-$C$37))</f>
        <v>30</v>
      </c>
      <c r="CE27" s="102">
        <f t="shared" ca="1" si="29"/>
        <v>30</v>
      </c>
      <c r="CF27" s="102">
        <f t="shared" ca="1" si="29"/>
        <v>30</v>
      </c>
      <c r="CG27" s="102">
        <f t="shared" ca="1" si="29"/>
        <v>30</v>
      </c>
      <c r="CH27" s="102">
        <f t="shared" ca="1" si="29"/>
        <v>30</v>
      </c>
      <c r="CI27" s="102">
        <f t="shared" ca="1" si="29"/>
        <v>30</v>
      </c>
      <c r="CJ27" s="102">
        <f t="shared" ca="1" si="29"/>
        <v>30</v>
      </c>
      <c r="CK27" s="102">
        <f t="shared" ca="1" si="29"/>
        <v>30</v>
      </c>
      <c r="CL27" s="102">
        <f t="shared" ca="1" si="29"/>
        <v>30</v>
      </c>
      <c r="CM27" s="102">
        <f t="shared" ca="1" si="29"/>
        <v>30</v>
      </c>
      <c r="CN27" s="102">
        <f t="shared" ca="1" si="29"/>
        <v>30</v>
      </c>
      <c r="CO27" s="102">
        <f t="shared" ca="1" si="29"/>
        <v>30</v>
      </c>
      <c r="CP27" s="102">
        <f t="shared" ca="1" si="29"/>
        <v>30</v>
      </c>
      <c r="CQ27" s="102">
        <f t="shared" ca="1" si="29"/>
        <v>30</v>
      </c>
      <c r="CR27" s="102">
        <f t="shared" ca="1" si="29"/>
        <v>30</v>
      </c>
      <c r="CS27" s="102">
        <f t="shared" ca="1" si="29"/>
        <v>30</v>
      </c>
      <c r="CT27" s="102">
        <f t="shared" ca="1" si="29"/>
        <v>30</v>
      </c>
      <c r="CU27" s="102">
        <f t="shared" ca="1" si="29"/>
        <v>30</v>
      </c>
      <c r="CV27" s="102">
        <f t="shared" ca="1" si="29"/>
        <v>30</v>
      </c>
      <c r="CW27" s="102">
        <f t="shared" ca="1" si="29"/>
        <v>30</v>
      </c>
      <c r="CX27" s="102">
        <f t="shared" ca="1" si="29"/>
        <v>30</v>
      </c>
      <c r="CY27" s="102">
        <f t="shared" ca="1" si="29"/>
        <v>30</v>
      </c>
      <c r="CZ27" s="102">
        <f t="shared" ca="1" si="29"/>
        <v>30</v>
      </c>
      <c r="DA27" s="102">
        <f t="shared" ca="1" si="29"/>
        <v>30</v>
      </c>
      <c r="DB27" s="102">
        <f t="shared" ca="1" si="29"/>
        <v>30</v>
      </c>
      <c r="DC27" s="102">
        <f t="shared" ca="1" si="29"/>
        <v>30</v>
      </c>
      <c r="DD27" s="102">
        <f t="shared" ca="1" si="29"/>
        <v>30</v>
      </c>
      <c r="DE27" s="102">
        <f t="shared" ca="1" si="29"/>
        <v>30</v>
      </c>
      <c r="DF27" s="102">
        <f t="shared" ca="1" si="29"/>
        <v>30</v>
      </c>
      <c r="DG27" s="102">
        <f t="shared" ca="1" si="29"/>
        <v>30</v>
      </c>
      <c r="DH27" s="102">
        <f t="shared" ca="1" si="29"/>
        <v>30</v>
      </c>
      <c r="DI27" s="102">
        <f t="shared" ca="1" si="29"/>
        <v>30</v>
      </c>
      <c r="DJ27" s="102">
        <f t="shared" ca="1" si="29"/>
        <v>30</v>
      </c>
      <c r="DK27" s="102">
        <f t="shared" ca="1" si="29"/>
        <v>30</v>
      </c>
      <c r="DL27" s="102">
        <f t="shared" ca="1" si="29"/>
        <v>30</v>
      </c>
      <c r="DM27" s="102">
        <f t="shared" ca="1" si="29"/>
        <v>30</v>
      </c>
      <c r="DN27" s="102">
        <f t="shared" ca="1" si="29"/>
        <v>30</v>
      </c>
      <c r="DO27" s="102">
        <f t="shared" ca="1" si="29"/>
        <v>30</v>
      </c>
      <c r="DP27" s="102">
        <f t="shared" ca="1" si="29"/>
        <v>30</v>
      </c>
      <c r="DQ27" s="102">
        <f t="shared" ca="1" si="29"/>
        <v>30</v>
      </c>
      <c r="DR27" s="102">
        <f t="shared" ca="1" si="29"/>
        <v>30</v>
      </c>
      <c r="DS27" s="102">
        <f t="shared" ca="1" si="29"/>
        <v>30</v>
      </c>
      <c r="DT27" s="102">
        <f t="shared" ca="1" si="29"/>
        <v>30</v>
      </c>
      <c r="DU27" s="102">
        <f t="shared" ca="1" si="29"/>
        <v>30</v>
      </c>
      <c r="DV27" s="102">
        <f t="shared" ca="1" si="29"/>
        <v>30</v>
      </c>
      <c r="DW27" s="102">
        <f t="shared" ca="1" si="29"/>
        <v>30</v>
      </c>
      <c r="DX27" s="102">
        <f t="shared" ca="1" si="29"/>
        <v>30</v>
      </c>
      <c r="DY27" s="102">
        <f t="shared" ca="1" si="29"/>
        <v>30</v>
      </c>
      <c r="DZ27" s="102">
        <f t="shared" ca="1" si="29"/>
        <v>30</v>
      </c>
      <c r="EA27" s="102">
        <f t="shared" ca="1" si="29"/>
        <v>30</v>
      </c>
      <c r="EB27" s="102">
        <f t="shared" ca="1" si="29"/>
        <v>30</v>
      </c>
      <c r="EC27" s="102">
        <f t="shared" ca="1" si="29"/>
        <v>30</v>
      </c>
      <c r="ED27" s="102">
        <f t="shared" ca="1" si="29"/>
        <v>30</v>
      </c>
      <c r="EE27" s="102">
        <f t="shared" ca="1" si="29"/>
        <v>30</v>
      </c>
      <c r="EF27" s="102">
        <f t="shared" ca="1" si="29"/>
        <v>30</v>
      </c>
      <c r="EG27" s="102">
        <f t="shared" ca="1" si="29"/>
        <v>30</v>
      </c>
      <c r="EH27" s="102">
        <f t="shared" ca="1" si="29"/>
        <v>30</v>
      </c>
      <c r="EI27" s="102">
        <f t="shared" ca="1" si="29"/>
        <v>30</v>
      </c>
      <c r="EJ27" s="102">
        <f t="shared" ca="1" si="29"/>
        <v>30</v>
      </c>
      <c r="EK27" s="102">
        <f t="shared" ca="1" si="29"/>
        <v>30</v>
      </c>
      <c r="EL27" s="102">
        <f t="shared" ca="1" si="29"/>
        <v>30</v>
      </c>
      <c r="EM27" s="102">
        <f t="shared" ca="1" si="29"/>
        <v>30</v>
      </c>
      <c r="EN27" s="102">
        <f t="shared" ca="1" si="29"/>
        <v>30</v>
      </c>
      <c r="EO27" s="102">
        <f t="shared" ca="1" si="29"/>
        <v>30</v>
      </c>
      <c r="EP27" s="102">
        <f ca="1">IF(ISERROR(EO27+OFFSET(EP23,0,-$C$37)),"NA",EO27+OFFSET(EP23,0,-$C$37))</f>
        <v>30</v>
      </c>
      <c r="EQ27" s="102">
        <f ca="1">IF(ISERROR(EP27+OFFSET(EQ23,0,-$C$37)),"NA",EP27+OFFSET(EQ23,0,-$C$37))</f>
        <v>30</v>
      </c>
      <c r="ER27" s="64"/>
      <c r="ES27" s="421"/>
      <c r="ET27" s="63"/>
      <c r="EU27" s="92"/>
    </row>
    <row r="28" spans="2:151" s="87" customFormat="1" ht="15.75" outlineLevel="1">
      <c r="B28" s="255" t="s">
        <v>88</v>
      </c>
      <c r="C28" s="256">
        <f ca="1">MAX(P28:EQ28)</f>
        <v>10</v>
      </c>
      <c r="D28" s="256"/>
      <c r="E28" s="256"/>
      <c r="F28" s="256"/>
      <c r="G28" s="480" t="s">
        <v>87</v>
      </c>
      <c r="H28" s="480"/>
      <c r="I28" s="75"/>
      <c r="J28" s="212"/>
      <c r="K28" s="93"/>
      <c r="L28" s="75"/>
      <c r="M28" s="75"/>
      <c r="N28" s="212"/>
      <c r="O28" s="75">
        <v>0</v>
      </c>
      <c r="P28" s="102">
        <f t="shared" ref="P28:AU28" ca="1" si="30">P23+P26</f>
        <v>0</v>
      </c>
      <c r="Q28" s="102">
        <f t="shared" ca="1" si="30"/>
        <v>1</v>
      </c>
      <c r="R28" s="102">
        <f t="shared" ca="1" si="30"/>
        <v>5</v>
      </c>
      <c r="S28" s="102">
        <f t="shared" ca="1" si="30"/>
        <v>9</v>
      </c>
      <c r="T28" s="102">
        <f t="shared" ca="1" si="30"/>
        <v>5</v>
      </c>
      <c r="U28" s="102">
        <f t="shared" ca="1" si="30"/>
        <v>0</v>
      </c>
      <c r="V28" s="102">
        <f t="shared" ca="1" si="30"/>
        <v>0</v>
      </c>
      <c r="W28" s="102">
        <f t="shared" ca="1" si="30"/>
        <v>0</v>
      </c>
      <c r="X28" s="102">
        <f t="shared" ca="1" si="30"/>
        <v>0</v>
      </c>
      <c r="Y28" s="102">
        <f t="shared" ca="1" si="30"/>
        <v>0</v>
      </c>
      <c r="Z28" s="102">
        <f t="shared" ca="1" si="30"/>
        <v>0</v>
      </c>
      <c r="AA28" s="102">
        <f t="shared" ca="1" si="30"/>
        <v>0</v>
      </c>
      <c r="AB28" s="102">
        <f t="shared" ca="1" si="30"/>
        <v>5</v>
      </c>
      <c r="AC28" s="102">
        <f t="shared" ca="1" si="30"/>
        <v>10</v>
      </c>
      <c r="AD28" s="102">
        <f t="shared" ca="1" si="30"/>
        <v>5</v>
      </c>
      <c r="AE28" s="102">
        <f t="shared" ca="1" si="30"/>
        <v>5</v>
      </c>
      <c r="AF28" s="102">
        <f t="shared" ca="1" si="30"/>
        <v>5</v>
      </c>
      <c r="AG28" s="102">
        <f t="shared" ca="1" si="30"/>
        <v>0</v>
      </c>
      <c r="AH28" s="102">
        <f t="shared" ca="1" si="30"/>
        <v>0</v>
      </c>
      <c r="AI28" s="102">
        <f t="shared" ca="1" si="30"/>
        <v>0</v>
      </c>
      <c r="AJ28" s="102">
        <f t="shared" ca="1" si="30"/>
        <v>0</v>
      </c>
      <c r="AK28" s="102">
        <f t="shared" ca="1" si="30"/>
        <v>0</v>
      </c>
      <c r="AL28" s="102">
        <f t="shared" ca="1" si="30"/>
        <v>0</v>
      </c>
      <c r="AM28" s="102">
        <f t="shared" ca="1" si="30"/>
        <v>0</v>
      </c>
      <c r="AN28" s="102">
        <f t="shared" ca="1" si="30"/>
        <v>0</v>
      </c>
      <c r="AO28" s="102">
        <f t="shared" ca="1" si="30"/>
        <v>0</v>
      </c>
      <c r="AP28" s="102">
        <f t="shared" ca="1" si="30"/>
        <v>0</v>
      </c>
      <c r="AQ28" s="102">
        <f t="shared" ca="1" si="30"/>
        <v>4</v>
      </c>
      <c r="AR28" s="102">
        <f t="shared" ca="1" si="30"/>
        <v>4</v>
      </c>
      <c r="AS28" s="102">
        <f t="shared" ca="1" si="30"/>
        <v>1</v>
      </c>
      <c r="AT28" s="102">
        <f t="shared" ca="1" si="30"/>
        <v>1</v>
      </c>
      <c r="AU28" s="102">
        <f t="shared" ca="1" si="30"/>
        <v>0</v>
      </c>
      <c r="AV28" s="102">
        <f t="shared" ref="AV28:CA28" ca="1" si="31">AV23+AV26</f>
        <v>0</v>
      </c>
      <c r="AW28" s="102">
        <f t="shared" ca="1" si="31"/>
        <v>0</v>
      </c>
      <c r="AX28" s="102">
        <f t="shared" ca="1" si="31"/>
        <v>0</v>
      </c>
      <c r="AY28" s="102">
        <f t="shared" ca="1" si="31"/>
        <v>0</v>
      </c>
      <c r="AZ28" s="102">
        <f t="shared" ca="1" si="31"/>
        <v>0</v>
      </c>
      <c r="BA28" s="102">
        <f t="shared" ca="1" si="31"/>
        <v>0</v>
      </c>
      <c r="BB28" s="102">
        <f t="shared" ca="1" si="31"/>
        <v>0</v>
      </c>
      <c r="BC28" s="102">
        <f t="shared" ca="1" si="31"/>
        <v>0</v>
      </c>
      <c r="BD28" s="102">
        <f t="shared" ca="1" si="31"/>
        <v>0</v>
      </c>
      <c r="BE28" s="102">
        <f t="shared" ca="1" si="31"/>
        <v>0</v>
      </c>
      <c r="BF28" s="102">
        <f t="shared" ca="1" si="31"/>
        <v>0</v>
      </c>
      <c r="BG28" s="102">
        <f t="shared" ca="1" si="31"/>
        <v>0</v>
      </c>
      <c r="BH28" s="102">
        <f t="shared" ca="1" si="31"/>
        <v>0</v>
      </c>
      <c r="BI28" s="102">
        <f t="shared" ca="1" si="31"/>
        <v>0</v>
      </c>
      <c r="BJ28" s="102">
        <f t="shared" ca="1" si="31"/>
        <v>0</v>
      </c>
      <c r="BK28" s="102">
        <f t="shared" ca="1" si="31"/>
        <v>0</v>
      </c>
      <c r="BL28" s="102">
        <f t="shared" ca="1" si="31"/>
        <v>0</v>
      </c>
      <c r="BM28" s="102">
        <f t="shared" ca="1" si="31"/>
        <v>0</v>
      </c>
      <c r="BN28" s="102">
        <f t="shared" ca="1" si="31"/>
        <v>0</v>
      </c>
      <c r="BO28" s="102">
        <f t="shared" ca="1" si="31"/>
        <v>0</v>
      </c>
      <c r="BP28" s="102">
        <f t="shared" ca="1" si="31"/>
        <v>0</v>
      </c>
      <c r="BQ28" s="102">
        <f t="shared" ca="1" si="31"/>
        <v>0</v>
      </c>
      <c r="BR28" s="102">
        <f t="shared" ca="1" si="31"/>
        <v>0</v>
      </c>
      <c r="BS28" s="102">
        <f t="shared" ca="1" si="31"/>
        <v>0</v>
      </c>
      <c r="BT28" s="102">
        <f t="shared" ca="1" si="31"/>
        <v>0</v>
      </c>
      <c r="BU28" s="102">
        <f t="shared" ca="1" si="31"/>
        <v>0</v>
      </c>
      <c r="BV28" s="102">
        <f t="shared" ca="1" si="31"/>
        <v>0</v>
      </c>
      <c r="BW28" s="102">
        <f t="shared" ca="1" si="31"/>
        <v>0</v>
      </c>
      <c r="BX28" s="102">
        <f t="shared" ca="1" si="31"/>
        <v>0</v>
      </c>
      <c r="BY28" s="102">
        <f t="shared" ca="1" si="31"/>
        <v>0</v>
      </c>
      <c r="BZ28" s="102">
        <f t="shared" ca="1" si="31"/>
        <v>0</v>
      </c>
      <c r="CA28" s="102">
        <f t="shared" ca="1" si="31"/>
        <v>0</v>
      </c>
      <c r="CB28" s="102">
        <f t="shared" ref="CB28:DG28" ca="1" si="32">CB23+CB26</f>
        <v>0</v>
      </c>
      <c r="CC28" s="102">
        <f t="shared" ca="1" si="32"/>
        <v>0</v>
      </c>
      <c r="CD28" s="102">
        <f t="shared" ca="1" si="32"/>
        <v>0</v>
      </c>
      <c r="CE28" s="102">
        <f t="shared" ca="1" si="32"/>
        <v>0</v>
      </c>
      <c r="CF28" s="102">
        <f t="shared" ca="1" si="32"/>
        <v>0</v>
      </c>
      <c r="CG28" s="102">
        <f t="shared" ca="1" si="32"/>
        <v>0</v>
      </c>
      <c r="CH28" s="102">
        <f t="shared" ca="1" si="32"/>
        <v>0</v>
      </c>
      <c r="CI28" s="102">
        <f t="shared" ca="1" si="32"/>
        <v>0</v>
      </c>
      <c r="CJ28" s="102">
        <f t="shared" ca="1" si="32"/>
        <v>0</v>
      </c>
      <c r="CK28" s="102">
        <f t="shared" ca="1" si="32"/>
        <v>0</v>
      </c>
      <c r="CL28" s="102">
        <f t="shared" ca="1" si="32"/>
        <v>0</v>
      </c>
      <c r="CM28" s="102">
        <f t="shared" ca="1" si="32"/>
        <v>0</v>
      </c>
      <c r="CN28" s="102">
        <f t="shared" ca="1" si="32"/>
        <v>0</v>
      </c>
      <c r="CO28" s="102">
        <f t="shared" ca="1" si="32"/>
        <v>0</v>
      </c>
      <c r="CP28" s="102">
        <f t="shared" ca="1" si="32"/>
        <v>0</v>
      </c>
      <c r="CQ28" s="102">
        <f t="shared" ca="1" si="32"/>
        <v>0</v>
      </c>
      <c r="CR28" s="102">
        <f t="shared" ca="1" si="32"/>
        <v>0</v>
      </c>
      <c r="CS28" s="102">
        <f t="shared" ca="1" si="32"/>
        <v>0</v>
      </c>
      <c r="CT28" s="102">
        <f t="shared" ca="1" si="32"/>
        <v>0</v>
      </c>
      <c r="CU28" s="102">
        <f t="shared" ca="1" si="32"/>
        <v>0</v>
      </c>
      <c r="CV28" s="102">
        <f t="shared" ca="1" si="32"/>
        <v>0</v>
      </c>
      <c r="CW28" s="102">
        <f t="shared" ca="1" si="32"/>
        <v>0</v>
      </c>
      <c r="CX28" s="102">
        <f t="shared" ca="1" si="32"/>
        <v>0</v>
      </c>
      <c r="CY28" s="102">
        <f t="shared" ca="1" si="32"/>
        <v>0</v>
      </c>
      <c r="CZ28" s="102">
        <f t="shared" ca="1" si="32"/>
        <v>0</v>
      </c>
      <c r="DA28" s="102">
        <f t="shared" ca="1" si="32"/>
        <v>0</v>
      </c>
      <c r="DB28" s="102">
        <f t="shared" ca="1" si="32"/>
        <v>0</v>
      </c>
      <c r="DC28" s="102">
        <f t="shared" ca="1" si="32"/>
        <v>0</v>
      </c>
      <c r="DD28" s="102">
        <f t="shared" ca="1" si="32"/>
        <v>0</v>
      </c>
      <c r="DE28" s="102">
        <f t="shared" ca="1" si="32"/>
        <v>0</v>
      </c>
      <c r="DF28" s="102">
        <f t="shared" ca="1" si="32"/>
        <v>0</v>
      </c>
      <c r="DG28" s="102">
        <f t="shared" ca="1" si="32"/>
        <v>0</v>
      </c>
      <c r="DH28" s="102">
        <f t="shared" ref="DH28:EQ28" ca="1" si="33">DH23+DH26</f>
        <v>0</v>
      </c>
      <c r="DI28" s="102">
        <f t="shared" ca="1" si="33"/>
        <v>0</v>
      </c>
      <c r="DJ28" s="102">
        <f t="shared" ca="1" si="33"/>
        <v>0</v>
      </c>
      <c r="DK28" s="102">
        <f t="shared" ca="1" si="33"/>
        <v>0</v>
      </c>
      <c r="DL28" s="102">
        <f t="shared" ca="1" si="33"/>
        <v>0</v>
      </c>
      <c r="DM28" s="102">
        <f t="shared" ca="1" si="33"/>
        <v>0</v>
      </c>
      <c r="DN28" s="102">
        <f t="shared" ca="1" si="33"/>
        <v>0</v>
      </c>
      <c r="DO28" s="102">
        <f t="shared" ca="1" si="33"/>
        <v>0</v>
      </c>
      <c r="DP28" s="102">
        <f t="shared" ca="1" si="33"/>
        <v>0</v>
      </c>
      <c r="DQ28" s="102">
        <f t="shared" ca="1" si="33"/>
        <v>0</v>
      </c>
      <c r="DR28" s="102">
        <f t="shared" ca="1" si="33"/>
        <v>0</v>
      </c>
      <c r="DS28" s="102">
        <f t="shared" ca="1" si="33"/>
        <v>0</v>
      </c>
      <c r="DT28" s="102">
        <f t="shared" ca="1" si="33"/>
        <v>0</v>
      </c>
      <c r="DU28" s="102">
        <f t="shared" ca="1" si="33"/>
        <v>0</v>
      </c>
      <c r="DV28" s="102">
        <f t="shared" ca="1" si="33"/>
        <v>0</v>
      </c>
      <c r="DW28" s="102">
        <f t="shared" ca="1" si="33"/>
        <v>0</v>
      </c>
      <c r="DX28" s="102">
        <f t="shared" ca="1" si="33"/>
        <v>0</v>
      </c>
      <c r="DY28" s="102">
        <f t="shared" ca="1" si="33"/>
        <v>0</v>
      </c>
      <c r="DZ28" s="102">
        <f t="shared" ca="1" si="33"/>
        <v>0</v>
      </c>
      <c r="EA28" s="102">
        <f t="shared" ca="1" si="33"/>
        <v>0</v>
      </c>
      <c r="EB28" s="102">
        <f t="shared" ca="1" si="33"/>
        <v>0</v>
      </c>
      <c r="EC28" s="102">
        <f t="shared" ca="1" si="33"/>
        <v>0</v>
      </c>
      <c r="ED28" s="102">
        <f t="shared" ca="1" si="33"/>
        <v>0</v>
      </c>
      <c r="EE28" s="102">
        <f t="shared" ca="1" si="33"/>
        <v>0</v>
      </c>
      <c r="EF28" s="102">
        <f t="shared" ca="1" si="33"/>
        <v>0</v>
      </c>
      <c r="EG28" s="102">
        <f t="shared" ca="1" si="33"/>
        <v>0</v>
      </c>
      <c r="EH28" s="102">
        <f t="shared" ca="1" si="33"/>
        <v>0</v>
      </c>
      <c r="EI28" s="102">
        <f t="shared" ca="1" si="33"/>
        <v>0</v>
      </c>
      <c r="EJ28" s="102">
        <f t="shared" ca="1" si="33"/>
        <v>0</v>
      </c>
      <c r="EK28" s="102">
        <f t="shared" ca="1" si="33"/>
        <v>0</v>
      </c>
      <c r="EL28" s="102">
        <f t="shared" ca="1" si="33"/>
        <v>0</v>
      </c>
      <c r="EM28" s="102">
        <f t="shared" ca="1" si="33"/>
        <v>0</v>
      </c>
      <c r="EN28" s="102">
        <f t="shared" ca="1" si="33"/>
        <v>0</v>
      </c>
      <c r="EO28" s="102">
        <f t="shared" ca="1" si="33"/>
        <v>0</v>
      </c>
      <c r="EP28" s="102">
        <f t="shared" ca="1" si="33"/>
        <v>0</v>
      </c>
      <c r="EQ28" s="102">
        <f t="shared" ca="1" si="33"/>
        <v>0</v>
      </c>
      <c r="ER28" s="64"/>
      <c r="ES28" s="421"/>
      <c r="ET28" s="63"/>
      <c r="EU28" s="92"/>
    </row>
    <row r="29" spans="2:151" s="87" customFormat="1" ht="15.75" outlineLevel="1">
      <c r="B29" s="255" t="s">
        <v>89</v>
      </c>
      <c r="C29" s="257">
        <f>Assumptions!E75</f>
        <v>0.04</v>
      </c>
      <c r="D29" s="257"/>
      <c r="E29" s="257"/>
      <c r="F29" s="257"/>
      <c r="G29" s="480" t="s">
        <v>91</v>
      </c>
      <c r="H29" s="480"/>
      <c r="I29" s="75"/>
      <c r="J29" s="212"/>
      <c r="K29" s="93"/>
      <c r="L29" s="75"/>
      <c r="M29" s="75"/>
      <c r="N29" s="212"/>
      <c r="O29" s="75">
        <v>0</v>
      </c>
      <c r="P29" s="102">
        <f t="shared" ref="P29:AU29" ca="1" si="34">$C$29*(unit-P28)</f>
        <v>1.2</v>
      </c>
      <c r="Q29" s="102">
        <f t="shared" ca="1" si="34"/>
        <v>1.1599999999999999</v>
      </c>
      <c r="R29" s="102">
        <f t="shared" ca="1" si="34"/>
        <v>1</v>
      </c>
      <c r="S29" s="102">
        <f t="shared" ca="1" si="34"/>
        <v>0.84</v>
      </c>
      <c r="T29" s="102">
        <f t="shared" ca="1" si="34"/>
        <v>1</v>
      </c>
      <c r="U29" s="102">
        <f t="shared" ca="1" si="34"/>
        <v>1.2</v>
      </c>
      <c r="V29" s="102">
        <f t="shared" ca="1" si="34"/>
        <v>1.2</v>
      </c>
      <c r="W29" s="102">
        <f t="shared" ca="1" si="34"/>
        <v>1.2</v>
      </c>
      <c r="X29" s="102">
        <f t="shared" ca="1" si="34"/>
        <v>1.2</v>
      </c>
      <c r="Y29" s="102">
        <f t="shared" ca="1" si="34"/>
        <v>1.2</v>
      </c>
      <c r="Z29" s="102">
        <f t="shared" ca="1" si="34"/>
        <v>1.2</v>
      </c>
      <c r="AA29" s="102">
        <f t="shared" ca="1" si="34"/>
        <v>1.2</v>
      </c>
      <c r="AB29" s="102">
        <f t="shared" ca="1" si="34"/>
        <v>1</v>
      </c>
      <c r="AC29" s="102">
        <f t="shared" ca="1" si="34"/>
        <v>0.8</v>
      </c>
      <c r="AD29" s="102">
        <f t="shared" ca="1" si="34"/>
        <v>1</v>
      </c>
      <c r="AE29" s="102">
        <f t="shared" ca="1" si="34"/>
        <v>1</v>
      </c>
      <c r="AF29" s="102">
        <f t="shared" ca="1" si="34"/>
        <v>1</v>
      </c>
      <c r="AG29" s="102">
        <f t="shared" ca="1" si="34"/>
        <v>1.2</v>
      </c>
      <c r="AH29" s="102">
        <f t="shared" ca="1" si="34"/>
        <v>1.2</v>
      </c>
      <c r="AI29" s="102">
        <f t="shared" ca="1" si="34"/>
        <v>1.2</v>
      </c>
      <c r="AJ29" s="102">
        <f t="shared" ca="1" si="34"/>
        <v>1.2</v>
      </c>
      <c r="AK29" s="102">
        <f t="shared" ca="1" si="34"/>
        <v>1.2</v>
      </c>
      <c r="AL29" s="102">
        <f t="shared" ca="1" si="34"/>
        <v>1.2</v>
      </c>
      <c r="AM29" s="102">
        <f t="shared" ca="1" si="34"/>
        <v>1.2</v>
      </c>
      <c r="AN29" s="102">
        <f t="shared" ca="1" si="34"/>
        <v>1.2</v>
      </c>
      <c r="AO29" s="102">
        <f t="shared" ca="1" si="34"/>
        <v>1.2</v>
      </c>
      <c r="AP29" s="102">
        <f t="shared" ca="1" si="34"/>
        <v>1.2</v>
      </c>
      <c r="AQ29" s="102">
        <f t="shared" ca="1" si="34"/>
        <v>1.04</v>
      </c>
      <c r="AR29" s="102">
        <f t="shared" ca="1" si="34"/>
        <v>1.04</v>
      </c>
      <c r="AS29" s="102">
        <f t="shared" ca="1" si="34"/>
        <v>1.1599999999999999</v>
      </c>
      <c r="AT29" s="102">
        <f t="shared" ca="1" si="34"/>
        <v>1.1599999999999999</v>
      </c>
      <c r="AU29" s="102">
        <f t="shared" ca="1" si="34"/>
        <v>1.2</v>
      </c>
      <c r="AV29" s="102">
        <f t="shared" ref="AV29:CA29" ca="1" si="35">$C$29*(unit-AV28)</f>
        <v>1.2</v>
      </c>
      <c r="AW29" s="102">
        <f t="shared" ca="1" si="35"/>
        <v>1.2</v>
      </c>
      <c r="AX29" s="102">
        <f t="shared" ca="1" si="35"/>
        <v>1.2</v>
      </c>
      <c r="AY29" s="102">
        <f t="shared" ca="1" si="35"/>
        <v>1.2</v>
      </c>
      <c r="AZ29" s="102">
        <f t="shared" ca="1" si="35"/>
        <v>1.2</v>
      </c>
      <c r="BA29" s="102">
        <f t="shared" ca="1" si="35"/>
        <v>1.2</v>
      </c>
      <c r="BB29" s="102">
        <f t="shared" ca="1" si="35"/>
        <v>1.2</v>
      </c>
      <c r="BC29" s="102">
        <f t="shared" ca="1" si="35"/>
        <v>1.2</v>
      </c>
      <c r="BD29" s="102">
        <f t="shared" ca="1" si="35"/>
        <v>1.2</v>
      </c>
      <c r="BE29" s="102">
        <f t="shared" ca="1" si="35"/>
        <v>1.2</v>
      </c>
      <c r="BF29" s="102">
        <f t="shared" ca="1" si="35"/>
        <v>1.2</v>
      </c>
      <c r="BG29" s="102">
        <f t="shared" ca="1" si="35"/>
        <v>1.2</v>
      </c>
      <c r="BH29" s="102">
        <f t="shared" ca="1" si="35"/>
        <v>1.2</v>
      </c>
      <c r="BI29" s="102">
        <f t="shared" ca="1" si="35"/>
        <v>1.2</v>
      </c>
      <c r="BJ29" s="102">
        <f t="shared" ca="1" si="35"/>
        <v>1.2</v>
      </c>
      <c r="BK29" s="102">
        <f t="shared" ca="1" si="35"/>
        <v>1.2</v>
      </c>
      <c r="BL29" s="102">
        <f t="shared" ca="1" si="35"/>
        <v>1.2</v>
      </c>
      <c r="BM29" s="102">
        <f t="shared" ca="1" si="35"/>
        <v>1.2</v>
      </c>
      <c r="BN29" s="102">
        <f t="shared" ca="1" si="35"/>
        <v>1.2</v>
      </c>
      <c r="BO29" s="102">
        <f t="shared" ca="1" si="35"/>
        <v>1.2</v>
      </c>
      <c r="BP29" s="102">
        <f t="shared" ca="1" si="35"/>
        <v>1.2</v>
      </c>
      <c r="BQ29" s="102">
        <f t="shared" ca="1" si="35"/>
        <v>1.2</v>
      </c>
      <c r="BR29" s="102">
        <f t="shared" ca="1" si="35"/>
        <v>1.2</v>
      </c>
      <c r="BS29" s="102">
        <f t="shared" ca="1" si="35"/>
        <v>1.2</v>
      </c>
      <c r="BT29" s="102">
        <f t="shared" ca="1" si="35"/>
        <v>1.2</v>
      </c>
      <c r="BU29" s="102">
        <f t="shared" ca="1" si="35"/>
        <v>1.2</v>
      </c>
      <c r="BV29" s="102">
        <f t="shared" ca="1" si="35"/>
        <v>1.2</v>
      </c>
      <c r="BW29" s="102">
        <f t="shared" ca="1" si="35"/>
        <v>1.2</v>
      </c>
      <c r="BX29" s="102">
        <f t="shared" ca="1" si="35"/>
        <v>1.2</v>
      </c>
      <c r="BY29" s="102">
        <f t="shared" ca="1" si="35"/>
        <v>1.2</v>
      </c>
      <c r="BZ29" s="102">
        <f t="shared" ca="1" si="35"/>
        <v>1.2</v>
      </c>
      <c r="CA29" s="102">
        <f t="shared" ca="1" si="35"/>
        <v>1.2</v>
      </c>
      <c r="CB29" s="102">
        <f t="shared" ref="CB29:DG29" ca="1" si="36">$C$29*(unit-CB28)</f>
        <v>1.2</v>
      </c>
      <c r="CC29" s="102">
        <f t="shared" ca="1" si="36"/>
        <v>1.2</v>
      </c>
      <c r="CD29" s="102">
        <f t="shared" ca="1" si="36"/>
        <v>1.2</v>
      </c>
      <c r="CE29" s="102">
        <f t="shared" ca="1" si="36"/>
        <v>1.2</v>
      </c>
      <c r="CF29" s="102">
        <f t="shared" ca="1" si="36"/>
        <v>1.2</v>
      </c>
      <c r="CG29" s="102">
        <f t="shared" ca="1" si="36"/>
        <v>1.2</v>
      </c>
      <c r="CH29" s="102">
        <f t="shared" ca="1" si="36"/>
        <v>1.2</v>
      </c>
      <c r="CI29" s="102">
        <f t="shared" ca="1" si="36"/>
        <v>1.2</v>
      </c>
      <c r="CJ29" s="102">
        <f t="shared" ca="1" si="36"/>
        <v>1.2</v>
      </c>
      <c r="CK29" s="102">
        <f t="shared" ca="1" si="36"/>
        <v>1.2</v>
      </c>
      <c r="CL29" s="102">
        <f t="shared" ca="1" si="36"/>
        <v>1.2</v>
      </c>
      <c r="CM29" s="102">
        <f t="shared" ca="1" si="36"/>
        <v>1.2</v>
      </c>
      <c r="CN29" s="102">
        <f t="shared" ca="1" si="36"/>
        <v>1.2</v>
      </c>
      <c r="CO29" s="102">
        <f t="shared" ca="1" si="36"/>
        <v>1.2</v>
      </c>
      <c r="CP29" s="102">
        <f t="shared" ca="1" si="36"/>
        <v>1.2</v>
      </c>
      <c r="CQ29" s="102">
        <f t="shared" ca="1" si="36"/>
        <v>1.2</v>
      </c>
      <c r="CR29" s="102">
        <f t="shared" ca="1" si="36"/>
        <v>1.2</v>
      </c>
      <c r="CS29" s="102">
        <f t="shared" ca="1" si="36"/>
        <v>1.2</v>
      </c>
      <c r="CT29" s="102">
        <f t="shared" ca="1" si="36"/>
        <v>1.2</v>
      </c>
      <c r="CU29" s="102">
        <f t="shared" ca="1" si="36"/>
        <v>1.2</v>
      </c>
      <c r="CV29" s="102">
        <f t="shared" ca="1" si="36"/>
        <v>1.2</v>
      </c>
      <c r="CW29" s="102">
        <f t="shared" ca="1" si="36"/>
        <v>1.2</v>
      </c>
      <c r="CX29" s="102">
        <f t="shared" ca="1" si="36"/>
        <v>1.2</v>
      </c>
      <c r="CY29" s="102">
        <f t="shared" ca="1" si="36"/>
        <v>1.2</v>
      </c>
      <c r="CZ29" s="102">
        <f t="shared" ca="1" si="36"/>
        <v>1.2</v>
      </c>
      <c r="DA29" s="102">
        <f t="shared" ca="1" si="36"/>
        <v>1.2</v>
      </c>
      <c r="DB29" s="102">
        <f t="shared" ca="1" si="36"/>
        <v>1.2</v>
      </c>
      <c r="DC29" s="102">
        <f t="shared" ca="1" si="36"/>
        <v>1.2</v>
      </c>
      <c r="DD29" s="102">
        <f t="shared" ca="1" si="36"/>
        <v>1.2</v>
      </c>
      <c r="DE29" s="102">
        <f t="shared" ca="1" si="36"/>
        <v>1.2</v>
      </c>
      <c r="DF29" s="102">
        <f t="shared" ca="1" si="36"/>
        <v>1.2</v>
      </c>
      <c r="DG29" s="102">
        <f t="shared" ca="1" si="36"/>
        <v>1.2</v>
      </c>
      <c r="DH29" s="102">
        <f t="shared" ref="DH29:EM29" ca="1" si="37">$C$29*(unit-DH28)</f>
        <v>1.2</v>
      </c>
      <c r="DI29" s="102">
        <f t="shared" ca="1" si="37"/>
        <v>1.2</v>
      </c>
      <c r="DJ29" s="102">
        <f t="shared" ca="1" si="37"/>
        <v>1.2</v>
      </c>
      <c r="DK29" s="102">
        <f t="shared" ca="1" si="37"/>
        <v>1.2</v>
      </c>
      <c r="DL29" s="102">
        <f t="shared" ca="1" si="37"/>
        <v>1.2</v>
      </c>
      <c r="DM29" s="102">
        <f t="shared" ca="1" si="37"/>
        <v>1.2</v>
      </c>
      <c r="DN29" s="102">
        <f t="shared" ca="1" si="37"/>
        <v>1.2</v>
      </c>
      <c r="DO29" s="102">
        <f t="shared" ca="1" si="37"/>
        <v>1.2</v>
      </c>
      <c r="DP29" s="102">
        <f t="shared" ca="1" si="37"/>
        <v>1.2</v>
      </c>
      <c r="DQ29" s="102">
        <f t="shared" ca="1" si="37"/>
        <v>1.2</v>
      </c>
      <c r="DR29" s="102">
        <f t="shared" ca="1" si="37"/>
        <v>1.2</v>
      </c>
      <c r="DS29" s="102">
        <f t="shared" ca="1" si="37"/>
        <v>1.2</v>
      </c>
      <c r="DT29" s="102">
        <f t="shared" ca="1" si="37"/>
        <v>1.2</v>
      </c>
      <c r="DU29" s="102">
        <f t="shared" ca="1" si="37"/>
        <v>1.2</v>
      </c>
      <c r="DV29" s="102">
        <f t="shared" ca="1" si="37"/>
        <v>1.2</v>
      </c>
      <c r="DW29" s="102">
        <f t="shared" ca="1" si="37"/>
        <v>1.2</v>
      </c>
      <c r="DX29" s="102">
        <f t="shared" ca="1" si="37"/>
        <v>1.2</v>
      </c>
      <c r="DY29" s="102">
        <f t="shared" ca="1" si="37"/>
        <v>1.2</v>
      </c>
      <c r="DZ29" s="102">
        <f t="shared" ca="1" si="37"/>
        <v>1.2</v>
      </c>
      <c r="EA29" s="102">
        <f t="shared" ca="1" si="37"/>
        <v>1.2</v>
      </c>
      <c r="EB29" s="102">
        <f t="shared" ca="1" si="37"/>
        <v>1.2</v>
      </c>
      <c r="EC29" s="102">
        <f t="shared" ca="1" si="37"/>
        <v>1.2</v>
      </c>
      <c r="ED29" s="102">
        <f t="shared" ca="1" si="37"/>
        <v>1.2</v>
      </c>
      <c r="EE29" s="102">
        <f t="shared" ca="1" si="37"/>
        <v>1.2</v>
      </c>
      <c r="EF29" s="102">
        <f t="shared" ca="1" si="37"/>
        <v>1.2</v>
      </c>
      <c r="EG29" s="102">
        <f t="shared" ca="1" si="37"/>
        <v>1.2</v>
      </c>
      <c r="EH29" s="102">
        <f t="shared" ca="1" si="37"/>
        <v>1.2</v>
      </c>
      <c r="EI29" s="102">
        <f t="shared" ca="1" si="37"/>
        <v>1.2</v>
      </c>
      <c r="EJ29" s="102">
        <f t="shared" ca="1" si="37"/>
        <v>1.2</v>
      </c>
      <c r="EK29" s="102">
        <f t="shared" ca="1" si="37"/>
        <v>1.2</v>
      </c>
      <c r="EL29" s="102">
        <f t="shared" ca="1" si="37"/>
        <v>1.2</v>
      </c>
      <c r="EM29" s="102">
        <f t="shared" ca="1" si="37"/>
        <v>1.2</v>
      </c>
      <c r="EN29" s="102">
        <f ca="1">$C$29*(unit-EN28)</f>
        <v>1.2</v>
      </c>
      <c r="EO29" s="102">
        <f ca="1">$C$29*(unit-EO28)</f>
        <v>1.2</v>
      </c>
      <c r="EP29" s="102">
        <f ca="1">$C$29*(unit-EP28)</f>
        <v>1.2</v>
      </c>
      <c r="EQ29" s="102">
        <f ca="1">$C$29*(unit-EQ28)</f>
        <v>1.2</v>
      </c>
      <c r="ER29" s="64"/>
      <c r="ES29" s="421"/>
      <c r="ET29" s="63"/>
      <c r="EU29" s="92"/>
    </row>
    <row r="30" spans="2:151" s="87" customFormat="1" ht="15.75" outlineLevel="1">
      <c r="B30" s="255" t="s">
        <v>88</v>
      </c>
      <c r="C30" s="256">
        <f ca="1">MAX(P30:EQ30)</f>
        <v>10.8</v>
      </c>
      <c r="D30" s="256"/>
      <c r="E30" s="256"/>
      <c r="F30" s="256"/>
      <c r="G30" s="480" t="s">
        <v>86</v>
      </c>
      <c r="H30" s="480"/>
      <c r="I30" s="75"/>
      <c r="J30" s="212"/>
      <c r="K30" s="93"/>
      <c r="L30" s="75"/>
      <c r="M30" s="75"/>
      <c r="N30" s="212"/>
      <c r="O30" s="75">
        <v>0</v>
      </c>
      <c r="P30" s="102">
        <f t="shared" ref="P30:AU30" ca="1" si="38">P29+P23+P26</f>
        <v>1.2</v>
      </c>
      <c r="Q30" s="102">
        <f t="shared" ca="1" si="38"/>
        <v>2.16</v>
      </c>
      <c r="R30" s="102">
        <f t="shared" ca="1" si="38"/>
        <v>6</v>
      </c>
      <c r="S30" s="102">
        <f t="shared" ca="1" si="38"/>
        <v>9.84</v>
      </c>
      <c r="T30" s="102">
        <f t="shared" ca="1" si="38"/>
        <v>6</v>
      </c>
      <c r="U30" s="102">
        <f t="shared" ca="1" si="38"/>
        <v>1.2</v>
      </c>
      <c r="V30" s="102">
        <f t="shared" ca="1" si="38"/>
        <v>1.2</v>
      </c>
      <c r="W30" s="102">
        <f t="shared" ca="1" si="38"/>
        <v>1.2</v>
      </c>
      <c r="X30" s="102">
        <f t="shared" ca="1" si="38"/>
        <v>1.2</v>
      </c>
      <c r="Y30" s="102">
        <f t="shared" ca="1" si="38"/>
        <v>1.2</v>
      </c>
      <c r="Z30" s="102">
        <f t="shared" ca="1" si="38"/>
        <v>1.2</v>
      </c>
      <c r="AA30" s="102">
        <f t="shared" ca="1" si="38"/>
        <v>1.2</v>
      </c>
      <c r="AB30" s="102">
        <f t="shared" ca="1" si="38"/>
        <v>6</v>
      </c>
      <c r="AC30" s="102">
        <f t="shared" ca="1" si="38"/>
        <v>10.8</v>
      </c>
      <c r="AD30" s="102">
        <f t="shared" ca="1" si="38"/>
        <v>6</v>
      </c>
      <c r="AE30" s="102">
        <f t="shared" ca="1" si="38"/>
        <v>6</v>
      </c>
      <c r="AF30" s="102">
        <f t="shared" ca="1" si="38"/>
        <v>6</v>
      </c>
      <c r="AG30" s="102">
        <f t="shared" ca="1" si="38"/>
        <v>1.2</v>
      </c>
      <c r="AH30" s="102">
        <f t="shared" ca="1" si="38"/>
        <v>1.2</v>
      </c>
      <c r="AI30" s="102">
        <f t="shared" ca="1" si="38"/>
        <v>1.2</v>
      </c>
      <c r="AJ30" s="102">
        <f t="shared" ca="1" si="38"/>
        <v>1.2</v>
      </c>
      <c r="AK30" s="102">
        <f t="shared" ca="1" si="38"/>
        <v>1.2</v>
      </c>
      <c r="AL30" s="102">
        <f t="shared" ca="1" si="38"/>
        <v>1.2</v>
      </c>
      <c r="AM30" s="102">
        <f t="shared" ca="1" si="38"/>
        <v>1.2</v>
      </c>
      <c r="AN30" s="102">
        <f t="shared" ca="1" si="38"/>
        <v>1.2</v>
      </c>
      <c r="AO30" s="102">
        <f t="shared" ca="1" si="38"/>
        <v>1.2</v>
      </c>
      <c r="AP30" s="102">
        <f t="shared" ca="1" si="38"/>
        <v>1.2</v>
      </c>
      <c r="AQ30" s="102">
        <f t="shared" ca="1" si="38"/>
        <v>5.04</v>
      </c>
      <c r="AR30" s="102">
        <f t="shared" ca="1" si="38"/>
        <v>5.04</v>
      </c>
      <c r="AS30" s="102">
        <f t="shared" ca="1" si="38"/>
        <v>2.16</v>
      </c>
      <c r="AT30" s="102">
        <f t="shared" ca="1" si="38"/>
        <v>2.16</v>
      </c>
      <c r="AU30" s="102">
        <f t="shared" ca="1" si="38"/>
        <v>1.2</v>
      </c>
      <c r="AV30" s="102">
        <f t="shared" ref="AV30:CA30" ca="1" si="39">AV29+AV23+AV26</f>
        <v>1.2</v>
      </c>
      <c r="AW30" s="102">
        <f t="shared" ca="1" si="39"/>
        <v>1.2</v>
      </c>
      <c r="AX30" s="102">
        <f t="shared" ca="1" si="39"/>
        <v>1.2</v>
      </c>
      <c r="AY30" s="102">
        <f t="shared" ca="1" si="39"/>
        <v>1.2</v>
      </c>
      <c r="AZ30" s="102">
        <f t="shared" ca="1" si="39"/>
        <v>1.2</v>
      </c>
      <c r="BA30" s="102">
        <f t="shared" ca="1" si="39"/>
        <v>1.2</v>
      </c>
      <c r="BB30" s="102">
        <f t="shared" ca="1" si="39"/>
        <v>1.2</v>
      </c>
      <c r="BC30" s="102">
        <f t="shared" ca="1" si="39"/>
        <v>1.2</v>
      </c>
      <c r="BD30" s="102">
        <f t="shared" ca="1" si="39"/>
        <v>1.2</v>
      </c>
      <c r="BE30" s="102">
        <f t="shared" ca="1" si="39"/>
        <v>1.2</v>
      </c>
      <c r="BF30" s="102">
        <f t="shared" ca="1" si="39"/>
        <v>1.2</v>
      </c>
      <c r="BG30" s="102">
        <f t="shared" ca="1" si="39"/>
        <v>1.2</v>
      </c>
      <c r="BH30" s="102">
        <f t="shared" ca="1" si="39"/>
        <v>1.2</v>
      </c>
      <c r="BI30" s="102">
        <f t="shared" ca="1" si="39"/>
        <v>1.2</v>
      </c>
      <c r="BJ30" s="102">
        <f t="shared" ca="1" si="39"/>
        <v>1.2</v>
      </c>
      <c r="BK30" s="102">
        <f t="shared" ca="1" si="39"/>
        <v>1.2</v>
      </c>
      <c r="BL30" s="102">
        <f t="shared" ca="1" si="39"/>
        <v>1.2</v>
      </c>
      <c r="BM30" s="102">
        <f t="shared" ca="1" si="39"/>
        <v>1.2</v>
      </c>
      <c r="BN30" s="102">
        <f t="shared" ca="1" si="39"/>
        <v>1.2</v>
      </c>
      <c r="BO30" s="102">
        <f t="shared" ca="1" si="39"/>
        <v>1.2</v>
      </c>
      <c r="BP30" s="102">
        <f t="shared" ca="1" si="39"/>
        <v>1.2</v>
      </c>
      <c r="BQ30" s="102">
        <f t="shared" ca="1" si="39"/>
        <v>1.2</v>
      </c>
      <c r="BR30" s="102">
        <f t="shared" ca="1" si="39"/>
        <v>1.2</v>
      </c>
      <c r="BS30" s="102">
        <f t="shared" ca="1" si="39"/>
        <v>1.2</v>
      </c>
      <c r="BT30" s="102">
        <f t="shared" ca="1" si="39"/>
        <v>1.2</v>
      </c>
      <c r="BU30" s="102">
        <f t="shared" ca="1" si="39"/>
        <v>1.2</v>
      </c>
      <c r="BV30" s="102">
        <f t="shared" ca="1" si="39"/>
        <v>1.2</v>
      </c>
      <c r="BW30" s="102">
        <f t="shared" ca="1" si="39"/>
        <v>1.2</v>
      </c>
      <c r="BX30" s="102">
        <f t="shared" ca="1" si="39"/>
        <v>1.2</v>
      </c>
      <c r="BY30" s="102">
        <f t="shared" ca="1" si="39"/>
        <v>1.2</v>
      </c>
      <c r="BZ30" s="102">
        <f t="shared" ca="1" si="39"/>
        <v>1.2</v>
      </c>
      <c r="CA30" s="102">
        <f t="shared" ca="1" si="39"/>
        <v>1.2</v>
      </c>
      <c r="CB30" s="102">
        <f t="shared" ref="CB30:DG30" ca="1" si="40">CB29+CB23+CB26</f>
        <v>1.2</v>
      </c>
      <c r="CC30" s="102">
        <f t="shared" ca="1" si="40"/>
        <v>1.2</v>
      </c>
      <c r="CD30" s="102">
        <f t="shared" ca="1" si="40"/>
        <v>1.2</v>
      </c>
      <c r="CE30" s="102">
        <f t="shared" ca="1" si="40"/>
        <v>1.2</v>
      </c>
      <c r="CF30" s="102">
        <f t="shared" ca="1" si="40"/>
        <v>1.2</v>
      </c>
      <c r="CG30" s="102">
        <f t="shared" ca="1" si="40"/>
        <v>1.2</v>
      </c>
      <c r="CH30" s="102">
        <f t="shared" ca="1" si="40"/>
        <v>1.2</v>
      </c>
      <c r="CI30" s="102">
        <f t="shared" ca="1" si="40"/>
        <v>1.2</v>
      </c>
      <c r="CJ30" s="102">
        <f t="shared" ca="1" si="40"/>
        <v>1.2</v>
      </c>
      <c r="CK30" s="102">
        <f t="shared" ca="1" si="40"/>
        <v>1.2</v>
      </c>
      <c r="CL30" s="102">
        <f t="shared" ca="1" si="40"/>
        <v>1.2</v>
      </c>
      <c r="CM30" s="102">
        <f t="shared" ca="1" si="40"/>
        <v>1.2</v>
      </c>
      <c r="CN30" s="102">
        <f t="shared" ca="1" si="40"/>
        <v>1.2</v>
      </c>
      <c r="CO30" s="102">
        <f t="shared" ca="1" si="40"/>
        <v>1.2</v>
      </c>
      <c r="CP30" s="102">
        <f t="shared" ca="1" si="40"/>
        <v>1.2</v>
      </c>
      <c r="CQ30" s="102">
        <f t="shared" ca="1" si="40"/>
        <v>1.2</v>
      </c>
      <c r="CR30" s="102">
        <f t="shared" ca="1" si="40"/>
        <v>1.2</v>
      </c>
      <c r="CS30" s="102">
        <f t="shared" ca="1" si="40"/>
        <v>1.2</v>
      </c>
      <c r="CT30" s="102">
        <f t="shared" ca="1" si="40"/>
        <v>1.2</v>
      </c>
      <c r="CU30" s="102">
        <f t="shared" ca="1" si="40"/>
        <v>1.2</v>
      </c>
      <c r="CV30" s="102">
        <f t="shared" ca="1" si="40"/>
        <v>1.2</v>
      </c>
      <c r="CW30" s="102">
        <f t="shared" ca="1" si="40"/>
        <v>1.2</v>
      </c>
      <c r="CX30" s="102">
        <f t="shared" ca="1" si="40"/>
        <v>1.2</v>
      </c>
      <c r="CY30" s="102">
        <f t="shared" ca="1" si="40"/>
        <v>1.2</v>
      </c>
      <c r="CZ30" s="102">
        <f t="shared" ca="1" si="40"/>
        <v>1.2</v>
      </c>
      <c r="DA30" s="102">
        <f t="shared" ca="1" si="40"/>
        <v>1.2</v>
      </c>
      <c r="DB30" s="102">
        <f t="shared" ca="1" si="40"/>
        <v>1.2</v>
      </c>
      <c r="DC30" s="102">
        <f t="shared" ca="1" si="40"/>
        <v>1.2</v>
      </c>
      <c r="DD30" s="102">
        <f t="shared" ca="1" si="40"/>
        <v>1.2</v>
      </c>
      <c r="DE30" s="102">
        <f t="shared" ca="1" si="40"/>
        <v>1.2</v>
      </c>
      <c r="DF30" s="102">
        <f t="shared" ca="1" si="40"/>
        <v>1.2</v>
      </c>
      <c r="DG30" s="102">
        <f t="shared" ca="1" si="40"/>
        <v>1.2</v>
      </c>
      <c r="DH30" s="102">
        <f t="shared" ref="DH30:EM30" ca="1" si="41">DH29+DH23+DH26</f>
        <v>1.2</v>
      </c>
      <c r="DI30" s="102">
        <f t="shared" ca="1" si="41"/>
        <v>1.2</v>
      </c>
      <c r="DJ30" s="102">
        <f t="shared" ca="1" si="41"/>
        <v>1.2</v>
      </c>
      <c r="DK30" s="102">
        <f t="shared" ca="1" si="41"/>
        <v>1.2</v>
      </c>
      <c r="DL30" s="102">
        <f t="shared" ca="1" si="41"/>
        <v>1.2</v>
      </c>
      <c r="DM30" s="102">
        <f t="shared" ca="1" si="41"/>
        <v>1.2</v>
      </c>
      <c r="DN30" s="102">
        <f t="shared" ca="1" si="41"/>
        <v>1.2</v>
      </c>
      <c r="DO30" s="102">
        <f t="shared" ca="1" si="41"/>
        <v>1.2</v>
      </c>
      <c r="DP30" s="102">
        <f t="shared" ca="1" si="41"/>
        <v>1.2</v>
      </c>
      <c r="DQ30" s="102">
        <f t="shared" ca="1" si="41"/>
        <v>1.2</v>
      </c>
      <c r="DR30" s="102">
        <f t="shared" ca="1" si="41"/>
        <v>1.2</v>
      </c>
      <c r="DS30" s="102">
        <f t="shared" ca="1" si="41"/>
        <v>1.2</v>
      </c>
      <c r="DT30" s="102">
        <f t="shared" ca="1" si="41"/>
        <v>1.2</v>
      </c>
      <c r="DU30" s="102">
        <f t="shared" ca="1" si="41"/>
        <v>1.2</v>
      </c>
      <c r="DV30" s="102">
        <f t="shared" ca="1" si="41"/>
        <v>1.2</v>
      </c>
      <c r="DW30" s="102">
        <f t="shared" ca="1" si="41"/>
        <v>1.2</v>
      </c>
      <c r="DX30" s="102">
        <f t="shared" ca="1" si="41"/>
        <v>1.2</v>
      </c>
      <c r="DY30" s="102">
        <f t="shared" ca="1" si="41"/>
        <v>1.2</v>
      </c>
      <c r="DZ30" s="102">
        <f t="shared" ca="1" si="41"/>
        <v>1.2</v>
      </c>
      <c r="EA30" s="102">
        <f t="shared" ca="1" si="41"/>
        <v>1.2</v>
      </c>
      <c r="EB30" s="102">
        <f t="shared" ca="1" si="41"/>
        <v>1.2</v>
      </c>
      <c r="EC30" s="102">
        <f t="shared" ca="1" si="41"/>
        <v>1.2</v>
      </c>
      <c r="ED30" s="102">
        <f t="shared" ca="1" si="41"/>
        <v>1.2</v>
      </c>
      <c r="EE30" s="102">
        <f t="shared" ca="1" si="41"/>
        <v>1.2</v>
      </c>
      <c r="EF30" s="102">
        <f t="shared" ca="1" si="41"/>
        <v>1.2</v>
      </c>
      <c r="EG30" s="102">
        <f t="shared" ca="1" si="41"/>
        <v>1.2</v>
      </c>
      <c r="EH30" s="102">
        <f t="shared" ca="1" si="41"/>
        <v>1.2</v>
      </c>
      <c r="EI30" s="102">
        <f t="shared" ca="1" si="41"/>
        <v>1.2</v>
      </c>
      <c r="EJ30" s="102">
        <f t="shared" ca="1" si="41"/>
        <v>1.2</v>
      </c>
      <c r="EK30" s="102">
        <f t="shared" ca="1" si="41"/>
        <v>1.2</v>
      </c>
      <c r="EL30" s="102">
        <f t="shared" ca="1" si="41"/>
        <v>1.2</v>
      </c>
      <c r="EM30" s="102">
        <f t="shared" ca="1" si="41"/>
        <v>1.2</v>
      </c>
      <c r="EN30" s="102">
        <f ca="1">EN29+EN23+EN26</f>
        <v>1.2</v>
      </c>
      <c r="EO30" s="102">
        <f ca="1">EO29+EO23+EO26</f>
        <v>1.2</v>
      </c>
      <c r="EP30" s="102">
        <f ca="1">EP29+EP23+EP26</f>
        <v>1.2</v>
      </c>
      <c r="EQ30" s="102">
        <f ca="1">EQ29+EQ23+EQ26</f>
        <v>1.2</v>
      </c>
      <c r="ER30" s="64"/>
      <c r="ES30" s="421"/>
      <c r="ET30" s="63"/>
      <c r="EU30" s="92"/>
    </row>
    <row r="31" spans="2:151" s="87" customFormat="1" ht="15.75" outlineLevel="1">
      <c r="B31" s="255"/>
      <c r="C31" s="257"/>
      <c r="D31" s="257"/>
      <c r="E31" s="257"/>
      <c r="F31" s="257"/>
      <c r="G31" s="484" t="s">
        <v>83</v>
      </c>
      <c r="H31" s="480"/>
      <c r="I31" s="75"/>
      <c r="J31" s="212"/>
      <c r="K31" s="93"/>
      <c r="L31" s="75"/>
      <c r="M31" s="75"/>
      <c r="N31" s="212"/>
      <c r="O31" s="75"/>
      <c r="P31" s="206"/>
      <c r="Q31" s="92"/>
      <c r="R31" s="92"/>
      <c r="S31" s="91"/>
      <c r="T31" s="91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64"/>
      <c r="ES31" s="421"/>
      <c r="ET31" s="63"/>
      <c r="EU31" s="92"/>
    </row>
    <row r="32" spans="2:151" s="87" customFormat="1" ht="27.75" customHeight="1">
      <c r="G32" s="485" t="s">
        <v>11</v>
      </c>
      <c r="H32" s="480"/>
      <c r="I32" s="75"/>
      <c r="J32" s="212"/>
      <c r="K32" s="93"/>
      <c r="L32" s="75"/>
      <c r="M32" s="75"/>
      <c r="N32" s="212"/>
      <c r="O32" s="75"/>
      <c r="P32" s="206"/>
      <c r="Q32" s="92"/>
      <c r="R32" s="92"/>
      <c r="S32" s="91"/>
      <c r="T32" s="91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64"/>
      <c r="ES32" s="421"/>
      <c r="ET32" s="63"/>
      <c r="EU32" s="92"/>
    </row>
    <row r="33" spans="2:151" ht="15.75">
      <c r="G33" s="144"/>
      <c r="H33" s="146" t="s">
        <v>140</v>
      </c>
      <c r="I33" s="97"/>
      <c r="J33" s="213"/>
      <c r="K33" s="96"/>
      <c r="L33" s="97"/>
      <c r="M33" s="97"/>
      <c r="N33" s="213"/>
      <c r="O33" s="776"/>
      <c r="P33" s="4">
        <f>VLOOKUP(P11,Assumptions!$J$13:$M$23,4,FALSE)</f>
        <v>3.4000000000000002E-2</v>
      </c>
      <c r="Q33" s="4">
        <f>VLOOKUP(Q11,Assumptions!$J$13:$M$23,4,FALSE)</f>
        <v>3.4000000000000002E-2</v>
      </c>
      <c r="R33" s="4">
        <f>VLOOKUP(R11,Assumptions!$J$13:$M$23,4,FALSE)</f>
        <v>3.4000000000000002E-2</v>
      </c>
      <c r="S33" s="4">
        <f>VLOOKUP(S11,Assumptions!$J$13:$M$23,4,FALSE)</f>
        <v>3.4000000000000002E-2</v>
      </c>
      <c r="T33" s="4">
        <f>VLOOKUP(T11,Assumptions!$J$13:$M$23,4,FALSE)</f>
        <v>3.4000000000000002E-2</v>
      </c>
      <c r="U33" s="4">
        <f>VLOOKUP(U11,Assumptions!$J$13:$M$23,4,FALSE)</f>
        <v>3.4000000000000002E-2</v>
      </c>
      <c r="V33" s="4">
        <f>VLOOKUP(V11,Assumptions!$J$13:$M$23,4,FALSE)</f>
        <v>3.4000000000000002E-2</v>
      </c>
      <c r="W33" s="4">
        <f>VLOOKUP(W11,Assumptions!$J$13:$M$23,4,FALSE)</f>
        <v>3.4000000000000002E-2</v>
      </c>
      <c r="X33" s="4">
        <f>VLOOKUP(X11,Assumptions!$J$13:$M$23,4,FALSE)</f>
        <v>3.4000000000000002E-2</v>
      </c>
      <c r="Y33" s="4">
        <f>VLOOKUP(Y11,Assumptions!$J$13:$M$23,4,FALSE)</f>
        <v>3.4000000000000002E-2</v>
      </c>
      <c r="Z33" s="4">
        <f>VLOOKUP(Z11,Assumptions!$J$13:$M$23,4,FALSE)</f>
        <v>3.4000000000000002E-2</v>
      </c>
      <c r="AA33" s="4">
        <f>VLOOKUP(AA11,Assumptions!$J$13:$M$23,4,FALSE)</f>
        <v>3.4000000000000002E-2</v>
      </c>
      <c r="AB33" s="4">
        <f>VLOOKUP(AB11,Assumptions!$J$13:$M$23,4,FALSE)</f>
        <v>8.2597999999999949E-2</v>
      </c>
      <c r="AC33" s="4">
        <f>VLOOKUP(AC11,Assumptions!$J$13:$M$23,4,FALSE)</f>
        <v>8.2597999999999949E-2</v>
      </c>
      <c r="AD33" s="4">
        <f>VLOOKUP(AD11,Assumptions!$J$13:$M$23,4,FALSE)</f>
        <v>8.2597999999999949E-2</v>
      </c>
      <c r="AE33" s="4">
        <f>VLOOKUP(AE11,Assumptions!$J$13:$M$23,4,FALSE)</f>
        <v>8.2597999999999949E-2</v>
      </c>
      <c r="AF33" s="4">
        <f>VLOOKUP(AF11,Assumptions!$J$13:$M$23,4,FALSE)</f>
        <v>8.2597999999999949E-2</v>
      </c>
      <c r="AG33" s="4">
        <f>VLOOKUP(AG11,Assumptions!$J$13:$M$23,4,FALSE)</f>
        <v>8.2597999999999949E-2</v>
      </c>
      <c r="AH33" s="4">
        <f>VLOOKUP(AH11,Assumptions!$J$13:$M$23,4,FALSE)</f>
        <v>8.2597999999999949E-2</v>
      </c>
      <c r="AI33" s="4">
        <f>VLOOKUP(AI11,Assumptions!$J$13:$M$23,4,FALSE)</f>
        <v>8.2597999999999949E-2</v>
      </c>
      <c r="AJ33" s="4">
        <f>VLOOKUP(AJ11,Assumptions!$J$13:$M$23,4,FALSE)</f>
        <v>8.2597999999999949E-2</v>
      </c>
      <c r="AK33" s="4">
        <f>VLOOKUP(AK11,Assumptions!$J$13:$M$23,4,FALSE)</f>
        <v>8.2597999999999949E-2</v>
      </c>
      <c r="AL33" s="4">
        <f>VLOOKUP(AL11,Assumptions!$J$13:$M$23,4,FALSE)</f>
        <v>8.2597999999999949E-2</v>
      </c>
      <c r="AM33" s="4">
        <f>VLOOKUP(AM11,Assumptions!$J$13:$M$23,4,FALSE)</f>
        <v>8.2597999999999949E-2</v>
      </c>
      <c r="AN33" s="4">
        <f>VLOOKUP(AN11,Assumptions!$J$13:$M$23,4,FALSE)</f>
        <v>0.13348010599999993</v>
      </c>
      <c r="AO33" s="4">
        <f>VLOOKUP(AO11,Assumptions!$J$13:$M$23,4,FALSE)</f>
        <v>0.13348010599999993</v>
      </c>
      <c r="AP33" s="4">
        <f>VLOOKUP(AP11,Assumptions!$J$13:$M$23,4,FALSE)</f>
        <v>0.13348010599999993</v>
      </c>
      <c r="AQ33" s="4">
        <f>VLOOKUP(AQ11,Assumptions!$J$13:$M$23,4,FALSE)</f>
        <v>0.13348010599999993</v>
      </c>
      <c r="AR33" s="4">
        <f>VLOOKUP(AR11,Assumptions!$J$13:$M$23,4,FALSE)</f>
        <v>0.13348010599999993</v>
      </c>
      <c r="AS33" s="4">
        <f>VLOOKUP(AS11,Assumptions!$J$13:$M$23,4,FALSE)</f>
        <v>0.13348010599999993</v>
      </c>
      <c r="AT33" s="4">
        <f>VLOOKUP(AT11,Assumptions!$J$13:$M$23,4,FALSE)</f>
        <v>0.13348010599999993</v>
      </c>
      <c r="AU33" s="4">
        <f>VLOOKUP(AU11,Assumptions!$J$13:$M$23,4,FALSE)</f>
        <v>0.13348010599999993</v>
      </c>
      <c r="AV33" s="4">
        <f>VLOOKUP(AV11,Assumptions!$J$13:$M$23,4,FALSE)</f>
        <v>0.13348010599999993</v>
      </c>
      <c r="AW33" s="4">
        <f>VLOOKUP(AW11,Assumptions!$J$13:$M$23,4,FALSE)</f>
        <v>0.13348010599999993</v>
      </c>
      <c r="AX33" s="4">
        <f>VLOOKUP(AX11,Assumptions!$J$13:$M$23,4,FALSE)</f>
        <v>0.13348010599999993</v>
      </c>
      <c r="AY33" s="4">
        <f>VLOOKUP(AY11,Assumptions!$J$13:$M$23,4,FALSE)</f>
        <v>0.13348010599999993</v>
      </c>
      <c r="AZ33" s="4">
        <f>VLOOKUP(AZ11,Assumptions!$J$13:$M$23,4,FALSE)</f>
        <v>0.17088494949799982</v>
      </c>
      <c r="BA33" s="4">
        <f>VLOOKUP(BA11,Assumptions!$J$13:$M$23,4,FALSE)</f>
        <v>0.17088494949799982</v>
      </c>
      <c r="BB33" s="4">
        <f>VLOOKUP(BB11,Assumptions!$J$13:$M$23,4,FALSE)</f>
        <v>0.17088494949799982</v>
      </c>
      <c r="BC33" s="4">
        <f>VLOOKUP(BC11,Assumptions!$J$13:$M$23,4,FALSE)</f>
        <v>0.17088494949799982</v>
      </c>
      <c r="BD33" s="4">
        <f>VLOOKUP(BD11,Assumptions!$J$13:$M$23,4,FALSE)</f>
        <v>0.17088494949799982</v>
      </c>
      <c r="BE33" s="4">
        <f>VLOOKUP(BE11,Assumptions!$J$13:$M$23,4,FALSE)</f>
        <v>0.17088494949799982</v>
      </c>
      <c r="BF33" s="4">
        <f>VLOOKUP(BF11,Assumptions!$J$13:$M$23,4,FALSE)</f>
        <v>0.17088494949799982</v>
      </c>
      <c r="BG33" s="4">
        <f>VLOOKUP(BG11,Assumptions!$J$13:$M$23,4,FALSE)</f>
        <v>0.17088494949799982</v>
      </c>
      <c r="BH33" s="4">
        <f>VLOOKUP(BH11,Assumptions!$J$13:$M$23,4,FALSE)</f>
        <v>0.17088494949799982</v>
      </c>
      <c r="BI33" s="4">
        <f>VLOOKUP(BI11,Assumptions!$J$13:$M$23,4,FALSE)</f>
        <v>0.17088494949799982</v>
      </c>
      <c r="BJ33" s="4">
        <f>VLOOKUP(BJ11,Assumptions!$J$13:$M$23,4,FALSE)</f>
        <v>0.17088494949799982</v>
      </c>
      <c r="BK33" s="4">
        <f>VLOOKUP(BK11,Assumptions!$J$13:$M$23,4,FALSE)</f>
        <v>0.17088494949799982</v>
      </c>
      <c r="BL33" s="4">
        <f>VLOOKUP(BL11,Assumptions!$J$13:$M$23,4,FALSE)</f>
        <v>0.20249884313444566</v>
      </c>
      <c r="BM33" s="4">
        <f>VLOOKUP(BM11,Assumptions!$J$13:$M$23,4,FALSE)</f>
        <v>0.20249884313444566</v>
      </c>
      <c r="BN33" s="4">
        <f>VLOOKUP(BN11,Assumptions!$J$13:$M$23,4,FALSE)</f>
        <v>0.20249884313444566</v>
      </c>
      <c r="BO33" s="4">
        <f>VLOOKUP(BO11,Assumptions!$J$13:$M$23,4,FALSE)</f>
        <v>0.20249884313444566</v>
      </c>
      <c r="BP33" s="4">
        <f>VLOOKUP(BP11,Assumptions!$J$13:$M$23,4,FALSE)</f>
        <v>0.20249884313444566</v>
      </c>
      <c r="BQ33" s="4">
        <f>VLOOKUP(BQ11,Assumptions!$J$13:$M$23,4,FALSE)</f>
        <v>0.20249884313444566</v>
      </c>
      <c r="BR33" s="4">
        <f>VLOOKUP(BR11,Assumptions!$J$13:$M$23,4,FALSE)</f>
        <v>0.20249884313444566</v>
      </c>
      <c r="BS33" s="4">
        <f>VLOOKUP(BS11,Assumptions!$J$13:$M$23,4,FALSE)</f>
        <v>0.20249884313444566</v>
      </c>
      <c r="BT33" s="4">
        <f>VLOOKUP(BT11,Assumptions!$J$13:$M$23,4,FALSE)</f>
        <v>0.20249884313444566</v>
      </c>
      <c r="BU33" s="4">
        <f>VLOOKUP(BU11,Assumptions!$J$13:$M$23,4,FALSE)</f>
        <v>0.20249884313444566</v>
      </c>
      <c r="BV33" s="4">
        <f>VLOOKUP(BV11,Assumptions!$J$13:$M$23,4,FALSE)</f>
        <v>0.20249884313444566</v>
      </c>
      <c r="BW33" s="4">
        <f>VLOOKUP(BW11,Assumptions!$J$13:$M$23,4,FALSE)</f>
        <v>0.20249884313444566</v>
      </c>
      <c r="BX33" s="4">
        <f>VLOOKUP(BX11,Assumptions!$J$13:$M$23,4,FALSE)</f>
        <v>0.23857380842847897</v>
      </c>
      <c r="BY33" s="4">
        <f>VLOOKUP(BY11,Assumptions!$J$13:$M$23,4,FALSE)</f>
        <v>0.23857380842847897</v>
      </c>
      <c r="BZ33" s="4">
        <f>VLOOKUP(BZ11,Assumptions!$J$13:$M$23,4,FALSE)</f>
        <v>0.23857380842847897</v>
      </c>
      <c r="CA33" s="4">
        <f>VLOOKUP(CA11,Assumptions!$J$13:$M$23,4,FALSE)</f>
        <v>0.23857380842847897</v>
      </c>
      <c r="CB33" s="4">
        <f>VLOOKUP(CB11,Assumptions!$J$13:$M$23,4,FALSE)</f>
        <v>0.23857380842847897</v>
      </c>
      <c r="CC33" s="4">
        <f>VLOOKUP(CC11,Assumptions!$J$13:$M$23,4,FALSE)</f>
        <v>0.23857380842847897</v>
      </c>
      <c r="CD33" s="4">
        <f>VLOOKUP(CD11,Assumptions!$J$13:$M$23,4,FALSE)</f>
        <v>0.23857380842847897</v>
      </c>
      <c r="CE33" s="4">
        <f>VLOOKUP(CE11,Assumptions!$J$13:$M$23,4,FALSE)</f>
        <v>0.23857380842847897</v>
      </c>
      <c r="CF33" s="4">
        <f>VLOOKUP(CF11,Assumptions!$J$13:$M$23,4,FALSE)</f>
        <v>0.23857380842847897</v>
      </c>
      <c r="CG33" s="4">
        <f>VLOOKUP(CG11,Assumptions!$J$13:$M$23,4,FALSE)</f>
        <v>0.23857380842847897</v>
      </c>
      <c r="CH33" s="4">
        <f>VLOOKUP(CH11,Assumptions!$J$13:$M$23,4,FALSE)</f>
        <v>0.23857380842847897</v>
      </c>
      <c r="CI33" s="4">
        <f>VLOOKUP(CI11,Assumptions!$J$13:$M$23,4,FALSE)</f>
        <v>0.23857380842847897</v>
      </c>
      <c r="CJ33" s="4">
        <f>VLOOKUP(CJ11,Assumptions!$J$13:$M$23,4,FALSE)</f>
        <v>0.27573102268133343</v>
      </c>
      <c r="CK33" s="4">
        <f>VLOOKUP(CK11,Assumptions!$J$13:$M$23,4,FALSE)</f>
        <v>0.27573102268133343</v>
      </c>
      <c r="CL33" s="4">
        <f>VLOOKUP(CL11,Assumptions!$J$13:$M$23,4,FALSE)</f>
        <v>0.27573102268133343</v>
      </c>
      <c r="CM33" s="4">
        <f>VLOOKUP(CM11,Assumptions!$J$13:$M$23,4,FALSE)</f>
        <v>0.27573102268133343</v>
      </c>
      <c r="CN33" s="4">
        <f>VLOOKUP(CN11,Assumptions!$J$13:$M$23,4,FALSE)</f>
        <v>0.27573102268133343</v>
      </c>
      <c r="CO33" s="4">
        <f>VLOOKUP(CO11,Assumptions!$J$13:$M$23,4,FALSE)</f>
        <v>0.27573102268133343</v>
      </c>
      <c r="CP33" s="4">
        <f>VLOOKUP(CP11,Assumptions!$J$13:$M$23,4,FALSE)</f>
        <v>0.27573102268133343</v>
      </c>
      <c r="CQ33" s="4">
        <f>VLOOKUP(CQ11,Assumptions!$J$13:$M$23,4,FALSE)</f>
        <v>0.27573102268133343</v>
      </c>
      <c r="CR33" s="4">
        <f>VLOOKUP(CR11,Assumptions!$J$13:$M$23,4,FALSE)</f>
        <v>0.27573102268133343</v>
      </c>
      <c r="CS33" s="4">
        <f>VLOOKUP(CS11,Assumptions!$J$13:$M$23,4,FALSE)</f>
        <v>0.27573102268133343</v>
      </c>
      <c r="CT33" s="4">
        <f>VLOOKUP(CT11,Assumptions!$J$13:$M$23,4,FALSE)</f>
        <v>0.27573102268133343</v>
      </c>
      <c r="CU33" s="4">
        <f>VLOOKUP(CU11,Assumptions!$J$13:$M$23,4,FALSE)</f>
        <v>0.27573102268133343</v>
      </c>
      <c r="CV33" s="4">
        <f>VLOOKUP(CV11,Assumptions!$J$13:$M$23,4,FALSE)</f>
        <v>0.31400295336177342</v>
      </c>
      <c r="CW33" s="4">
        <f>VLOOKUP(CW11,Assumptions!$J$13:$M$23,4,FALSE)</f>
        <v>0.31400295336177342</v>
      </c>
      <c r="CX33" s="4">
        <f>VLOOKUP(CX11,Assumptions!$J$13:$M$23,4,FALSE)</f>
        <v>0.31400295336177342</v>
      </c>
      <c r="CY33" s="4">
        <f>VLOOKUP(CY11,Assumptions!$J$13:$M$23,4,FALSE)</f>
        <v>0.31400295336177342</v>
      </c>
      <c r="CZ33" s="4">
        <f>VLOOKUP(CZ11,Assumptions!$J$13:$M$23,4,FALSE)</f>
        <v>0.31400295336177342</v>
      </c>
      <c r="DA33" s="4">
        <f>VLOOKUP(DA11,Assumptions!$J$13:$M$23,4,FALSE)</f>
        <v>0.31400295336177342</v>
      </c>
      <c r="DB33" s="4">
        <f>VLOOKUP(DB11,Assumptions!$J$13:$M$23,4,FALSE)</f>
        <v>0.31400295336177342</v>
      </c>
      <c r="DC33" s="4">
        <f>VLOOKUP(DC11,Assumptions!$J$13:$M$23,4,FALSE)</f>
        <v>0.31400295336177342</v>
      </c>
      <c r="DD33" s="4">
        <f>VLOOKUP(DD11,Assumptions!$J$13:$M$23,4,FALSE)</f>
        <v>0.31400295336177342</v>
      </c>
      <c r="DE33" s="4">
        <f>VLOOKUP(DE11,Assumptions!$J$13:$M$23,4,FALSE)</f>
        <v>0.31400295336177342</v>
      </c>
      <c r="DF33" s="4">
        <f>VLOOKUP(DF11,Assumptions!$J$13:$M$23,4,FALSE)</f>
        <v>0.31400295336177342</v>
      </c>
      <c r="DG33" s="4">
        <f>VLOOKUP(DG11,Assumptions!$J$13:$M$23,4,FALSE)</f>
        <v>0.31400295336177342</v>
      </c>
      <c r="DH33" s="4">
        <f>VLOOKUP(DH11,Assumptions!$J$13:$M$23,4,FALSE)</f>
        <v>0.35342304196262675</v>
      </c>
      <c r="DI33" s="4">
        <f>VLOOKUP(DI11,Assumptions!$J$13:$M$23,4,FALSE)</f>
        <v>0.35342304196262675</v>
      </c>
      <c r="DJ33" s="4">
        <f>VLOOKUP(DJ11,Assumptions!$J$13:$M$23,4,FALSE)</f>
        <v>0.35342304196262675</v>
      </c>
      <c r="DK33" s="4">
        <f>VLOOKUP(DK11,Assumptions!$J$13:$M$23,4,FALSE)</f>
        <v>0.35342304196262675</v>
      </c>
      <c r="DL33" s="4">
        <f>VLOOKUP(DL11,Assumptions!$J$13:$M$23,4,FALSE)</f>
        <v>0.35342304196262675</v>
      </c>
      <c r="DM33" s="4">
        <f>VLOOKUP(DM11,Assumptions!$J$13:$M$23,4,FALSE)</f>
        <v>0.35342304196262675</v>
      </c>
      <c r="DN33" s="4">
        <f>VLOOKUP(DN11,Assumptions!$J$13:$M$23,4,FALSE)</f>
        <v>0.35342304196262675</v>
      </c>
      <c r="DO33" s="4">
        <f>VLOOKUP(DO11,Assumptions!$J$13:$M$23,4,FALSE)</f>
        <v>0.35342304196262675</v>
      </c>
      <c r="DP33" s="4">
        <f>VLOOKUP(DP11,Assumptions!$J$13:$M$23,4,FALSE)</f>
        <v>0.35342304196262675</v>
      </c>
      <c r="DQ33" s="4">
        <f>VLOOKUP(DQ11,Assumptions!$J$13:$M$23,4,FALSE)</f>
        <v>0.35342304196262675</v>
      </c>
      <c r="DR33" s="4">
        <f>VLOOKUP(DR11,Assumptions!$J$13:$M$23,4,FALSE)</f>
        <v>0.35342304196262675</v>
      </c>
      <c r="DS33" s="4">
        <f>VLOOKUP(DS11,Assumptions!$J$13:$M$23,4,FALSE)</f>
        <v>0.35342304196262675</v>
      </c>
      <c r="DT33" s="4">
        <f>VLOOKUP(DT11,Assumptions!$J$13:$M$23,4,FALSE)</f>
        <v>0.39402573322150558</v>
      </c>
      <c r="DU33" s="4">
        <f>VLOOKUP(DU11,Assumptions!$J$13:$M$23,4,FALSE)</f>
        <v>0.39402573322150558</v>
      </c>
      <c r="DV33" s="4">
        <f>VLOOKUP(DV11,Assumptions!$J$13:$M$23,4,FALSE)</f>
        <v>0.39402573322150558</v>
      </c>
      <c r="DW33" s="4">
        <f>VLOOKUP(DW11,Assumptions!$J$13:$M$23,4,FALSE)</f>
        <v>0.39402573322150558</v>
      </c>
      <c r="DX33" s="4">
        <f>VLOOKUP(DX11,Assumptions!$J$13:$M$23,4,FALSE)</f>
        <v>0.39402573322150558</v>
      </c>
      <c r="DY33" s="4">
        <f>VLOOKUP(DY11,Assumptions!$J$13:$M$23,4,FALSE)</f>
        <v>0.39402573322150558</v>
      </c>
      <c r="DZ33" s="4">
        <f>VLOOKUP(DZ11,Assumptions!$J$13:$M$23,4,FALSE)</f>
        <v>0.39402573322150558</v>
      </c>
      <c r="EA33" s="4">
        <f>VLOOKUP(EA11,Assumptions!$J$13:$M$23,4,FALSE)</f>
        <v>0.39402573322150558</v>
      </c>
      <c r="EB33" s="4">
        <f>VLOOKUP(EB11,Assumptions!$J$13:$M$23,4,FALSE)</f>
        <v>0.39402573322150558</v>
      </c>
      <c r="EC33" s="4">
        <f>VLOOKUP(EC11,Assumptions!$J$13:$M$23,4,FALSE)</f>
        <v>0.39402573322150558</v>
      </c>
      <c r="ED33" s="4">
        <f>VLOOKUP(ED11,Assumptions!$J$13:$M$23,4,FALSE)</f>
        <v>0.39402573322150558</v>
      </c>
      <c r="EE33" s="4">
        <f>VLOOKUP(EE11,Assumptions!$J$13:$M$23,4,FALSE)</f>
        <v>0.39402573322150558</v>
      </c>
      <c r="EF33" s="4">
        <f>VLOOKUP(EF11,Assumptions!$J$13:$M$23,4,FALSE)</f>
        <v>0.43584650521815083</v>
      </c>
      <c r="EG33" s="4">
        <f>VLOOKUP(EG11,Assumptions!$J$13:$M$23,4,FALSE)</f>
        <v>0.43584650521815083</v>
      </c>
      <c r="EH33" s="4">
        <f>VLOOKUP(EH11,Assumptions!$J$13:$M$23,4,FALSE)</f>
        <v>0.43584650521815083</v>
      </c>
      <c r="EI33" s="4">
        <f>VLOOKUP(EI11,Assumptions!$J$13:$M$23,4,FALSE)</f>
        <v>0.43584650521815083</v>
      </c>
      <c r="EJ33" s="4">
        <f>VLOOKUP(EJ11,Assumptions!$J$13:$M$23,4,FALSE)</f>
        <v>0.43584650521815083</v>
      </c>
      <c r="EK33" s="4">
        <f>VLOOKUP(EK11,Assumptions!$J$13:$M$23,4,FALSE)</f>
        <v>0.43584650521815083</v>
      </c>
      <c r="EL33" s="4">
        <f>VLOOKUP(EL11,Assumptions!$J$13:$M$23,4,FALSE)</f>
        <v>0.43584650521815083</v>
      </c>
      <c r="EM33" s="4">
        <f>VLOOKUP(EM11,Assumptions!$J$13:$M$23,4,FALSE)</f>
        <v>0.43584650521815083</v>
      </c>
      <c r="EN33" s="4">
        <f>VLOOKUP(EN11,Assumptions!$J$13:$M$23,4,FALSE)</f>
        <v>0.43584650521815083</v>
      </c>
      <c r="EO33" s="4">
        <f>VLOOKUP(EO11,Assumptions!$J$13:$M$23,4,FALSE)</f>
        <v>0.43584650521815083</v>
      </c>
      <c r="EP33" s="4">
        <f>VLOOKUP(EP11,Assumptions!$J$13:$M$23,4,FALSE)</f>
        <v>0.43584650521815083</v>
      </c>
      <c r="EQ33" s="4">
        <f>VLOOKUP(EQ11,Assumptions!$J$13:$M$23,4,FALSE)</f>
        <v>0.43584650521815083</v>
      </c>
      <c r="ES33" s="421"/>
      <c r="ET33" s="63"/>
      <c r="EU33" s="98"/>
    </row>
    <row r="34" spans="2:151" ht="15.75">
      <c r="G34" s="485"/>
      <c r="H34" s="483" t="s">
        <v>65</v>
      </c>
      <c r="I34" s="184"/>
      <c r="J34" s="214"/>
      <c r="K34" s="183"/>
      <c r="L34" s="184"/>
      <c r="M34" s="184"/>
      <c r="N34" s="214"/>
      <c r="O34" s="776"/>
      <c r="P34" s="181">
        <f>VLOOKUP(P11,Assumptions!$J$13:$L$23,3,FALSE)</f>
        <v>3.4000000000000002E-2</v>
      </c>
      <c r="Q34" s="181">
        <f>VLOOKUP(Q11,Assumptions!$J$13:$L$23,3,FALSE)</f>
        <v>3.4000000000000002E-2</v>
      </c>
      <c r="R34" s="181">
        <f>VLOOKUP(R11,Assumptions!$J$13:$L$23,3,FALSE)</f>
        <v>3.4000000000000002E-2</v>
      </c>
      <c r="S34" s="181">
        <f>VLOOKUP(S11,Assumptions!$J$13:$L$23,3,FALSE)</f>
        <v>3.4000000000000002E-2</v>
      </c>
      <c r="T34" s="181">
        <f>VLOOKUP(T11,Assumptions!$J$13:$L$23,3,FALSE)</f>
        <v>3.4000000000000002E-2</v>
      </c>
      <c r="U34" s="181">
        <f>VLOOKUP(U11,Assumptions!$J$13:$L$23,3,FALSE)</f>
        <v>3.4000000000000002E-2</v>
      </c>
      <c r="V34" s="181">
        <f>VLOOKUP(V11,Assumptions!$J$13:$L$23,3,FALSE)</f>
        <v>3.4000000000000002E-2</v>
      </c>
      <c r="W34" s="181">
        <f>VLOOKUP(W11,Assumptions!$J$13:$L$23,3,FALSE)</f>
        <v>3.4000000000000002E-2</v>
      </c>
      <c r="X34" s="181">
        <f>VLOOKUP(X11,Assumptions!$J$13:$L$23,3,FALSE)</f>
        <v>3.4000000000000002E-2</v>
      </c>
      <c r="Y34" s="181">
        <f>VLOOKUP(Y11,Assumptions!$J$13:$L$23,3,FALSE)</f>
        <v>3.4000000000000002E-2</v>
      </c>
      <c r="Z34" s="181">
        <f>VLOOKUP(Z11,Assumptions!$J$13:$L$23,3,FALSE)</f>
        <v>3.4000000000000002E-2</v>
      </c>
      <c r="AA34" s="181">
        <f>VLOOKUP(AA11,Assumptions!$J$13:$L$23,3,FALSE)</f>
        <v>3.4000000000000002E-2</v>
      </c>
      <c r="AB34" s="181">
        <f>VLOOKUP(AB11,Assumptions!$J$13:$L$23,3,FALSE)</f>
        <v>4.7E-2</v>
      </c>
      <c r="AC34" s="181">
        <f>VLOOKUP(AC11,Assumptions!$J$13:$L$23,3,FALSE)</f>
        <v>4.7E-2</v>
      </c>
      <c r="AD34" s="181">
        <f>VLOOKUP(AD11,Assumptions!$J$13:$L$23,3,FALSE)</f>
        <v>4.7E-2</v>
      </c>
      <c r="AE34" s="181">
        <f>VLOOKUP(AE11,Assumptions!$J$13:$L$23,3,FALSE)</f>
        <v>4.7E-2</v>
      </c>
      <c r="AF34" s="181">
        <f>VLOOKUP(AF11,Assumptions!$J$13:$L$23,3,FALSE)</f>
        <v>4.7E-2</v>
      </c>
      <c r="AG34" s="181">
        <f>VLOOKUP(AG11,Assumptions!$J$13:$L$23,3,FALSE)</f>
        <v>4.7E-2</v>
      </c>
      <c r="AH34" s="181">
        <f>VLOOKUP(AH11,Assumptions!$J$13:$L$23,3,FALSE)</f>
        <v>4.7E-2</v>
      </c>
      <c r="AI34" s="181">
        <f>VLOOKUP(AI11,Assumptions!$J$13:$L$23,3,FALSE)</f>
        <v>4.7E-2</v>
      </c>
      <c r="AJ34" s="181">
        <f>VLOOKUP(AJ11,Assumptions!$J$13:$L$23,3,FALSE)</f>
        <v>4.7E-2</v>
      </c>
      <c r="AK34" s="181">
        <f>VLOOKUP(AK11,Assumptions!$J$13:$L$23,3,FALSE)</f>
        <v>4.7E-2</v>
      </c>
      <c r="AL34" s="181">
        <f>VLOOKUP(AL11,Assumptions!$J$13:$L$23,3,FALSE)</f>
        <v>4.7E-2</v>
      </c>
      <c r="AM34" s="181">
        <f>VLOOKUP(AM11,Assumptions!$J$13:$L$23,3,FALSE)</f>
        <v>4.7E-2</v>
      </c>
      <c r="AN34" s="181">
        <f>VLOOKUP(AN11,Assumptions!$J$13:$L$23,3,FALSE)</f>
        <v>4.7E-2</v>
      </c>
      <c r="AO34" s="181">
        <f>VLOOKUP(AO11,Assumptions!$J$13:$L$23,3,FALSE)</f>
        <v>4.7E-2</v>
      </c>
      <c r="AP34" s="181">
        <f>VLOOKUP(AP11,Assumptions!$J$13:$L$23,3,FALSE)</f>
        <v>4.7E-2</v>
      </c>
      <c r="AQ34" s="181">
        <f>VLOOKUP(AQ11,Assumptions!$J$13:$L$23,3,FALSE)</f>
        <v>4.7E-2</v>
      </c>
      <c r="AR34" s="181">
        <f>VLOOKUP(AR11,Assumptions!$J$13:$L$23,3,FALSE)</f>
        <v>4.7E-2</v>
      </c>
      <c r="AS34" s="181">
        <f>VLOOKUP(AS11,Assumptions!$J$13:$L$23,3,FALSE)</f>
        <v>4.7E-2</v>
      </c>
      <c r="AT34" s="181">
        <f>VLOOKUP(AT11,Assumptions!$J$13:$L$23,3,FALSE)</f>
        <v>4.7E-2</v>
      </c>
      <c r="AU34" s="181">
        <f>VLOOKUP(AU11,Assumptions!$J$13:$L$23,3,FALSE)</f>
        <v>4.7E-2</v>
      </c>
      <c r="AV34" s="181">
        <f>VLOOKUP(AV11,Assumptions!$J$13:$L$23,3,FALSE)</f>
        <v>4.7E-2</v>
      </c>
      <c r="AW34" s="181">
        <f>VLOOKUP(AW11,Assumptions!$J$13:$L$23,3,FALSE)</f>
        <v>4.7E-2</v>
      </c>
      <c r="AX34" s="181">
        <f>VLOOKUP(AX11,Assumptions!$J$13:$L$23,3,FALSE)</f>
        <v>4.7E-2</v>
      </c>
      <c r="AY34" s="181">
        <f>VLOOKUP(AY11,Assumptions!$J$13:$L$23,3,FALSE)</f>
        <v>4.7E-2</v>
      </c>
      <c r="AZ34" s="181">
        <f>VLOOKUP(AZ11,Assumptions!$J$13:$L$23,3,FALSE)</f>
        <v>3.3000000000000002E-2</v>
      </c>
      <c r="BA34" s="181">
        <f>VLOOKUP(BA11,Assumptions!$J$13:$L$23,3,FALSE)</f>
        <v>3.3000000000000002E-2</v>
      </c>
      <c r="BB34" s="181">
        <f>VLOOKUP(BB11,Assumptions!$J$13:$L$23,3,FALSE)</f>
        <v>3.3000000000000002E-2</v>
      </c>
      <c r="BC34" s="181">
        <f>VLOOKUP(BC11,Assumptions!$J$13:$L$23,3,FALSE)</f>
        <v>3.3000000000000002E-2</v>
      </c>
      <c r="BD34" s="181">
        <f>VLOOKUP(BD11,Assumptions!$J$13:$L$23,3,FALSE)</f>
        <v>3.3000000000000002E-2</v>
      </c>
      <c r="BE34" s="181">
        <f>VLOOKUP(BE11,Assumptions!$J$13:$L$23,3,FALSE)</f>
        <v>3.3000000000000002E-2</v>
      </c>
      <c r="BF34" s="181">
        <f>VLOOKUP(BF11,Assumptions!$J$13:$L$23,3,FALSE)</f>
        <v>3.3000000000000002E-2</v>
      </c>
      <c r="BG34" s="181">
        <f>VLOOKUP(BG11,Assumptions!$J$13:$L$23,3,FALSE)</f>
        <v>3.3000000000000002E-2</v>
      </c>
      <c r="BH34" s="181">
        <f>VLOOKUP(BH11,Assumptions!$J$13:$L$23,3,FALSE)</f>
        <v>3.3000000000000002E-2</v>
      </c>
      <c r="BI34" s="181">
        <f>VLOOKUP(BI11,Assumptions!$J$13:$L$23,3,FALSE)</f>
        <v>3.3000000000000002E-2</v>
      </c>
      <c r="BJ34" s="181">
        <f>VLOOKUP(BJ11,Assumptions!$J$13:$L$23,3,FALSE)</f>
        <v>3.3000000000000002E-2</v>
      </c>
      <c r="BK34" s="181">
        <f>VLOOKUP(BK11,Assumptions!$J$13:$L$23,3,FALSE)</f>
        <v>3.3000000000000002E-2</v>
      </c>
      <c r="BL34" s="181">
        <f>VLOOKUP(BL11,Assumptions!$J$13:$L$23,3,FALSE)</f>
        <v>2.7E-2</v>
      </c>
      <c r="BM34" s="181">
        <f>VLOOKUP(BM11,Assumptions!$J$13:$L$23,3,FALSE)</f>
        <v>2.7E-2</v>
      </c>
      <c r="BN34" s="181">
        <f>VLOOKUP(BN11,Assumptions!$J$13:$L$23,3,FALSE)</f>
        <v>2.7E-2</v>
      </c>
      <c r="BO34" s="181">
        <f>VLOOKUP(BO11,Assumptions!$J$13:$L$23,3,FALSE)</f>
        <v>2.7E-2</v>
      </c>
      <c r="BP34" s="181">
        <f>VLOOKUP(BP11,Assumptions!$J$13:$L$23,3,FALSE)</f>
        <v>2.7E-2</v>
      </c>
      <c r="BQ34" s="181">
        <f>VLOOKUP(BQ11,Assumptions!$J$13:$L$23,3,FALSE)</f>
        <v>2.7E-2</v>
      </c>
      <c r="BR34" s="181">
        <f>VLOOKUP(BR11,Assumptions!$J$13:$L$23,3,FALSE)</f>
        <v>2.7E-2</v>
      </c>
      <c r="BS34" s="181">
        <f>VLOOKUP(BS11,Assumptions!$J$13:$L$23,3,FALSE)</f>
        <v>2.7E-2</v>
      </c>
      <c r="BT34" s="181">
        <f>VLOOKUP(BT11,Assumptions!$J$13:$L$23,3,FALSE)</f>
        <v>2.7E-2</v>
      </c>
      <c r="BU34" s="181">
        <f>VLOOKUP(BU11,Assumptions!$J$13:$L$23,3,FALSE)</f>
        <v>2.7E-2</v>
      </c>
      <c r="BV34" s="181">
        <f>VLOOKUP(BV11,Assumptions!$J$13:$L$23,3,FALSE)</f>
        <v>2.7E-2</v>
      </c>
      <c r="BW34" s="181">
        <f>VLOOKUP(BW11,Assumptions!$J$13:$L$23,3,FALSE)</f>
        <v>2.7E-2</v>
      </c>
      <c r="BX34" s="181">
        <f>VLOOKUP(BX11,Assumptions!$J$13:$L$23,3,FALSE)</f>
        <v>0.03</v>
      </c>
      <c r="BY34" s="181">
        <f>VLOOKUP(BY11,Assumptions!$J$13:$L$23,3,FALSE)</f>
        <v>0.03</v>
      </c>
      <c r="BZ34" s="181">
        <f>VLOOKUP(BZ11,Assumptions!$J$13:$L$23,3,FALSE)</f>
        <v>0.03</v>
      </c>
      <c r="CA34" s="181">
        <f>VLOOKUP(CA11,Assumptions!$J$13:$L$23,3,FALSE)</f>
        <v>0.03</v>
      </c>
      <c r="CB34" s="181">
        <f>VLOOKUP(CB11,Assumptions!$J$13:$L$23,3,FALSE)</f>
        <v>0.03</v>
      </c>
      <c r="CC34" s="181">
        <f>VLOOKUP(CC11,Assumptions!$J$13:$L$23,3,FALSE)</f>
        <v>0.03</v>
      </c>
      <c r="CD34" s="181">
        <f>VLOOKUP(CD11,Assumptions!$J$13:$L$23,3,FALSE)</f>
        <v>0.03</v>
      </c>
      <c r="CE34" s="181">
        <f>VLOOKUP(CE11,Assumptions!$J$13:$L$23,3,FALSE)</f>
        <v>0.03</v>
      </c>
      <c r="CF34" s="181">
        <f>VLOOKUP(CF11,Assumptions!$J$13:$L$23,3,FALSE)</f>
        <v>0.03</v>
      </c>
      <c r="CG34" s="181">
        <f>VLOOKUP(CG11,Assumptions!$J$13:$L$23,3,FALSE)</f>
        <v>0.03</v>
      </c>
      <c r="CH34" s="181">
        <f>VLOOKUP(CH11,Assumptions!$J$13:$L$23,3,FALSE)</f>
        <v>0.03</v>
      </c>
      <c r="CI34" s="181">
        <f>VLOOKUP(CI11,Assumptions!$J$13:$L$23,3,FALSE)</f>
        <v>0.03</v>
      </c>
      <c r="CJ34" s="181">
        <f>VLOOKUP(CJ11,Assumptions!$J$13:$L$23,3,FALSE)</f>
        <v>0.03</v>
      </c>
      <c r="CK34" s="181">
        <f>VLOOKUP(CK11,Assumptions!$J$13:$L$23,3,FALSE)</f>
        <v>0.03</v>
      </c>
      <c r="CL34" s="181">
        <f>VLOOKUP(CL11,Assumptions!$J$13:$L$23,3,FALSE)</f>
        <v>0.03</v>
      </c>
      <c r="CM34" s="181">
        <f>VLOOKUP(CM11,Assumptions!$J$13:$L$23,3,FALSE)</f>
        <v>0.03</v>
      </c>
      <c r="CN34" s="181">
        <f>VLOOKUP(CN11,Assumptions!$J$13:$L$23,3,FALSE)</f>
        <v>0.03</v>
      </c>
      <c r="CO34" s="181">
        <f>VLOOKUP(CO11,Assumptions!$J$13:$L$23,3,FALSE)</f>
        <v>0.03</v>
      </c>
      <c r="CP34" s="181">
        <f>VLOOKUP(CP11,Assumptions!$J$13:$L$23,3,FALSE)</f>
        <v>0.03</v>
      </c>
      <c r="CQ34" s="181">
        <f>VLOOKUP(CQ11,Assumptions!$J$13:$L$23,3,FALSE)</f>
        <v>0.03</v>
      </c>
      <c r="CR34" s="181">
        <f>VLOOKUP(CR11,Assumptions!$J$13:$L$23,3,FALSE)</f>
        <v>0.03</v>
      </c>
      <c r="CS34" s="181">
        <f>VLOOKUP(CS11,Assumptions!$J$13:$L$23,3,FALSE)</f>
        <v>0.03</v>
      </c>
      <c r="CT34" s="181">
        <f>VLOOKUP(CT11,Assumptions!$J$13:$L$23,3,FALSE)</f>
        <v>0.03</v>
      </c>
      <c r="CU34" s="181">
        <f>VLOOKUP(CU11,Assumptions!$J$13:$L$23,3,FALSE)</f>
        <v>0.03</v>
      </c>
      <c r="CV34" s="181">
        <f>VLOOKUP(CV11,Assumptions!$J$13:$L$23,3,FALSE)</f>
        <v>0.03</v>
      </c>
      <c r="CW34" s="181">
        <f>VLOOKUP(CW11,Assumptions!$J$13:$L$23,3,FALSE)</f>
        <v>0.03</v>
      </c>
      <c r="CX34" s="181">
        <f>VLOOKUP(CX11,Assumptions!$J$13:$L$23,3,FALSE)</f>
        <v>0.03</v>
      </c>
      <c r="CY34" s="181">
        <f>VLOOKUP(CY11,Assumptions!$J$13:$L$23,3,FALSE)</f>
        <v>0.03</v>
      </c>
      <c r="CZ34" s="181">
        <f>VLOOKUP(CZ11,Assumptions!$J$13:$L$23,3,FALSE)</f>
        <v>0.03</v>
      </c>
      <c r="DA34" s="181">
        <f>VLOOKUP(DA11,Assumptions!$J$13:$L$23,3,FALSE)</f>
        <v>0.03</v>
      </c>
      <c r="DB34" s="181">
        <f>VLOOKUP(DB11,Assumptions!$J$13:$L$23,3,FALSE)</f>
        <v>0.03</v>
      </c>
      <c r="DC34" s="181">
        <f>VLOOKUP(DC11,Assumptions!$J$13:$L$23,3,FALSE)</f>
        <v>0.03</v>
      </c>
      <c r="DD34" s="181">
        <f>VLOOKUP(DD11,Assumptions!$J$13:$L$23,3,FALSE)</f>
        <v>0.03</v>
      </c>
      <c r="DE34" s="181">
        <f>VLOOKUP(DE11,Assumptions!$J$13:$L$23,3,FALSE)</f>
        <v>0.03</v>
      </c>
      <c r="DF34" s="181">
        <f>VLOOKUP(DF11,Assumptions!$J$13:$L$23,3,FALSE)</f>
        <v>0.03</v>
      </c>
      <c r="DG34" s="181">
        <f>VLOOKUP(DG11,Assumptions!$J$13:$L$23,3,FALSE)</f>
        <v>0.03</v>
      </c>
      <c r="DH34" s="181">
        <f>VLOOKUP(DH11,Assumptions!$J$13:$L$23,3,FALSE)</f>
        <v>0.03</v>
      </c>
      <c r="DI34" s="181">
        <f>VLOOKUP(DI11,Assumptions!$J$13:$L$23,3,FALSE)</f>
        <v>0.03</v>
      </c>
      <c r="DJ34" s="181">
        <f>VLOOKUP(DJ11,Assumptions!$J$13:$L$23,3,FALSE)</f>
        <v>0.03</v>
      </c>
      <c r="DK34" s="181">
        <f>VLOOKUP(DK11,Assumptions!$J$13:$L$23,3,FALSE)</f>
        <v>0.03</v>
      </c>
      <c r="DL34" s="181">
        <f>VLOOKUP(DL11,Assumptions!$J$13:$L$23,3,FALSE)</f>
        <v>0.03</v>
      </c>
      <c r="DM34" s="181">
        <f>VLOOKUP(DM11,Assumptions!$J$13:$L$23,3,FALSE)</f>
        <v>0.03</v>
      </c>
      <c r="DN34" s="181">
        <f>VLOOKUP(DN11,Assumptions!$J$13:$L$23,3,FALSE)</f>
        <v>0.03</v>
      </c>
      <c r="DO34" s="181">
        <f>VLOOKUP(DO11,Assumptions!$J$13:$L$23,3,FALSE)</f>
        <v>0.03</v>
      </c>
      <c r="DP34" s="181">
        <f>VLOOKUP(DP11,Assumptions!$J$13:$L$23,3,FALSE)</f>
        <v>0.03</v>
      </c>
      <c r="DQ34" s="181">
        <f>VLOOKUP(DQ11,Assumptions!$J$13:$L$23,3,FALSE)</f>
        <v>0.03</v>
      </c>
      <c r="DR34" s="181">
        <f>VLOOKUP(DR11,Assumptions!$J$13:$L$23,3,FALSE)</f>
        <v>0.03</v>
      </c>
      <c r="DS34" s="181">
        <f>VLOOKUP(DS11,Assumptions!$J$13:$L$23,3,FALSE)</f>
        <v>0.03</v>
      </c>
      <c r="DT34" s="181">
        <f>VLOOKUP(DT11,Assumptions!$J$13:$L$23,3,FALSE)</f>
        <v>0.03</v>
      </c>
      <c r="DU34" s="181">
        <f>VLOOKUP(DU11,Assumptions!$J$13:$L$23,3,FALSE)</f>
        <v>0.03</v>
      </c>
      <c r="DV34" s="181">
        <f>VLOOKUP(DV11,Assumptions!$J$13:$L$23,3,FALSE)</f>
        <v>0.03</v>
      </c>
      <c r="DW34" s="181">
        <f>VLOOKUP(DW11,Assumptions!$J$13:$L$23,3,FALSE)</f>
        <v>0.03</v>
      </c>
      <c r="DX34" s="181">
        <f>VLOOKUP(DX11,Assumptions!$J$13:$L$23,3,FALSE)</f>
        <v>0.03</v>
      </c>
      <c r="DY34" s="181">
        <f>VLOOKUP(DY11,Assumptions!$J$13:$L$23,3,FALSE)</f>
        <v>0.03</v>
      </c>
      <c r="DZ34" s="181">
        <f>VLOOKUP(DZ11,Assumptions!$J$13:$L$23,3,FALSE)</f>
        <v>0.03</v>
      </c>
      <c r="EA34" s="181">
        <f>VLOOKUP(EA11,Assumptions!$J$13:$L$23,3,FALSE)</f>
        <v>0.03</v>
      </c>
      <c r="EB34" s="181">
        <f>VLOOKUP(EB11,Assumptions!$J$13:$L$23,3,FALSE)</f>
        <v>0.03</v>
      </c>
      <c r="EC34" s="181">
        <f>VLOOKUP(EC11,Assumptions!$J$13:$L$23,3,FALSE)</f>
        <v>0.03</v>
      </c>
      <c r="ED34" s="181">
        <f>VLOOKUP(ED11,Assumptions!$J$13:$L$23,3,FALSE)</f>
        <v>0.03</v>
      </c>
      <c r="EE34" s="181">
        <f>VLOOKUP(EE11,Assumptions!$J$13:$L$23,3,FALSE)</f>
        <v>0.03</v>
      </c>
      <c r="EF34" s="181">
        <f>VLOOKUP(EF11,Assumptions!$J$13:$L$23,3,FALSE)</f>
        <v>0.03</v>
      </c>
      <c r="EG34" s="181">
        <f>VLOOKUP(EG11,Assumptions!$J$13:$L$23,3,FALSE)</f>
        <v>0.03</v>
      </c>
      <c r="EH34" s="181">
        <f>VLOOKUP(EH11,Assumptions!$J$13:$L$23,3,FALSE)</f>
        <v>0.03</v>
      </c>
      <c r="EI34" s="181">
        <f>VLOOKUP(EI11,Assumptions!$J$13:$L$23,3,FALSE)</f>
        <v>0.03</v>
      </c>
      <c r="EJ34" s="181">
        <f>VLOOKUP(EJ11,Assumptions!$J$13:$L$23,3,FALSE)</f>
        <v>0.03</v>
      </c>
      <c r="EK34" s="181">
        <f>VLOOKUP(EK11,Assumptions!$J$13:$L$23,3,FALSE)</f>
        <v>0.03</v>
      </c>
      <c r="EL34" s="181">
        <f>VLOOKUP(EL11,Assumptions!$J$13:$L$23,3,FALSE)</f>
        <v>0.03</v>
      </c>
      <c r="EM34" s="181">
        <f>VLOOKUP(EM11,Assumptions!$J$13:$L$23,3,FALSE)</f>
        <v>0.03</v>
      </c>
      <c r="EN34" s="181">
        <f>VLOOKUP(EN11,Assumptions!$J$13:$L$23,3,FALSE)</f>
        <v>0.03</v>
      </c>
      <c r="EO34" s="181">
        <f>VLOOKUP(EO11,Assumptions!$J$13:$L$23,3,FALSE)</f>
        <v>0.03</v>
      </c>
      <c r="EP34" s="181">
        <f>VLOOKUP(EP11,Assumptions!$J$13:$L$23,3,FALSE)</f>
        <v>0.03</v>
      </c>
      <c r="EQ34" s="181">
        <f>VLOOKUP(EQ11,Assumptions!$J$13:$L$23,3,FALSE)</f>
        <v>0.03</v>
      </c>
      <c r="ES34" s="421"/>
      <c r="ET34" s="63"/>
      <c r="EU34" s="98"/>
    </row>
    <row r="35" spans="2:151" ht="15.75">
      <c r="G35" s="145"/>
      <c r="H35" s="145" t="s">
        <v>60</v>
      </c>
      <c r="I35" s="97"/>
      <c r="J35" s="486"/>
      <c r="K35" s="99"/>
      <c r="L35" s="100"/>
      <c r="M35" s="100"/>
      <c r="N35" s="215">
        <f>'Annual Cash Flow'!C15</f>
        <v>285240</v>
      </c>
      <c r="O35" s="777"/>
      <c r="P35" s="102">
        <f>Assumptions!G28*(1+Assumptions!L12)</f>
        <v>24225</v>
      </c>
      <c r="Q35" s="201">
        <f t="shared" ref="Q35:AV35" ca="1" si="42">IF(P87=0,0,Q12*SF)</f>
        <v>24225.000000000004</v>
      </c>
      <c r="R35" s="201">
        <f t="shared" ca="1" si="42"/>
        <v>24225.000000000004</v>
      </c>
      <c r="S35" s="201">
        <f t="shared" ca="1" si="42"/>
        <v>24225.000000000004</v>
      </c>
      <c r="T35" s="201">
        <f t="shared" ca="1" si="42"/>
        <v>24225.000000000004</v>
      </c>
      <c r="U35" s="201">
        <f t="shared" ca="1" si="42"/>
        <v>24225.000000000004</v>
      </c>
      <c r="V35" s="201">
        <f t="shared" ca="1" si="42"/>
        <v>24225.000000000004</v>
      </c>
      <c r="W35" s="201">
        <f t="shared" ca="1" si="42"/>
        <v>24225.000000000004</v>
      </c>
      <c r="X35" s="201">
        <f t="shared" ca="1" si="42"/>
        <v>24225.000000000004</v>
      </c>
      <c r="Y35" s="201">
        <f t="shared" ca="1" si="42"/>
        <v>24225.000000000004</v>
      </c>
      <c r="Z35" s="201">
        <f t="shared" ca="1" si="42"/>
        <v>24225.000000000004</v>
      </c>
      <c r="AA35" s="201">
        <f t="shared" ca="1" si="42"/>
        <v>24225.000000000004</v>
      </c>
      <c r="AB35" s="201">
        <f t="shared" ca="1" si="42"/>
        <v>25363.575000000001</v>
      </c>
      <c r="AC35" s="201">
        <f t="shared" ca="1" si="42"/>
        <v>25363.575000000001</v>
      </c>
      <c r="AD35" s="201">
        <f t="shared" ca="1" si="42"/>
        <v>25363.575000000001</v>
      </c>
      <c r="AE35" s="201">
        <f t="shared" ca="1" si="42"/>
        <v>25363.575000000001</v>
      </c>
      <c r="AF35" s="201">
        <f t="shared" ca="1" si="42"/>
        <v>25363.575000000001</v>
      </c>
      <c r="AG35" s="201">
        <f t="shared" ca="1" si="42"/>
        <v>25363.575000000001</v>
      </c>
      <c r="AH35" s="201">
        <f t="shared" ca="1" si="42"/>
        <v>25363.575000000001</v>
      </c>
      <c r="AI35" s="201">
        <f t="shared" ca="1" si="42"/>
        <v>25363.575000000001</v>
      </c>
      <c r="AJ35" s="201">
        <f t="shared" ca="1" si="42"/>
        <v>25363.575000000001</v>
      </c>
      <c r="AK35" s="201">
        <f t="shared" ca="1" si="42"/>
        <v>25363.575000000001</v>
      </c>
      <c r="AL35" s="201">
        <f t="shared" ca="1" si="42"/>
        <v>25363.575000000001</v>
      </c>
      <c r="AM35" s="201">
        <f t="shared" ca="1" si="42"/>
        <v>25363.575000000001</v>
      </c>
      <c r="AN35" s="201">
        <f t="shared" ca="1" si="42"/>
        <v>26555.663025000002</v>
      </c>
      <c r="AO35" s="201">
        <f t="shared" ca="1" si="42"/>
        <v>26555.663025000002</v>
      </c>
      <c r="AP35" s="201">
        <f t="shared" ca="1" si="42"/>
        <v>26555.663025000002</v>
      </c>
      <c r="AQ35" s="201">
        <f t="shared" ca="1" si="42"/>
        <v>26555.663025000002</v>
      </c>
      <c r="AR35" s="201">
        <f t="shared" ca="1" si="42"/>
        <v>26555.663025000002</v>
      </c>
      <c r="AS35" s="201">
        <f t="shared" ca="1" si="42"/>
        <v>26555.663025000002</v>
      </c>
      <c r="AT35" s="201">
        <f t="shared" ca="1" si="42"/>
        <v>26555.663025000002</v>
      </c>
      <c r="AU35" s="201">
        <f t="shared" ca="1" si="42"/>
        <v>26555.663025000002</v>
      </c>
      <c r="AV35" s="201">
        <f t="shared" ca="1" si="42"/>
        <v>26555.663025000002</v>
      </c>
      <c r="AW35" s="201">
        <f t="shared" ref="AW35:CB35" ca="1" si="43">IF(AV87=0,0,AW12*SF)</f>
        <v>26555.663025000002</v>
      </c>
      <c r="AX35" s="201">
        <f t="shared" ca="1" si="43"/>
        <v>26555.663025000002</v>
      </c>
      <c r="AY35" s="201">
        <f t="shared" ca="1" si="43"/>
        <v>26555.663025000002</v>
      </c>
      <c r="AZ35" s="201">
        <f t="shared" ca="1" si="43"/>
        <v>27431.999904824996</v>
      </c>
      <c r="BA35" s="201">
        <f t="shared" ca="1" si="43"/>
        <v>27431.999904824996</v>
      </c>
      <c r="BB35" s="201">
        <f t="shared" ca="1" si="43"/>
        <v>27431.999904824996</v>
      </c>
      <c r="BC35" s="201">
        <f t="shared" ca="1" si="43"/>
        <v>27431.999904824996</v>
      </c>
      <c r="BD35" s="201">
        <f t="shared" ca="1" si="43"/>
        <v>27431.999904824996</v>
      </c>
      <c r="BE35" s="201">
        <f t="shared" ca="1" si="43"/>
        <v>27431.999904824996</v>
      </c>
      <c r="BF35" s="201">
        <f t="shared" ca="1" si="43"/>
        <v>27431.999904824996</v>
      </c>
      <c r="BG35" s="201">
        <f t="shared" ca="1" si="43"/>
        <v>27431.999904824996</v>
      </c>
      <c r="BH35" s="201">
        <f t="shared" ca="1" si="43"/>
        <v>27431.999904824996</v>
      </c>
      <c r="BI35" s="201">
        <f t="shared" ca="1" si="43"/>
        <v>27431.999904824996</v>
      </c>
      <c r="BJ35" s="201">
        <f t="shared" ca="1" si="43"/>
        <v>27431.999904824996</v>
      </c>
      <c r="BK35" s="201">
        <f t="shared" ca="1" si="43"/>
        <v>27431.999904824996</v>
      </c>
      <c r="BL35" s="201">
        <f t="shared" ca="1" si="43"/>
        <v>28172.66390225527</v>
      </c>
      <c r="BM35" s="201">
        <f t="shared" ca="1" si="43"/>
        <v>28172.66390225527</v>
      </c>
      <c r="BN35" s="201">
        <f t="shared" ca="1" si="43"/>
        <v>28172.66390225527</v>
      </c>
      <c r="BO35" s="201">
        <f t="shared" ca="1" si="43"/>
        <v>28172.66390225527</v>
      </c>
      <c r="BP35" s="201">
        <f t="shared" ca="1" si="43"/>
        <v>28172.66390225527</v>
      </c>
      <c r="BQ35" s="201">
        <f t="shared" ca="1" si="43"/>
        <v>28172.66390225527</v>
      </c>
      <c r="BR35" s="201">
        <f t="shared" ca="1" si="43"/>
        <v>28172.66390225527</v>
      </c>
      <c r="BS35" s="201">
        <f t="shared" ca="1" si="43"/>
        <v>28172.66390225527</v>
      </c>
      <c r="BT35" s="201">
        <f t="shared" ca="1" si="43"/>
        <v>28172.66390225527</v>
      </c>
      <c r="BU35" s="201">
        <f t="shared" ca="1" si="43"/>
        <v>28172.66390225527</v>
      </c>
      <c r="BV35" s="201">
        <f t="shared" ca="1" si="43"/>
        <v>28172.66390225527</v>
      </c>
      <c r="BW35" s="201">
        <f t="shared" ca="1" si="43"/>
        <v>28172.66390225527</v>
      </c>
      <c r="BX35" s="201">
        <f t="shared" ca="1" si="43"/>
        <v>29017.843819322927</v>
      </c>
      <c r="BY35" s="201">
        <f t="shared" ca="1" si="43"/>
        <v>29017.843819322927</v>
      </c>
      <c r="BZ35" s="201">
        <f t="shared" ca="1" si="43"/>
        <v>29017.843819322927</v>
      </c>
      <c r="CA35" s="201">
        <f t="shared" ca="1" si="43"/>
        <v>29017.843819322927</v>
      </c>
      <c r="CB35" s="201">
        <f t="shared" ca="1" si="43"/>
        <v>29017.843819322927</v>
      </c>
      <c r="CC35" s="201">
        <f t="shared" ref="CC35:DH35" ca="1" si="44">IF(CB87=0,0,CC12*SF)</f>
        <v>29017.843819322927</v>
      </c>
      <c r="CD35" s="201">
        <f t="shared" ca="1" si="44"/>
        <v>29017.843819322927</v>
      </c>
      <c r="CE35" s="201">
        <f t="shared" ca="1" si="44"/>
        <v>29017.843819322927</v>
      </c>
      <c r="CF35" s="201">
        <f t="shared" ca="1" si="44"/>
        <v>29017.843819322927</v>
      </c>
      <c r="CG35" s="201">
        <f t="shared" ca="1" si="44"/>
        <v>29017.843819322927</v>
      </c>
      <c r="CH35" s="201">
        <f t="shared" ca="1" si="44"/>
        <v>29017.843819322927</v>
      </c>
      <c r="CI35" s="201">
        <f t="shared" ca="1" si="44"/>
        <v>29017.843819322927</v>
      </c>
      <c r="CJ35" s="201">
        <f t="shared" ca="1" si="44"/>
        <v>29888.379133902617</v>
      </c>
      <c r="CK35" s="201">
        <f t="shared" ca="1" si="44"/>
        <v>29888.379133902617</v>
      </c>
      <c r="CL35" s="201">
        <f t="shared" ca="1" si="44"/>
        <v>29888.379133902617</v>
      </c>
      <c r="CM35" s="201">
        <f t="shared" ca="1" si="44"/>
        <v>29888.379133902617</v>
      </c>
      <c r="CN35" s="201">
        <f t="shared" ca="1" si="44"/>
        <v>29888.379133902617</v>
      </c>
      <c r="CO35" s="201">
        <f t="shared" ca="1" si="44"/>
        <v>29888.379133902617</v>
      </c>
      <c r="CP35" s="201">
        <f t="shared" ca="1" si="44"/>
        <v>29888.379133902617</v>
      </c>
      <c r="CQ35" s="201">
        <f t="shared" ca="1" si="44"/>
        <v>29888.379133902617</v>
      </c>
      <c r="CR35" s="201">
        <f t="shared" ca="1" si="44"/>
        <v>29888.379133902617</v>
      </c>
      <c r="CS35" s="201">
        <f t="shared" ca="1" si="44"/>
        <v>29888.379133902617</v>
      </c>
      <c r="CT35" s="201">
        <f t="shared" ca="1" si="44"/>
        <v>29888.379133902617</v>
      </c>
      <c r="CU35" s="201">
        <f t="shared" ca="1" si="44"/>
        <v>29888.379133902617</v>
      </c>
      <c r="CV35" s="201">
        <f t="shared" ca="1" si="44"/>
        <v>30785.030507919695</v>
      </c>
      <c r="CW35" s="201">
        <f t="shared" ca="1" si="44"/>
        <v>30785.030507919695</v>
      </c>
      <c r="CX35" s="201">
        <f t="shared" ca="1" si="44"/>
        <v>30785.030507919695</v>
      </c>
      <c r="CY35" s="201">
        <f t="shared" ca="1" si="44"/>
        <v>30785.030507919695</v>
      </c>
      <c r="CZ35" s="201">
        <f t="shared" ca="1" si="44"/>
        <v>30785.030507919695</v>
      </c>
      <c r="DA35" s="201">
        <f t="shared" ca="1" si="44"/>
        <v>30785.030507919695</v>
      </c>
      <c r="DB35" s="201">
        <f t="shared" ca="1" si="44"/>
        <v>30785.030507919695</v>
      </c>
      <c r="DC35" s="201">
        <f t="shared" ca="1" si="44"/>
        <v>30785.030507919695</v>
      </c>
      <c r="DD35" s="201">
        <f t="shared" ca="1" si="44"/>
        <v>30785.030507919695</v>
      </c>
      <c r="DE35" s="201">
        <f t="shared" ca="1" si="44"/>
        <v>30785.030507919695</v>
      </c>
      <c r="DF35" s="201">
        <f t="shared" ca="1" si="44"/>
        <v>30785.030507919695</v>
      </c>
      <c r="DG35" s="201">
        <f t="shared" ca="1" si="44"/>
        <v>30785.030507919695</v>
      </c>
      <c r="DH35" s="201">
        <f t="shared" ca="1" si="44"/>
        <v>31708.581423157288</v>
      </c>
      <c r="DI35" s="201">
        <f t="shared" ref="DI35:EQ35" ca="1" si="45">IF(DH87=0,0,DI12*SF)</f>
        <v>31708.581423157288</v>
      </c>
      <c r="DJ35" s="201">
        <f t="shared" si="45"/>
        <v>0</v>
      </c>
      <c r="DK35" s="201">
        <f t="shared" si="45"/>
        <v>0</v>
      </c>
      <c r="DL35" s="201">
        <f t="shared" si="45"/>
        <v>0</v>
      </c>
      <c r="DM35" s="201">
        <f t="shared" si="45"/>
        <v>0</v>
      </c>
      <c r="DN35" s="201">
        <f t="shared" si="45"/>
        <v>0</v>
      </c>
      <c r="DO35" s="201">
        <f t="shared" si="45"/>
        <v>0</v>
      </c>
      <c r="DP35" s="201">
        <f t="shared" si="45"/>
        <v>0</v>
      </c>
      <c r="DQ35" s="201">
        <f t="shared" si="45"/>
        <v>0</v>
      </c>
      <c r="DR35" s="201">
        <f t="shared" si="45"/>
        <v>0</v>
      </c>
      <c r="DS35" s="201">
        <f t="shared" si="45"/>
        <v>0</v>
      </c>
      <c r="DT35" s="201">
        <f t="shared" si="45"/>
        <v>0</v>
      </c>
      <c r="DU35" s="201">
        <f t="shared" si="45"/>
        <v>0</v>
      </c>
      <c r="DV35" s="201">
        <f t="shared" si="45"/>
        <v>0</v>
      </c>
      <c r="DW35" s="201">
        <f t="shared" si="45"/>
        <v>0</v>
      </c>
      <c r="DX35" s="201">
        <f t="shared" si="45"/>
        <v>0</v>
      </c>
      <c r="DY35" s="201">
        <f t="shared" si="45"/>
        <v>0</v>
      </c>
      <c r="DZ35" s="201">
        <f t="shared" si="45"/>
        <v>0</v>
      </c>
      <c r="EA35" s="201">
        <f t="shared" si="45"/>
        <v>0</v>
      </c>
      <c r="EB35" s="201">
        <f t="shared" si="45"/>
        <v>0</v>
      </c>
      <c r="EC35" s="201">
        <f t="shared" si="45"/>
        <v>0</v>
      </c>
      <c r="ED35" s="201">
        <f t="shared" si="45"/>
        <v>0</v>
      </c>
      <c r="EE35" s="201">
        <f t="shared" si="45"/>
        <v>0</v>
      </c>
      <c r="EF35" s="201">
        <f t="shared" si="45"/>
        <v>0</v>
      </c>
      <c r="EG35" s="201">
        <f t="shared" si="45"/>
        <v>0</v>
      </c>
      <c r="EH35" s="201">
        <f t="shared" si="45"/>
        <v>0</v>
      </c>
      <c r="EI35" s="201">
        <f t="shared" si="45"/>
        <v>0</v>
      </c>
      <c r="EJ35" s="201">
        <f t="shared" si="45"/>
        <v>0</v>
      </c>
      <c r="EK35" s="201">
        <f t="shared" si="45"/>
        <v>0</v>
      </c>
      <c r="EL35" s="201">
        <f t="shared" si="45"/>
        <v>0</v>
      </c>
      <c r="EM35" s="201">
        <f t="shared" si="45"/>
        <v>0</v>
      </c>
      <c r="EN35" s="201">
        <f t="shared" si="45"/>
        <v>0</v>
      </c>
      <c r="EO35" s="201">
        <f t="shared" si="45"/>
        <v>0</v>
      </c>
      <c r="EP35" s="201">
        <f t="shared" si="45"/>
        <v>0</v>
      </c>
      <c r="EQ35" s="201">
        <f t="shared" si="45"/>
        <v>0</v>
      </c>
      <c r="ES35" s="421"/>
      <c r="ET35" s="63"/>
      <c r="EU35" s="98"/>
    </row>
    <row r="36" spans="2:151" s="189" customFormat="1" ht="15.75">
      <c r="C36" s="249" t="s">
        <v>71</v>
      </c>
      <c r="D36" s="249"/>
      <c r="E36" s="249"/>
      <c r="F36" s="249"/>
      <c r="G36" s="487"/>
      <c r="H36" s="488" t="s">
        <v>116</v>
      </c>
      <c r="I36" s="489">
        <f>SUM(P36:EQ36)</f>
        <v>30</v>
      </c>
      <c r="J36" s="490"/>
      <c r="K36" s="188"/>
      <c r="L36" s="237"/>
      <c r="M36" s="969"/>
      <c r="N36" s="970"/>
      <c r="O36" s="778"/>
      <c r="P36" s="420">
        <v>0</v>
      </c>
      <c r="Q36" s="420">
        <v>1</v>
      </c>
      <c r="R36" s="420">
        <v>4</v>
      </c>
      <c r="S36" s="420">
        <v>5</v>
      </c>
      <c r="T36" s="420">
        <v>0</v>
      </c>
      <c r="U36" s="420">
        <v>0</v>
      </c>
      <c r="V36" s="420">
        <v>0</v>
      </c>
      <c r="W36" s="420">
        <v>0</v>
      </c>
      <c r="X36" s="420">
        <v>0</v>
      </c>
      <c r="Y36" s="420">
        <v>0</v>
      </c>
      <c r="Z36" s="420">
        <v>0</v>
      </c>
      <c r="AA36" s="420">
        <v>0</v>
      </c>
      <c r="AB36" s="420">
        <v>5</v>
      </c>
      <c r="AC36" s="420">
        <v>5</v>
      </c>
      <c r="AD36" s="420">
        <v>0</v>
      </c>
      <c r="AE36" s="420">
        <v>5</v>
      </c>
      <c r="AF36" s="420">
        <v>0</v>
      </c>
      <c r="AG36" s="420">
        <v>0</v>
      </c>
      <c r="AH36" s="420">
        <v>0</v>
      </c>
      <c r="AI36" s="420">
        <v>0</v>
      </c>
      <c r="AJ36" s="420">
        <v>0</v>
      </c>
      <c r="AK36" s="420">
        <v>0</v>
      </c>
      <c r="AL36" s="420">
        <v>0</v>
      </c>
      <c r="AM36" s="420">
        <v>0</v>
      </c>
      <c r="AN36" s="420">
        <v>0</v>
      </c>
      <c r="AO36" s="420">
        <v>0</v>
      </c>
      <c r="AP36" s="420">
        <v>0</v>
      </c>
      <c r="AQ36" s="420">
        <v>4</v>
      </c>
      <c r="AR36" s="420">
        <v>0</v>
      </c>
      <c r="AS36" s="420">
        <v>1</v>
      </c>
      <c r="AT36" s="420">
        <v>0</v>
      </c>
      <c r="AU36" s="420">
        <v>0</v>
      </c>
      <c r="AV36" s="420">
        <v>0</v>
      </c>
      <c r="AW36" s="420">
        <v>0</v>
      </c>
      <c r="AX36" s="420">
        <v>0</v>
      </c>
      <c r="AY36" s="420">
        <v>0</v>
      </c>
      <c r="AZ36" s="420">
        <v>0</v>
      </c>
      <c r="BA36" s="420">
        <v>0</v>
      </c>
      <c r="BB36" s="420">
        <v>0</v>
      </c>
      <c r="BC36" s="420">
        <v>0</v>
      </c>
      <c r="BD36" s="420">
        <v>0</v>
      </c>
      <c r="BE36" s="420">
        <v>0</v>
      </c>
      <c r="BF36" s="420">
        <v>0</v>
      </c>
      <c r="BG36" s="420">
        <v>0</v>
      </c>
      <c r="BH36" s="420">
        <v>0</v>
      </c>
      <c r="BI36" s="420">
        <v>0</v>
      </c>
      <c r="BJ36" s="420">
        <v>0</v>
      </c>
      <c r="BK36" s="420">
        <v>0</v>
      </c>
      <c r="BL36" s="420">
        <v>0</v>
      </c>
      <c r="BM36" s="420">
        <v>0</v>
      </c>
      <c r="BN36" s="420">
        <v>0</v>
      </c>
      <c r="BO36" s="420">
        <v>0</v>
      </c>
      <c r="BP36" s="420">
        <v>0</v>
      </c>
      <c r="BQ36" s="420">
        <v>0</v>
      </c>
      <c r="BR36" s="420">
        <v>0</v>
      </c>
      <c r="BS36" s="420">
        <v>0</v>
      </c>
      <c r="BT36" s="420">
        <v>0</v>
      </c>
      <c r="BU36" s="420">
        <v>0</v>
      </c>
      <c r="BV36" s="420">
        <v>0</v>
      </c>
      <c r="BW36" s="420">
        <v>0</v>
      </c>
      <c r="BX36" s="420">
        <v>0</v>
      </c>
      <c r="BY36" s="420">
        <v>0</v>
      </c>
      <c r="BZ36" s="420">
        <v>0</v>
      </c>
      <c r="CA36" s="420">
        <v>0</v>
      </c>
      <c r="CB36" s="420">
        <v>0</v>
      </c>
      <c r="CC36" s="420">
        <v>0</v>
      </c>
      <c r="CD36" s="420">
        <v>0</v>
      </c>
      <c r="CE36" s="420">
        <v>0</v>
      </c>
      <c r="CF36" s="420">
        <v>0</v>
      </c>
      <c r="CG36" s="420">
        <v>0</v>
      </c>
      <c r="CH36" s="420">
        <v>0</v>
      </c>
      <c r="CI36" s="420">
        <v>0</v>
      </c>
      <c r="CJ36" s="420">
        <v>0</v>
      </c>
      <c r="CK36" s="420">
        <v>0</v>
      </c>
      <c r="CL36" s="420">
        <v>0</v>
      </c>
      <c r="CM36" s="420">
        <v>0</v>
      </c>
      <c r="CN36" s="420">
        <v>0</v>
      </c>
      <c r="CO36" s="420">
        <v>0</v>
      </c>
      <c r="CP36" s="420">
        <v>0</v>
      </c>
      <c r="CQ36" s="420">
        <v>0</v>
      </c>
      <c r="CR36" s="420">
        <v>0</v>
      </c>
      <c r="CS36" s="420">
        <v>0</v>
      </c>
      <c r="CT36" s="420">
        <v>0</v>
      </c>
      <c r="CU36" s="420">
        <v>0</v>
      </c>
      <c r="CV36" s="420">
        <v>0</v>
      </c>
      <c r="CW36" s="420">
        <v>0</v>
      </c>
      <c r="CX36" s="420">
        <v>0</v>
      </c>
      <c r="CY36" s="420">
        <v>0</v>
      </c>
      <c r="CZ36" s="420">
        <v>0</v>
      </c>
      <c r="DA36" s="420">
        <v>0</v>
      </c>
      <c r="DB36" s="420">
        <v>0</v>
      </c>
      <c r="DC36" s="420">
        <v>0</v>
      </c>
      <c r="DD36" s="420">
        <v>0</v>
      </c>
      <c r="DE36" s="420">
        <v>0</v>
      </c>
      <c r="DF36" s="420">
        <v>0</v>
      </c>
      <c r="DG36" s="420">
        <v>0</v>
      </c>
      <c r="DH36" s="420">
        <v>0</v>
      </c>
      <c r="DI36" s="420">
        <v>0</v>
      </c>
      <c r="DJ36" s="420">
        <v>0</v>
      </c>
      <c r="DK36" s="420">
        <v>0</v>
      </c>
      <c r="DL36" s="420">
        <v>0</v>
      </c>
      <c r="DM36" s="420">
        <v>0</v>
      </c>
      <c r="DN36" s="420">
        <v>0</v>
      </c>
      <c r="DO36" s="420">
        <v>0</v>
      </c>
      <c r="DP36" s="420">
        <v>0</v>
      </c>
      <c r="DQ36" s="420">
        <v>0</v>
      </c>
      <c r="DR36" s="420">
        <v>0</v>
      </c>
      <c r="DS36" s="420">
        <v>0</v>
      </c>
      <c r="DT36" s="420">
        <v>0</v>
      </c>
      <c r="DU36" s="420">
        <v>0</v>
      </c>
      <c r="DV36" s="420">
        <v>0</v>
      </c>
      <c r="DW36" s="420">
        <v>0</v>
      </c>
      <c r="DX36" s="420">
        <v>0</v>
      </c>
      <c r="DY36" s="420">
        <v>0</v>
      </c>
      <c r="DZ36" s="420">
        <v>0</v>
      </c>
      <c r="EA36" s="420">
        <v>0</v>
      </c>
      <c r="EB36" s="420">
        <v>0</v>
      </c>
      <c r="EC36" s="420">
        <v>0</v>
      </c>
      <c r="ED36" s="420">
        <v>0</v>
      </c>
      <c r="EE36" s="420">
        <v>0</v>
      </c>
      <c r="EF36" s="420">
        <v>0</v>
      </c>
      <c r="EG36" s="420">
        <v>0</v>
      </c>
      <c r="EH36" s="420">
        <v>0</v>
      </c>
      <c r="EI36" s="420">
        <v>0</v>
      </c>
      <c r="EJ36" s="420">
        <v>0</v>
      </c>
      <c r="EK36" s="420">
        <v>0</v>
      </c>
      <c r="EL36" s="420">
        <v>0</v>
      </c>
      <c r="EM36" s="420">
        <v>0</v>
      </c>
      <c r="EN36" s="420">
        <v>0</v>
      </c>
      <c r="EO36" s="420">
        <v>0</v>
      </c>
      <c r="EP36" s="420">
        <v>0</v>
      </c>
      <c r="EQ36" s="420">
        <v>0</v>
      </c>
      <c r="ES36" s="421"/>
      <c r="ET36" s="190"/>
      <c r="EU36" s="191"/>
    </row>
    <row r="37" spans="2:151" s="65" customFormat="1" ht="15.75">
      <c r="B37" s="65" t="s">
        <v>252</v>
      </c>
      <c r="C37" s="248">
        <v>3</v>
      </c>
      <c r="D37" s="248"/>
      <c r="E37" s="248"/>
      <c r="F37" s="248"/>
      <c r="G37" s="482"/>
      <c r="H37" s="482" t="s">
        <v>131</v>
      </c>
      <c r="I37" s="184"/>
      <c r="J37" s="491"/>
      <c r="K37" s="192"/>
      <c r="L37" s="193"/>
      <c r="M37" s="193"/>
      <c r="N37" s="216">
        <f>'Annual Cash Flow'!C16</f>
        <v>0</v>
      </c>
      <c r="O37" s="777"/>
      <c r="P37" s="795">
        <f>P42*-P12*$C$40</f>
        <v>0</v>
      </c>
      <c r="Q37" s="795">
        <f t="shared" ref="Q37:CB37" si="46">Q42*-Q12*$C$40</f>
        <v>-807.50000000000011</v>
      </c>
      <c r="R37" s="795">
        <f t="shared" si="46"/>
        <v>-4037.5</v>
      </c>
      <c r="S37" s="795">
        <f t="shared" si="46"/>
        <v>-8075</v>
      </c>
      <c r="T37" s="795">
        <f t="shared" si="46"/>
        <v>-7267.5000000000009</v>
      </c>
      <c r="U37" s="795">
        <f t="shared" si="46"/>
        <v>-4037.5</v>
      </c>
      <c r="V37" s="795">
        <f t="shared" si="46"/>
        <v>0</v>
      </c>
      <c r="W37" s="795">
        <f t="shared" si="46"/>
        <v>0</v>
      </c>
      <c r="X37" s="795">
        <f t="shared" si="46"/>
        <v>0</v>
      </c>
      <c r="Y37" s="795">
        <f t="shared" si="46"/>
        <v>0</v>
      </c>
      <c r="Z37" s="795">
        <f t="shared" si="46"/>
        <v>0</v>
      </c>
      <c r="AA37" s="795">
        <f t="shared" si="46"/>
        <v>0</v>
      </c>
      <c r="AB37" s="795">
        <f t="shared" si="46"/>
        <v>-4227.2625000000007</v>
      </c>
      <c r="AC37" s="795">
        <f t="shared" si="46"/>
        <v>-8454.5250000000015</v>
      </c>
      <c r="AD37" s="795">
        <f t="shared" si="46"/>
        <v>-8454.5250000000015</v>
      </c>
      <c r="AE37" s="795">
        <f t="shared" si="46"/>
        <v>-8454.5250000000015</v>
      </c>
      <c r="AF37" s="795">
        <f t="shared" si="46"/>
        <v>-4227.2625000000007</v>
      </c>
      <c r="AG37" s="795">
        <f t="shared" si="46"/>
        <v>-4227.2625000000007</v>
      </c>
      <c r="AH37" s="795">
        <f t="shared" si="46"/>
        <v>0</v>
      </c>
      <c r="AI37" s="795">
        <f t="shared" si="46"/>
        <v>0</v>
      </c>
      <c r="AJ37" s="795">
        <f t="shared" si="46"/>
        <v>0</v>
      </c>
      <c r="AK37" s="795">
        <f t="shared" si="46"/>
        <v>0</v>
      </c>
      <c r="AL37" s="795">
        <f t="shared" si="46"/>
        <v>0</v>
      </c>
      <c r="AM37" s="795">
        <f t="shared" si="46"/>
        <v>0</v>
      </c>
      <c r="AN37" s="795">
        <f t="shared" si="46"/>
        <v>0</v>
      </c>
      <c r="AO37" s="795">
        <f t="shared" si="46"/>
        <v>0</v>
      </c>
      <c r="AP37" s="795">
        <f t="shared" si="46"/>
        <v>0</v>
      </c>
      <c r="AQ37" s="795">
        <f t="shared" si="46"/>
        <v>-3540.7550700000002</v>
      </c>
      <c r="AR37" s="795">
        <f t="shared" si="46"/>
        <v>-3540.7550700000002</v>
      </c>
      <c r="AS37" s="795">
        <f t="shared" si="46"/>
        <v>-4425.9438375</v>
      </c>
      <c r="AT37" s="795">
        <f t="shared" si="46"/>
        <v>-885.18876750000004</v>
      </c>
      <c r="AU37" s="795">
        <f t="shared" si="46"/>
        <v>-885.18876750000004</v>
      </c>
      <c r="AV37" s="795">
        <f t="shared" si="46"/>
        <v>0</v>
      </c>
      <c r="AW37" s="795">
        <f t="shared" si="46"/>
        <v>0</v>
      </c>
      <c r="AX37" s="795">
        <f t="shared" si="46"/>
        <v>0</v>
      </c>
      <c r="AY37" s="795">
        <f t="shared" si="46"/>
        <v>0</v>
      </c>
      <c r="AZ37" s="795">
        <f t="shared" si="46"/>
        <v>0</v>
      </c>
      <c r="BA37" s="795">
        <f t="shared" si="46"/>
        <v>0</v>
      </c>
      <c r="BB37" s="795">
        <f t="shared" si="46"/>
        <v>0</v>
      </c>
      <c r="BC37" s="795">
        <f t="shared" si="46"/>
        <v>0</v>
      </c>
      <c r="BD37" s="795">
        <f t="shared" si="46"/>
        <v>0</v>
      </c>
      <c r="BE37" s="795">
        <f t="shared" si="46"/>
        <v>0</v>
      </c>
      <c r="BF37" s="795">
        <f t="shared" si="46"/>
        <v>0</v>
      </c>
      <c r="BG37" s="795">
        <f t="shared" si="46"/>
        <v>0</v>
      </c>
      <c r="BH37" s="795">
        <f t="shared" si="46"/>
        <v>0</v>
      </c>
      <c r="BI37" s="795">
        <f t="shared" si="46"/>
        <v>0</v>
      </c>
      <c r="BJ37" s="795">
        <f t="shared" si="46"/>
        <v>0</v>
      </c>
      <c r="BK37" s="795">
        <f t="shared" si="46"/>
        <v>0</v>
      </c>
      <c r="BL37" s="795">
        <f t="shared" si="46"/>
        <v>0</v>
      </c>
      <c r="BM37" s="795">
        <f t="shared" si="46"/>
        <v>0</v>
      </c>
      <c r="BN37" s="795">
        <f t="shared" si="46"/>
        <v>0</v>
      </c>
      <c r="BO37" s="795">
        <f t="shared" si="46"/>
        <v>0</v>
      </c>
      <c r="BP37" s="795">
        <f t="shared" si="46"/>
        <v>0</v>
      </c>
      <c r="BQ37" s="795">
        <f t="shared" si="46"/>
        <v>0</v>
      </c>
      <c r="BR37" s="795">
        <f t="shared" si="46"/>
        <v>0</v>
      </c>
      <c r="BS37" s="795">
        <f t="shared" si="46"/>
        <v>0</v>
      </c>
      <c r="BT37" s="795">
        <f t="shared" si="46"/>
        <v>0</v>
      </c>
      <c r="BU37" s="795">
        <f t="shared" si="46"/>
        <v>0</v>
      </c>
      <c r="BV37" s="795">
        <f t="shared" si="46"/>
        <v>0</v>
      </c>
      <c r="BW37" s="795">
        <f t="shared" si="46"/>
        <v>0</v>
      </c>
      <c r="BX37" s="795">
        <f t="shared" si="46"/>
        <v>0</v>
      </c>
      <c r="BY37" s="795">
        <f t="shared" si="46"/>
        <v>0</v>
      </c>
      <c r="BZ37" s="795">
        <f t="shared" si="46"/>
        <v>0</v>
      </c>
      <c r="CA37" s="795">
        <f t="shared" si="46"/>
        <v>0</v>
      </c>
      <c r="CB37" s="795">
        <f t="shared" si="46"/>
        <v>0</v>
      </c>
      <c r="CC37" s="795">
        <f t="shared" ref="CC37:EN37" si="47">CC42*-CC12*$C$40</f>
        <v>0</v>
      </c>
      <c r="CD37" s="795">
        <f t="shared" si="47"/>
        <v>0</v>
      </c>
      <c r="CE37" s="795">
        <f t="shared" si="47"/>
        <v>0</v>
      </c>
      <c r="CF37" s="795">
        <f t="shared" si="47"/>
        <v>0</v>
      </c>
      <c r="CG37" s="795">
        <f t="shared" si="47"/>
        <v>0</v>
      </c>
      <c r="CH37" s="795">
        <f t="shared" si="47"/>
        <v>0</v>
      </c>
      <c r="CI37" s="795">
        <f t="shared" si="47"/>
        <v>0</v>
      </c>
      <c r="CJ37" s="795">
        <f t="shared" si="47"/>
        <v>0</v>
      </c>
      <c r="CK37" s="795">
        <f t="shared" si="47"/>
        <v>0</v>
      </c>
      <c r="CL37" s="795">
        <f t="shared" si="47"/>
        <v>0</v>
      </c>
      <c r="CM37" s="795">
        <f t="shared" si="47"/>
        <v>0</v>
      </c>
      <c r="CN37" s="795">
        <f t="shared" si="47"/>
        <v>0</v>
      </c>
      <c r="CO37" s="795">
        <f t="shared" si="47"/>
        <v>0</v>
      </c>
      <c r="CP37" s="795">
        <f t="shared" si="47"/>
        <v>0</v>
      </c>
      <c r="CQ37" s="795">
        <f t="shared" si="47"/>
        <v>0</v>
      </c>
      <c r="CR37" s="795">
        <f t="shared" si="47"/>
        <v>0</v>
      </c>
      <c r="CS37" s="795">
        <f t="shared" si="47"/>
        <v>0</v>
      </c>
      <c r="CT37" s="795">
        <f t="shared" si="47"/>
        <v>0</v>
      </c>
      <c r="CU37" s="795">
        <f t="shared" si="47"/>
        <v>0</v>
      </c>
      <c r="CV37" s="795">
        <f t="shared" si="47"/>
        <v>0</v>
      </c>
      <c r="CW37" s="795">
        <f t="shared" si="47"/>
        <v>0</v>
      </c>
      <c r="CX37" s="795">
        <f t="shared" si="47"/>
        <v>0</v>
      </c>
      <c r="CY37" s="795">
        <f t="shared" si="47"/>
        <v>0</v>
      </c>
      <c r="CZ37" s="795">
        <f t="shared" si="47"/>
        <v>0</v>
      </c>
      <c r="DA37" s="795">
        <f t="shared" si="47"/>
        <v>0</v>
      </c>
      <c r="DB37" s="795">
        <f t="shared" si="47"/>
        <v>0</v>
      </c>
      <c r="DC37" s="795">
        <f t="shared" si="47"/>
        <v>0</v>
      </c>
      <c r="DD37" s="795">
        <f t="shared" si="47"/>
        <v>0</v>
      </c>
      <c r="DE37" s="795">
        <f t="shared" si="47"/>
        <v>0</v>
      </c>
      <c r="DF37" s="795">
        <f t="shared" si="47"/>
        <v>0</v>
      </c>
      <c r="DG37" s="795">
        <f t="shared" si="47"/>
        <v>0</v>
      </c>
      <c r="DH37" s="795">
        <f t="shared" si="47"/>
        <v>0</v>
      </c>
      <c r="DI37" s="795">
        <f t="shared" si="47"/>
        <v>0</v>
      </c>
      <c r="DJ37" s="795">
        <f t="shared" si="47"/>
        <v>0</v>
      </c>
      <c r="DK37" s="795">
        <f t="shared" si="47"/>
        <v>0</v>
      </c>
      <c r="DL37" s="795">
        <f t="shared" si="47"/>
        <v>0</v>
      </c>
      <c r="DM37" s="795">
        <f t="shared" si="47"/>
        <v>0</v>
      </c>
      <c r="DN37" s="795">
        <f t="shared" si="47"/>
        <v>0</v>
      </c>
      <c r="DO37" s="795">
        <f t="shared" si="47"/>
        <v>0</v>
      </c>
      <c r="DP37" s="795">
        <f t="shared" si="47"/>
        <v>0</v>
      </c>
      <c r="DQ37" s="795">
        <f t="shared" si="47"/>
        <v>0</v>
      </c>
      <c r="DR37" s="795">
        <f t="shared" si="47"/>
        <v>0</v>
      </c>
      <c r="DS37" s="795">
        <f t="shared" si="47"/>
        <v>0</v>
      </c>
      <c r="DT37" s="795">
        <f t="shared" si="47"/>
        <v>0</v>
      </c>
      <c r="DU37" s="795">
        <f t="shared" si="47"/>
        <v>0</v>
      </c>
      <c r="DV37" s="795">
        <f t="shared" si="47"/>
        <v>0</v>
      </c>
      <c r="DW37" s="795">
        <f t="shared" si="47"/>
        <v>0</v>
      </c>
      <c r="DX37" s="795">
        <f t="shared" si="47"/>
        <v>0</v>
      </c>
      <c r="DY37" s="795">
        <f t="shared" si="47"/>
        <v>0</v>
      </c>
      <c r="DZ37" s="795">
        <f t="shared" si="47"/>
        <v>0</v>
      </c>
      <c r="EA37" s="795">
        <f t="shared" si="47"/>
        <v>0</v>
      </c>
      <c r="EB37" s="795">
        <f t="shared" si="47"/>
        <v>0</v>
      </c>
      <c r="EC37" s="795">
        <f t="shared" si="47"/>
        <v>0</v>
      </c>
      <c r="ED37" s="795">
        <f t="shared" si="47"/>
        <v>0</v>
      </c>
      <c r="EE37" s="795">
        <f t="shared" si="47"/>
        <v>0</v>
      </c>
      <c r="EF37" s="795">
        <f t="shared" si="47"/>
        <v>0</v>
      </c>
      <c r="EG37" s="795">
        <f t="shared" si="47"/>
        <v>0</v>
      </c>
      <c r="EH37" s="795">
        <f t="shared" si="47"/>
        <v>0</v>
      </c>
      <c r="EI37" s="795">
        <f t="shared" si="47"/>
        <v>0</v>
      </c>
      <c r="EJ37" s="795">
        <f t="shared" si="47"/>
        <v>0</v>
      </c>
      <c r="EK37" s="795">
        <f t="shared" si="47"/>
        <v>0</v>
      </c>
      <c r="EL37" s="795">
        <f t="shared" si="47"/>
        <v>0</v>
      </c>
      <c r="EM37" s="795">
        <f t="shared" si="47"/>
        <v>0</v>
      </c>
      <c r="EN37" s="795">
        <f t="shared" si="47"/>
        <v>0</v>
      </c>
      <c r="EO37" s="795">
        <f t="shared" ref="EO37:EQ37" si="48">EO42*-EO12*$C$40</f>
        <v>0</v>
      </c>
      <c r="EP37" s="795">
        <f t="shared" si="48"/>
        <v>0</v>
      </c>
      <c r="EQ37" s="795">
        <f t="shared" si="48"/>
        <v>0</v>
      </c>
      <c r="ER37" s="194"/>
      <c r="ES37" s="421"/>
      <c r="ET37" s="67"/>
      <c r="EU37" s="195"/>
    </row>
    <row r="38" spans="2:151" s="65" customFormat="1" ht="15.75">
      <c r="B38" s="65" t="s">
        <v>249</v>
      </c>
      <c r="C38" s="248">
        <v>1</v>
      </c>
      <c r="D38" s="248"/>
      <c r="E38" s="248"/>
      <c r="F38" s="248"/>
      <c r="G38" s="482"/>
      <c r="H38" s="821">
        <v>1</v>
      </c>
      <c r="I38" s="822"/>
      <c r="J38" s="835">
        <f>SUM(P38:EQ38)</f>
        <v>30</v>
      </c>
      <c r="K38" s="823"/>
      <c r="L38" s="824"/>
      <c r="M38" s="824"/>
      <c r="N38" s="825"/>
      <c r="O38" s="777"/>
      <c r="P38" s="827">
        <f>P36</f>
        <v>0</v>
      </c>
      <c r="Q38" s="827">
        <f t="shared" ref="Q38:Y38" si="49">Q36</f>
        <v>1</v>
      </c>
      <c r="R38" s="827">
        <f t="shared" si="49"/>
        <v>4</v>
      </c>
      <c r="S38" s="827">
        <f t="shared" si="49"/>
        <v>5</v>
      </c>
      <c r="T38" s="827">
        <f t="shared" si="49"/>
        <v>0</v>
      </c>
      <c r="U38" s="827">
        <f t="shared" si="49"/>
        <v>0</v>
      </c>
      <c r="V38" s="827">
        <f t="shared" si="49"/>
        <v>0</v>
      </c>
      <c r="W38" s="827">
        <f t="shared" si="49"/>
        <v>0</v>
      </c>
      <c r="X38" s="827">
        <f t="shared" si="49"/>
        <v>0</v>
      </c>
      <c r="Y38" s="827">
        <f t="shared" si="49"/>
        <v>0</v>
      </c>
      <c r="Z38" s="827">
        <f t="shared" ref="Z38:CK38" si="50">Z36</f>
        <v>0</v>
      </c>
      <c r="AA38" s="827">
        <f t="shared" si="50"/>
        <v>0</v>
      </c>
      <c r="AB38" s="827">
        <f t="shared" si="50"/>
        <v>5</v>
      </c>
      <c r="AC38" s="827">
        <f t="shared" si="50"/>
        <v>5</v>
      </c>
      <c r="AD38" s="827">
        <f t="shared" si="50"/>
        <v>0</v>
      </c>
      <c r="AE38" s="827">
        <f t="shared" si="50"/>
        <v>5</v>
      </c>
      <c r="AF38" s="827">
        <f t="shared" si="50"/>
        <v>0</v>
      </c>
      <c r="AG38" s="827">
        <f t="shared" si="50"/>
        <v>0</v>
      </c>
      <c r="AH38" s="827">
        <f t="shared" si="50"/>
        <v>0</v>
      </c>
      <c r="AI38" s="827">
        <f t="shared" si="50"/>
        <v>0</v>
      </c>
      <c r="AJ38" s="827">
        <f t="shared" si="50"/>
        <v>0</v>
      </c>
      <c r="AK38" s="827">
        <f t="shared" si="50"/>
        <v>0</v>
      </c>
      <c r="AL38" s="827">
        <f t="shared" si="50"/>
        <v>0</v>
      </c>
      <c r="AM38" s="827">
        <f t="shared" si="50"/>
        <v>0</v>
      </c>
      <c r="AN38" s="827">
        <f t="shared" si="50"/>
        <v>0</v>
      </c>
      <c r="AO38" s="827">
        <f t="shared" si="50"/>
        <v>0</v>
      </c>
      <c r="AP38" s="827">
        <f t="shared" si="50"/>
        <v>0</v>
      </c>
      <c r="AQ38" s="827">
        <f t="shared" si="50"/>
        <v>4</v>
      </c>
      <c r="AR38" s="827">
        <f t="shared" si="50"/>
        <v>0</v>
      </c>
      <c r="AS38" s="827">
        <f t="shared" si="50"/>
        <v>1</v>
      </c>
      <c r="AT38" s="827">
        <f t="shared" si="50"/>
        <v>0</v>
      </c>
      <c r="AU38" s="827">
        <f t="shared" si="50"/>
        <v>0</v>
      </c>
      <c r="AV38" s="827">
        <f t="shared" si="50"/>
        <v>0</v>
      </c>
      <c r="AW38" s="827">
        <f t="shared" si="50"/>
        <v>0</v>
      </c>
      <c r="AX38" s="827">
        <f t="shared" si="50"/>
        <v>0</v>
      </c>
      <c r="AY38" s="827">
        <f t="shared" si="50"/>
        <v>0</v>
      </c>
      <c r="AZ38" s="827">
        <f t="shared" si="50"/>
        <v>0</v>
      </c>
      <c r="BA38" s="827">
        <f t="shared" si="50"/>
        <v>0</v>
      </c>
      <c r="BB38" s="827">
        <f t="shared" si="50"/>
        <v>0</v>
      </c>
      <c r="BC38" s="827">
        <f t="shared" si="50"/>
        <v>0</v>
      </c>
      <c r="BD38" s="827">
        <f t="shared" si="50"/>
        <v>0</v>
      </c>
      <c r="BE38" s="827">
        <f t="shared" si="50"/>
        <v>0</v>
      </c>
      <c r="BF38" s="827">
        <f t="shared" si="50"/>
        <v>0</v>
      </c>
      <c r="BG38" s="827">
        <f t="shared" si="50"/>
        <v>0</v>
      </c>
      <c r="BH38" s="827">
        <f t="shared" si="50"/>
        <v>0</v>
      </c>
      <c r="BI38" s="827">
        <f t="shared" si="50"/>
        <v>0</v>
      </c>
      <c r="BJ38" s="827">
        <f t="shared" si="50"/>
        <v>0</v>
      </c>
      <c r="BK38" s="827">
        <f t="shared" si="50"/>
        <v>0</v>
      </c>
      <c r="BL38" s="827">
        <f t="shared" si="50"/>
        <v>0</v>
      </c>
      <c r="BM38" s="827">
        <f t="shared" si="50"/>
        <v>0</v>
      </c>
      <c r="BN38" s="827">
        <f t="shared" si="50"/>
        <v>0</v>
      </c>
      <c r="BO38" s="827">
        <f t="shared" si="50"/>
        <v>0</v>
      </c>
      <c r="BP38" s="827">
        <f t="shared" si="50"/>
        <v>0</v>
      </c>
      <c r="BQ38" s="827">
        <f t="shared" si="50"/>
        <v>0</v>
      </c>
      <c r="BR38" s="827">
        <f t="shared" si="50"/>
        <v>0</v>
      </c>
      <c r="BS38" s="827">
        <f t="shared" si="50"/>
        <v>0</v>
      </c>
      <c r="BT38" s="827">
        <f t="shared" si="50"/>
        <v>0</v>
      </c>
      <c r="BU38" s="827">
        <f t="shared" si="50"/>
        <v>0</v>
      </c>
      <c r="BV38" s="827">
        <f t="shared" si="50"/>
        <v>0</v>
      </c>
      <c r="BW38" s="827">
        <f t="shared" si="50"/>
        <v>0</v>
      </c>
      <c r="BX38" s="827">
        <f t="shared" si="50"/>
        <v>0</v>
      </c>
      <c r="BY38" s="827">
        <f t="shared" si="50"/>
        <v>0</v>
      </c>
      <c r="BZ38" s="827">
        <f t="shared" si="50"/>
        <v>0</v>
      </c>
      <c r="CA38" s="827">
        <f t="shared" si="50"/>
        <v>0</v>
      </c>
      <c r="CB38" s="827">
        <f t="shared" si="50"/>
        <v>0</v>
      </c>
      <c r="CC38" s="827">
        <f t="shared" si="50"/>
        <v>0</v>
      </c>
      <c r="CD38" s="827">
        <f t="shared" si="50"/>
        <v>0</v>
      </c>
      <c r="CE38" s="827">
        <f t="shared" si="50"/>
        <v>0</v>
      </c>
      <c r="CF38" s="827">
        <f t="shared" si="50"/>
        <v>0</v>
      </c>
      <c r="CG38" s="827">
        <f t="shared" si="50"/>
        <v>0</v>
      </c>
      <c r="CH38" s="827">
        <f t="shared" si="50"/>
        <v>0</v>
      </c>
      <c r="CI38" s="827">
        <f t="shared" si="50"/>
        <v>0</v>
      </c>
      <c r="CJ38" s="827">
        <f t="shared" si="50"/>
        <v>0</v>
      </c>
      <c r="CK38" s="827">
        <f t="shared" si="50"/>
        <v>0</v>
      </c>
      <c r="CL38" s="827">
        <f t="shared" ref="CL38:EQ38" si="51">CL36</f>
        <v>0</v>
      </c>
      <c r="CM38" s="827">
        <f t="shared" si="51"/>
        <v>0</v>
      </c>
      <c r="CN38" s="827">
        <f t="shared" si="51"/>
        <v>0</v>
      </c>
      <c r="CO38" s="827">
        <f t="shared" si="51"/>
        <v>0</v>
      </c>
      <c r="CP38" s="827">
        <f t="shared" si="51"/>
        <v>0</v>
      </c>
      <c r="CQ38" s="827">
        <f t="shared" si="51"/>
        <v>0</v>
      </c>
      <c r="CR38" s="827">
        <f t="shared" si="51"/>
        <v>0</v>
      </c>
      <c r="CS38" s="827">
        <f t="shared" si="51"/>
        <v>0</v>
      </c>
      <c r="CT38" s="827">
        <f t="shared" si="51"/>
        <v>0</v>
      </c>
      <c r="CU38" s="827">
        <f t="shared" si="51"/>
        <v>0</v>
      </c>
      <c r="CV38" s="827">
        <f t="shared" si="51"/>
        <v>0</v>
      </c>
      <c r="CW38" s="827">
        <f t="shared" si="51"/>
        <v>0</v>
      </c>
      <c r="CX38" s="827">
        <f t="shared" si="51"/>
        <v>0</v>
      </c>
      <c r="CY38" s="827">
        <f t="shared" si="51"/>
        <v>0</v>
      </c>
      <c r="CZ38" s="827">
        <f t="shared" si="51"/>
        <v>0</v>
      </c>
      <c r="DA38" s="827">
        <f t="shared" si="51"/>
        <v>0</v>
      </c>
      <c r="DB38" s="827">
        <f t="shared" si="51"/>
        <v>0</v>
      </c>
      <c r="DC38" s="827">
        <f t="shared" si="51"/>
        <v>0</v>
      </c>
      <c r="DD38" s="827">
        <f t="shared" si="51"/>
        <v>0</v>
      </c>
      <c r="DE38" s="827">
        <f t="shared" si="51"/>
        <v>0</v>
      </c>
      <c r="DF38" s="827">
        <f t="shared" si="51"/>
        <v>0</v>
      </c>
      <c r="DG38" s="827">
        <f t="shared" si="51"/>
        <v>0</v>
      </c>
      <c r="DH38" s="827">
        <f t="shared" si="51"/>
        <v>0</v>
      </c>
      <c r="DI38" s="827">
        <f t="shared" si="51"/>
        <v>0</v>
      </c>
      <c r="DJ38" s="827">
        <f t="shared" si="51"/>
        <v>0</v>
      </c>
      <c r="DK38" s="827">
        <f t="shared" si="51"/>
        <v>0</v>
      </c>
      <c r="DL38" s="827">
        <f t="shared" si="51"/>
        <v>0</v>
      </c>
      <c r="DM38" s="827">
        <f t="shared" si="51"/>
        <v>0</v>
      </c>
      <c r="DN38" s="827">
        <f t="shared" si="51"/>
        <v>0</v>
      </c>
      <c r="DO38" s="827">
        <f t="shared" si="51"/>
        <v>0</v>
      </c>
      <c r="DP38" s="827">
        <f t="shared" si="51"/>
        <v>0</v>
      </c>
      <c r="DQ38" s="827">
        <f t="shared" si="51"/>
        <v>0</v>
      </c>
      <c r="DR38" s="827">
        <f t="shared" si="51"/>
        <v>0</v>
      </c>
      <c r="DS38" s="827">
        <f t="shared" si="51"/>
        <v>0</v>
      </c>
      <c r="DT38" s="827">
        <f t="shared" si="51"/>
        <v>0</v>
      </c>
      <c r="DU38" s="827">
        <f t="shared" si="51"/>
        <v>0</v>
      </c>
      <c r="DV38" s="827">
        <f t="shared" si="51"/>
        <v>0</v>
      </c>
      <c r="DW38" s="827">
        <f t="shared" si="51"/>
        <v>0</v>
      </c>
      <c r="DX38" s="827">
        <f t="shared" si="51"/>
        <v>0</v>
      </c>
      <c r="DY38" s="827">
        <f t="shared" si="51"/>
        <v>0</v>
      </c>
      <c r="DZ38" s="827">
        <f t="shared" si="51"/>
        <v>0</v>
      </c>
      <c r="EA38" s="827">
        <f t="shared" si="51"/>
        <v>0</v>
      </c>
      <c r="EB38" s="827">
        <f t="shared" si="51"/>
        <v>0</v>
      </c>
      <c r="EC38" s="827">
        <f t="shared" si="51"/>
        <v>0</v>
      </c>
      <c r="ED38" s="827">
        <f t="shared" si="51"/>
        <v>0</v>
      </c>
      <c r="EE38" s="827">
        <f t="shared" si="51"/>
        <v>0</v>
      </c>
      <c r="EF38" s="827">
        <f t="shared" si="51"/>
        <v>0</v>
      </c>
      <c r="EG38" s="827">
        <f t="shared" si="51"/>
        <v>0</v>
      </c>
      <c r="EH38" s="827">
        <f t="shared" si="51"/>
        <v>0</v>
      </c>
      <c r="EI38" s="827">
        <f t="shared" si="51"/>
        <v>0</v>
      </c>
      <c r="EJ38" s="827">
        <f t="shared" si="51"/>
        <v>0</v>
      </c>
      <c r="EK38" s="827">
        <f t="shared" si="51"/>
        <v>0</v>
      </c>
      <c r="EL38" s="827">
        <f t="shared" si="51"/>
        <v>0</v>
      </c>
      <c r="EM38" s="827">
        <f t="shared" si="51"/>
        <v>0</v>
      </c>
      <c r="EN38" s="827">
        <f t="shared" si="51"/>
        <v>0</v>
      </c>
      <c r="EO38" s="827">
        <f t="shared" si="51"/>
        <v>0</v>
      </c>
      <c r="EP38" s="827">
        <f t="shared" si="51"/>
        <v>0</v>
      </c>
      <c r="EQ38" s="827">
        <f t="shared" si="51"/>
        <v>0</v>
      </c>
      <c r="ER38" s="194"/>
      <c r="ES38" s="421"/>
      <c r="ET38" s="67"/>
      <c r="EU38" s="195"/>
    </row>
    <row r="39" spans="2:151" s="65" customFormat="1" ht="15.75">
      <c r="C39" s="248"/>
      <c r="D39" s="248"/>
      <c r="E39" s="248"/>
      <c r="F39" s="248"/>
      <c r="G39" s="482"/>
      <c r="H39" s="821">
        <v>2</v>
      </c>
      <c r="I39" s="822"/>
      <c r="J39" s="835">
        <f t="shared" ref="J39:J42" si="52">SUM(P39:EQ39)</f>
        <v>30</v>
      </c>
      <c r="K39" s="823"/>
      <c r="L39" s="824"/>
      <c r="M39" s="824"/>
      <c r="N39" s="825"/>
      <c r="O39" s="777"/>
      <c r="P39" s="828"/>
      <c r="Q39" s="827">
        <f>P38*IF($H$39&gt;$C$37,0,1)</f>
        <v>0</v>
      </c>
      <c r="R39" s="827">
        <f t="shared" ref="R39:CC39" si="53">Q38*IF($H$39&gt;$C$37,0,1)</f>
        <v>1</v>
      </c>
      <c r="S39" s="827">
        <f t="shared" si="53"/>
        <v>4</v>
      </c>
      <c r="T39" s="827">
        <f t="shared" si="53"/>
        <v>5</v>
      </c>
      <c r="U39" s="827">
        <f t="shared" si="53"/>
        <v>0</v>
      </c>
      <c r="V39" s="827">
        <f t="shared" si="53"/>
        <v>0</v>
      </c>
      <c r="W39" s="827">
        <f t="shared" si="53"/>
        <v>0</v>
      </c>
      <c r="X39" s="827">
        <f t="shared" si="53"/>
        <v>0</v>
      </c>
      <c r="Y39" s="827">
        <f t="shared" si="53"/>
        <v>0</v>
      </c>
      <c r="Z39" s="827">
        <f t="shared" si="53"/>
        <v>0</v>
      </c>
      <c r="AA39" s="827">
        <f t="shared" si="53"/>
        <v>0</v>
      </c>
      <c r="AB39" s="827">
        <f t="shared" si="53"/>
        <v>0</v>
      </c>
      <c r="AC39" s="827">
        <f t="shared" si="53"/>
        <v>5</v>
      </c>
      <c r="AD39" s="827">
        <f t="shared" si="53"/>
        <v>5</v>
      </c>
      <c r="AE39" s="827">
        <f t="shared" si="53"/>
        <v>0</v>
      </c>
      <c r="AF39" s="827">
        <f t="shared" si="53"/>
        <v>5</v>
      </c>
      <c r="AG39" s="827">
        <f t="shared" si="53"/>
        <v>0</v>
      </c>
      <c r="AH39" s="827">
        <f t="shared" si="53"/>
        <v>0</v>
      </c>
      <c r="AI39" s="827">
        <f t="shared" si="53"/>
        <v>0</v>
      </c>
      <c r="AJ39" s="827">
        <f t="shared" si="53"/>
        <v>0</v>
      </c>
      <c r="AK39" s="827">
        <f t="shared" si="53"/>
        <v>0</v>
      </c>
      <c r="AL39" s="827">
        <f t="shared" si="53"/>
        <v>0</v>
      </c>
      <c r="AM39" s="827">
        <f t="shared" si="53"/>
        <v>0</v>
      </c>
      <c r="AN39" s="827">
        <f t="shared" si="53"/>
        <v>0</v>
      </c>
      <c r="AO39" s="827">
        <f t="shared" si="53"/>
        <v>0</v>
      </c>
      <c r="AP39" s="827">
        <f t="shared" si="53"/>
        <v>0</v>
      </c>
      <c r="AQ39" s="827">
        <f t="shared" si="53"/>
        <v>0</v>
      </c>
      <c r="AR39" s="827">
        <f t="shared" si="53"/>
        <v>4</v>
      </c>
      <c r="AS39" s="827">
        <f t="shared" si="53"/>
        <v>0</v>
      </c>
      <c r="AT39" s="827">
        <f t="shared" si="53"/>
        <v>1</v>
      </c>
      <c r="AU39" s="827">
        <f t="shared" si="53"/>
        <v>0</v>
      </c>
      <c r="AV39" s="827">
        <f t="shared" si="53"/>
        <v>0</v>
      </c>
      <c r="AW39" s="827">
        <f t="shared" si="53"/>
        <v>0</v>
      </c>
      <c r="AX39" s="827">
        <f t="shared" si="53"/>
        <v>0</v>
      </c>
      <c r="AY39" s="827">
        <f t="shared" si="53"/>
        <v>0</v>
      </c>
      <c r="AZ39" s="827">
        <f t="shared" si="53"/>
        <v>0</v>
      </c>
      <c r="BA39" s="827">
        <f t="shared" si="53"/>
        <v>0</v>
      </c>
      <c r="BB39" s="827">
        <f t="shared" si="53"/>
        <v>0</v>
      </c>
      <c r="BC39" s="827">
        <f t="shared" si="53"/>
        <v>0</v>
      </c>
      <c r="BD39" s="827">
        <f t="shared" si="53"/>
        <v>0</v>
      </c>
      <c r="BE39" s="827">
        <f t="shared" si="53"/>
        <v>0</v>
      </c>
      <c r="BF39" s="827">
        <f t="shared" si="53"/>
        <v>0</v>
      </c>
      <c r="BG39" s="827">
        <f t="shared" si="53"/>
        <v>0</v>
      </c>
      <c r="BH39" s="827">
        <f t="shared" si="53"/>
        <v>0</v>
      </c>
      <c r="BI39" s="827">
        <f t="shared" si="53"/>
        <v>0</v>
      </c>
      <c r="BJ39" s="827">
        <f t="shared" si="53"/>
        <v>0</v>
      </c>
      <c r="BK39" s="827">
        <f t="shared" si="53"/>
        <v>0</v>
      </c>
      <c r="BL39" s="827">
        <f t="shared" si="53"/>
        <v>0</v>
      </c>
      <c r="BM39" s="827">
        <f t="shared" si="53"/>
        <v>0</v>
      </c>
      <c r="BN39" s="827">
        <f t="shared" si="53"/>
        <v>0</v>
      </c>
      <c r="BO39" s="827">
        <f t="shared" si="53"/>
        <v>0</v>
      </c>
      <c r="BP39" s="827">
        <f t="shared" si="53"/>
        <v>0</v>
      </c>
      <c r="BQ39" s="827">
        <f t="shared" si="53"/>
        <v>0</v>
      </c>
      <c r="BR39" s="827">
        <f t="shared" si="53"/>
        <v>0</v>
      </c>
      <c r="BS39" s="827">
        <f t="shared" si="53"/>
        <v>0</v>
      </c>
      <c r="BT39" s="827">
        <f t="shared" si="53"/>
        <v>0</v>
      </c>
      <c r="BU39" s="827">
        <f t="shared" si="53"/>
        <v>0</v>
      </c>
      <c r="BV39" s="827">
        <f t="shared" si="53"/>
        <v>0</v>
      </c>
      <c r="BW39" s="827">
        <f t="shared" si="53"/>
        <v>0</v>
      </c>
      <c r="BX39" s="827">
        <f t="shared" si="53"/>
        <v>0</v>
      </c>
      <c r="BY39" s="827">
        <f t="shared" si="53"/>
        <v>0</v>
      </c>
      <c r="BZ39" s="827">
        <f t="shared" si="53"/>
        <v>0</v>
      </c>
      <c r="CA39" s="827">
        <f t="shared" si="53"/>
        <v>0</v>
      </c>
      <c r="CB39" s="827">
        <f t="shared" si="53"/>
        <v>0</v>
      </c>
      <c r="CC39" s="827">
        <f t="shared" si="53"/>
        <v>0</v>
      </c>
      <c r="CD39" s="827">
        <f t="shared" ref="CD39:EO39" si="54">CC38*IF($H$39&gt;$C$37,0,1)</f>
        <v>0</v>
      </c>
      <c r="CE39" s="827">
        <f t="shared" si="54"/>
        <v>0</v>
      </c>
      <c r="CF39" s="827">
        <f t="shared" si="54"/>
        <v>0</v>
      </c>
      <c r="CG39" s="827">
        <f t="shared" si="54"/>
        <v>0</v>
      </c>
      <c r="CH39" s="827">
        <f t="shared" si="54"/>
        <v>0</v>
      </c>
      <c r="CI39" s="827">
        <f t="shared" si="54"/>
        <v>0</v>
      </c>
      <c r="CJ39" s="827">
        <f t="shared" si="54"/>
        <v>0</v>
      </c>
      <c r="CK39" s="827">
        <f t="shared" si="54"/>
        <v>0</v>
      </c>
      <c r="CL39" s="827">
        <f t="shared" si="54"/>
        <v>0</v>
      </c>
      <c r="CM39" s="827">
        <f t="shared" si="54"/>
        <v>0</v>
      </c>
      <c r="CN39" s="827">
        <f t="shared" si="54"/>
        <v>0</v>
      </c>
      <c r="CO39" s="827">
        <f t="shared" si="54"/>
        <v>0</v>
      </c>
      <c r="CP39" s="827">
        <f t="shared" si="54"/>
        <v>0</v>
      </c>
      <c r="CQ39" s="827">
        <f t="shared" si="54"/>
        <v>0</v>
      </c>
      <c r="CR39" s="827">
        <f t="shared" si="54"/>
        <v>0</v>
      </c>
      <c r="CS39" s="827">
        <f t="shared" si="54"/>
        <v>0</v>
      </c>
      <c r="CT39" s="827">
        <f t="shared" si="54"/>
        <v>0</v>
      </c>
      <c r="CU39" s="827">
        <f t="shared" si="54"/>
        <v>0</v>
      </c>
      <c r="CV39" s="827">
        <f t="shared" si="54"/>
        <v>0</v>
      </c>
      <c r="CW39" s="827">
        <f t="shared" si="54"/>
        <v>0</v>
      </c>
      <c r="CX39" s="827">
        <f t="shared" si="54"/>
        <v>0</v>
      </c>
      <c r="CY39" s="827">
        <f t="shared" si="54"/>
        <v>0</v>
      </c>
      <c r="CZ39" s="827">
        <f t="shared" si="54"/>
        <v>0</v>
      </c>
      <c r="DA39" s="827">
        <f t="shared" si="54"/>
        <v>0</v>
      </c>
      <c r="DB39" s="827">
        <f t="shared" si="54"/>
        <v>0</v>
      </c>
      <c r="DC39" s="827">
        <f t="shared" si="54"/>
        <v>0</v>
      </c>
      <c r="DD39" s="827">
        <f t="shared" si="54"/>
        <v>0</v>
      </c>
      <c r="DE39" s="827">
        <f t="shared" si="54"/>
        <v>0</v>
      </c>
      <c r="DF39" s="827">
        <f t="shared" si="54"/>
        <v>0</v>
      </c>
      <c r="DG39" s="827">
        <f t="shared" si="54"/>
        <v>0</v>
      </c>
      <c r="DH39" s="827">
        <f t="shared" si="54"/>
        <v>0</v>
      </c>
      <c r="DI39" s="827">
        <f t="shared" si="54"/>
        <v>0</v>
      </c>
      <c r="DJ39" s="827">
        <f t="shared" si="54"/>
        <v>0</v>
      </c>
      <c r="DK39" s="827">
        <f t="shared" si="54"/>
        <v>0</v>
      </c>
      <c r="DL39" s="827">
        <f t="shared" si="54"/>
        <v>0</v>
      </c>
      <c r="DM39" s="827">
        <f t="shared" si="54"/>
        <v>0</v>
      </c>
      <c r="DN39" s="827">
        <f t="shared" si="54"/>
        <v>0</v>
      </c>
      <c r="DO39" s="827">
        <f t="shared" si="54"/>
        <v>0</v>
      </c>
      <c r="DP39" s="827">
        <f t="shared" si="54"/>
        <v>0</v>
      </c>
      <c r="DQ39" s="827">
        <f t="shared" si="54"/>
        <v>0</v>
      </c>
      <c r="DR39" s="827">
        <f t="shared" si="54"/>
        <v>0</v>
      </c>
      <c r="DS39" s="827">
        <f t="shared" si="54"/>
        <v>0</v>
      </c>
      <c r="DT39" s="827">
        <f t="shared" si="54"/>
        <v>0</v>
      </c>
      <c r="DU39" s="827">
        <f t="shared" si="54"/>
        <v>0</v>
      </c>
      <c r="DV39" s="827">
        <f t="shared" si="54"/>
        <v>0</v>
      </c>
      <c r="DW39" s="827">
        <f t="shared" si="54"/>
        <v>0</v>
      </c>
      <c r="DX39" s="827">
        <f t="shared" si="54"/>
        <v>0</v>
      </c>
      <c r="DY39" s="827">
        <f t="shared" si="54"/>
        <v>0</v>
      </c>
      <c r="DZ39" s="827">
        <f t="shared" si="54"/>
        <v>0</v>
      </c>
      <c r="EA39" s="827">
        <f t="shared" si="54"/>
        <v>0</v>
      </c>
      <c r="EB39" s="827">
        <f t="shared" si="54"/>
        <v>0</v>
      </c>
      <c r="EC39" s="827">
        <f t="shared" si="54"/>
        <v>0</v>
      </c>
      <c r="ED39" s="827">
        <f t="shared" si="54"/>
        <v>0</v>
      </c>
      <c r="EE39" s="827">
        <f t="shared" si="54"/>
        <v>0</v>
      </c>
      <c r="EF39" s="827">
        <f t="shared" si="54"/>
        <v>0</v>
      </c>
      <c r="EG39" s="827">
        <f t="shared" si="54"/>
        <v>0</v>
      </c>
      <c r="EH39" s="827">
        <f t="shared" si="54"/>
        <v>0</v>
      </c>
      <c r="EI39" s="827">
        <f t="shared" si="54"/>
        <v>0</v>
      </c>
      <c r="EJ39" s="827">
        <f t="shared" si="54"/>
        <v>0</v>
      </c>
      <c r="EK39" s="827">
        <f t="shared" si="54"/>
        <v>0</v>
      </c>
      <c r="EL39" s="827">
        <f t="shared" si="54"/>
        <v>0</v>
      </c>
      <c r="EM39" s="827">
        <f t="shared" si="54"/>
        <v>0</v>
      </c>
      <c r="EN39" s="827">
        <f t="shared" si="54"/>
        <v>0</v>
      </c>
      <c r="EO39" s="827">
        <f t="shared" si="54"/>
        <v>0</v>
      </c>
      <c r="EP39" s="827">
        <f t="shared" ref="EP39:EQ39" si="55">EO38*IF($H$39&gt;$C$37,0,1)</f>
        <v>0</v>
      </c>
      <c r="EQ39" s="827">
        <f t="shared" si="55"/>
        <v>0</v>
      </c>
      <c r="ER39" s="194"/>
      <c r="ES39" s="421"/>
      <c r="ET39" s="67"/>
      <c r="EU39" s="195"/>
    </row>
    <row r="40" spans="2:151" s="65" customFormat="1" ht="15.75">
      <c r="B40" s="65" t="s">
        <v>324</v>
      </c>
      <c r="C40" s="833">
        <f>Assumptions!D28</f>
        <v>630</v>
      </c>
      <c r="D40" s="248"/>
      <c r="E40" s="248"/>
      <c r="F40" s="248"/>
      <c r="G40" s="482"/>
      <c r="H40" s="821">
        <v>3</v>
      </c>
      <c r="I40" s="822"/>
      <c r="J40" s="835">
        <f t="shared" si="52"/>
        <v>30</v>
      </c>
      <c r="K40" s="823"/>
      <c r="L40" s="824"/>
      <c r="M40" s="824"/>
      <c r="N40" s="825"/>
      <c r="O40" s="777"/>
      <c r="P40" s="829"/>
      <c r="Q40" s="829"/>
      <c r="R40" s="830">
        <f>Q39*IF($H$38&gt;$C$37,0,1)</f>
        <v>0</v>
      </c>
      <c r="S40" s="830">
        <f t="shared" ref="S40:CD40" si="56">R39*IF($H$38&gt;$C$37,0,1)</f>
        <v>1</v>
      </c>
      <c r="T40" s="830">
        <f t="shared" si="56"/>
        <v>4</v>
      </c>
      <c r="U40" s="830">
        <f t="shared" si="56"/>
        <v>5</v>
      </c>
      <c r="V40" s="830">
        <f t="shared" si="56"/>
        <v>0</v>
      </c>
      <c r="W40" s="830">
        <f t="shared" si="56"/>
        <v>0</v>
      </c>
      <c r="X40" s="830">
        <f t="shared" si="56"/>
        <v>0</v>
      </c>
      <c r="Y40" s="830">
        <f t="shared" si="56"/>
        <v>0</v>
      </c>
      <c r="Z40" s="830">
        <f t="shared" si="56"/>
        <v>0</v>
      </c>
      <c r="AA40" s="830">
        <f t="shared" si="56"/>
        <v>0</v>
      </c>
      <c r="AB40" s="830">
        <f t="shared" si="56"/>
        <v>0</v>
      </c>
      <c r="AC40" s="830">
        <f t="shared" si="56"/>
        <v>0</v>
      </c>
      <c r="AD40" s="830">
        <f t="shared" si="56"/>
        <v>5</v>
      </c>
      <c r="AE40" s="830">
        <f t="shared" si="56"/>
        <v>5</v>
      </c>
      <c r="AF40" s="830">
        <f t="shared" si="56"/>
        <v>0</v>
      </c>
      <c r="AG40" s="830">
        <f t="shared" si="56"/>
        <v>5</v>
      </c>
      <c r="AH40" s="830">
        <f t="shared" si="56"/>
        <v>0</v>
      </c>
      <c r="AI40" s="830">
        <f t="shared" si="56"/>
        <v>0</v>
      </c>
      <c r="AJ40" s="830">
        <f t="shared" si="56"/>
        <v>0</v>
      </c>
      <c r="AK40" s="830">
        <f t="shared" si="56"/>
        <v>0</v>
      </c>
      <c r="AL40" s="830">
        <f t="shared" si="56"/>
        <v>0</v>
      </c>
      <c r="AM40" s="830">
        <f t="shared" si="56"/>
        <v>0</v>
      </c>
      <c r="AN40" s="830">
        <f t="shared" si="56"/>
        <v>0</v>
      </c>
      <c r="AO40" s="830">
        <f t="shared" si="56"/>
        <v>0</v>
      </c>
      <c r="AP40" s="830">
        <f t="shared" si="56"/>
        <v>0</v>
      </c>
      <c r="AQ40" s="830">
        <f t="shared" si="56"/>
        <v>0</v>
      </c>
      <c r="AR40" s="830">
        <f t="shared" si="56"/>
        <v>0</v>
      </c>
      <c r="AS40" s="830">
        <f t="shared" si="56"/>
        <v>4</v>
      </c>
      <c r="AT40" s="830">
        <f t="shared" si="56"/>
        <v>0</v>
      </c>
      <c r="AU40" s="830">
        <f t="shared" si="56"/>
        <v>1</v>
      </c>
      <c r="AV40" s="830">
        <f t="shared" si="56"/>
        <v>0</v>
      </c>
      <c r="AW40" s="830">
        <f t="shared" si="56"/>
        <v>0</v>
      </c>
      <c r="AX40" s="830">
        <f t="shared" si="56"/>
        <v>0</v>
      </c>
      <c r="AY40" s="830">
        <f t="shared" si="56"/>
        <v>0</v>
      </c>
      <c r="AZ40" s="830">
        <f t="shared" si="56"/>
        <v>0</v>
      </c>
      <c r="BA40" s="830">
        <f t="shared" si="56"/>
        <v>0</v>
      </c>
      <c r="BB40" s="830">
        <f t="shared" si="56"/>
        <v>0</v>
      </c>
      <c r="BC40" s="830">
        <f t="shared" si="56"/>
        <v>0</v>
      </c>
      <c r="BD40" s="830">
        <f t="shared" si="56"/>
        <v>0</v>
      </c>
      <c r="BE40" s="830">
        <f t="shared" si="56"/>
        <v>0</v>
      </c>
      <c r="BF40" s="830">
        <f t="shared" si="56"/>
        <v>0</v>
      </c>
      <c r="BG40" s="830">
        <f t="shared" si="56"/>
        <v>0</v>
      </c>
      <c r="BH40" s="830">
        <f t="shared" si="56"/>
        <v>0</v>
      </c>
      <c r="BI40" s="830">
        <f t="shared" si="56"/>
        <v>0</v>
      </c>
      <c r="BJ40" s="830">
        <f t="shared" si="56"/>
        <v>0</v>
      </c>
      <c r="BK40" s="830">
        <f t="shared" si="56"/>
        <v>0</v>
      </c>
      <c r="BL40" s="830">
        <f t="shared" si="56"/>
        <v>0</v>
      </c>
      <c r="BM40" s="830">
        <f t="shared" si="56"/>
        <v>0</v>
      </c>
      <c r="BN40" s="830">
        <f t="shared" si="56"/>
        <v>0</v>
      </c>
      <c r="BO40" s="830">
        <f t="shared" si="56"/>
        <v>0</v>
      </c>
      <c r="BP40" s="830">
        <f t="shared" si="56"/>
        <v>0</v>
      </c>
      <c r="BQ40" s="830">
        <f t="shared" si="56"/>
        <v>0</v>
      </c>
      <c r="BR40" s="830">
        <f t="shared" si="56"/>
        <v>0</v>
      </c>
      <c r="BS40" s="830">
        <f t="shared" si="56"/>
        <v>0</v>
      </c>
      <c r="BT40" s="830">
        <f t="shared" si="56"/>
        <v>0</v>
      </c>
      <c r="BU40" s="830">
        <f t="shared" si="56"/>
        <v>0</v>
      </c>
      <c r="BV40" s="830">
        <f t="shared" si="56"/>
        <v>0</v>
      </c>
      <c r="BW40" s="830">
        <f t="shared" si="56"/>
        <v>0</v>
      </c>
      <c r="BX40" s="830">
        <f t="shared" si="56"/>
        <v>0</v>
      </c>
      <c r="BY40" s="830">
        <f t="shared" si="56"/>
        <v>0</v>
      </c>
      <c r="BZ40" s="830">
        <f t="shared" si="56"/>
        <v>0</v>
      </c>
      <c r="CA40" s="830">
        <f t="shared" si="56"/>
        <v>0</v>
      </c>
      <c r="CB40" s="830">
        <f t="shared" si="56"/>
        <v>0</v>
      </c>
      <c r="CC40" s="830">
        <f t="shared" si="56"/>
        <v>0</v>
      </c>
      <c r="CD40" s="830">
        <f t="shared" si="56"/>
        <v>0</v>
      </c>
      <c r="CE40" s="830">
        <f t="shared" ref="CE40:EP40" si="57">CD39*IF($H$38&gt;$C$37,0,1)</f>
        <v>0</v>
      </c>
      <c r="CF40" s="830">
        <f t="shared" si="57"/>
        <v>0</v>
      </c>
      <c r="CG40" s="830">
        <f t="shared" si="57"/>
        <v>0</v>
      </c>
      <c r="CH40" s="830">
        <f t="shared" si="57"/>
        <v>0</v>
      </c>
      <c r="CI40" s="830">
        <f t="shared" si="57"/>
        <v>0</v>
      </c>
      <c r="CJ40" s="830">
        <f t="shared" si="57"/>
        <v>0</v>
      </c>
      <c r="CK40" s="830">
        <f t="shared" si="57"/>
        <v>0</v>
      </c>
      <c r="CL40" s="830">
        <f t="shared" si="57"/>
        <v>0</v>
      </c>
      <c r="CM40" s="830">
        <f t="shared" si="57"/>
        <v>0</v>
      </c>
      <c r="CN40" s="830">
        <f t="shared" si="57"/>
        <v>0</v>
      </c>
      <c r="CO40" s="830">
        <f t="shared" si="57"/>
        <v>0</v>
      </c>
      <c r="CP40" s="830">
        <f t="shared" si="57"/>
        <v>0</v>
      </c>
      <c r="CQ40" s="830">
        <f t="shared" si="57"/>
        <v>0</v>
      </c>
      <c r="CR40" s="830">
        <f t="shared" si="57"/>
        <v>0</v>
      </c>
      <c r="CS40" s="830">
        <f t="shared" si="57"/>
        <v>0</v>
      </c>
      <c r="CT40" s="830">
        <f t="shared" si="57"/>
        <v>0</v>
      </c>
      <c r="CU40" s="830">
        <f t="shared" si="57"/>
        <v>0</v>
      </c>
      <c r="CV40" s="830">
        <f t="shared" si="57"/>
        <v>0</v>
      </c>
      <c r="CW40" s="830">
        <f t="shared" si="57"/>
        <v>0</v>
      </c>
      <c r="CX40" s="830">
        <f t="shared" si="57"/>
        <v>0</v>
      </c>
      <c r="CY40" s="830">
        <f t="shared" si="57"/>
        <v>0</v>
      </c>
      <c r="CZ40" s="830">
        <f t="shared" si="57"/>
        <v>0</v>
      </c>
      <c r="DA40" s="830">
        <f t="shared" si="57"/>
        <v>0</v>
      </c>
      <c r="DB40" s="830">
        <f t="shared" si="57"/>
        <v>0</v>
      </c>
      <c r="DC40" s="830">
        <f t="shared" si="57"/>
        <v>0</v>
      </c>
      <c r="DD40" s="830">
        <f t="shared" si="57"/>
        <v>0</v>
      </c>
      <c r="DE40" s="830">
        <f t="shared" si="57"/>
        <v>0</v>
      </c>
      <c r="DF40" s="830">
        <f t="shared" si="57"/>
        <v>0</v>
      </c>
      <c r="DG40" s="830">
        <f t="shared" si="57"/>
        <v>0</v>
      </c>
      <c r="DH40" s="830">
        <f t="shared" si="57"/>
        <v>0</v>
      </c>
      <c r="DI40" s="830">
        <f t="shared" si="57"/>
        <v>0</v>
      </c>
      <c r="DJ40" s="830">
        <f t="shared" si="57"/>
        <v>0</v>
      </c>
      <c r="DK40" s="830">
        <f t="shared" si="57"/>
        <v>0</v>
      </c>
      <c r="DL40" s="830">
        <f t="shared" si="57"/>
        <v>0</v>
      </c>
      <c r="DM40" s="830">
        <f t="shared" si="57"/>
        <v>0</v>
      </c>
      <c r="DN40" s="830">
        <f t="shared" si="57"/>
        <v>0</v>
      </c>
      <c r="DO40" s="830">
        <f t="shared" si="57"/>
        <v>0</v>
      </c>
      <c r="DP40" s="830">
        <f t="shared" si="57"/>
        <v>0</v>
      </c>
      <c r="DQ40" s="830">
        <f t="shared" si="57"/>
        <v>0</v>
      </c>
      <c r="DR40" s="830">
        <f t="shared" si="57"/>
        <v>0</v>
      </c>
      <c r="DS40" s="830">
        <f t="shared" si="57"/>
        <v>0</v>
      </c>
      <c r="DT40" s="830">
        <f t="shared" si="57"/>
        <v>0</v>
      </c>
      <c r="DU40" s="830">
        <f t="shared" si="57"/>
        <v>0</v>
      </c>
      <c r="DV40" s="830">
        <f t="shared" si="57"/>
        <v>0</v>
      </c>
      <c r="DW40" s="830">
        <f t="shared" si="57"/>
        <v>0</v>
      </c>
      <c r="DX40" s="830">
        <f t="shared" si="57"/>
        <v>0</v>
      </c>
      <c r="DY40" s="830">
        <f t="shared" si="57"/>
        <v>0</v>
      </c>
      <c r="DZ40" s="830">
        <f t="shared" si="57"/>
        <v>0</v>
      </c>
      <c r="EA40" s="830">
        <f t="shared" si="57"/>
        <v>0</v>
      </c>
      <c r="EB40" s="830">
        <f t="shared" si="57"/>
        <v>0</v>
      </c>
      <c r="EC40" s="830">
        <f t="shared" si="57"/>
        <v>0</v>
      </c>
      <c r="ED40" s="830">
        <f t="shared" si="57"/>
        <v>0</v>
      </c>
      <c r="EE40" s="830">
        <f t="shared" si="57"/>
        <v>0</v>
      </c>
      <c r="EF40" s="830">
        <f t="shared" si="57"/>
        <v>0</v>
      </c>
      <c r="EG40" s="830">
        <f t="shared" si="57"/>
        <v>0</v>
      </c>
      <c r="EH40" s="830">
        <f t="shared" si="57"/>
        <v>0</v>
      </c>
      <c r="EI40" s="830">
        <f t="shared" si="57"/>
        <v>0</v>
      </c>
      <c r="EJ40" s="830">
        <f t="shared" si="57"/>
        <v>0</v>
      </c>
      <c r="EK40" s="830">
        <f t="shared" si="57"/>
        <v>0</v>
      </c>
      <c r="EL40" s="830">
        <f t="shared" si="57"/>
        <v>0</v>
      </c>
      <c r="EM40" s="830">
        <f t="shared" si="57"/>
        <v>0</v>
      </c>
      <c r="EN40" s="830">
        <f t="shared" si="57"/>
        <v>0</v>
      </c>
      <c r="EO40" s="830">
        <f t="shared" si="57"/>
        <v>0</v>
      </c>
      <c r="EP40" s="830">
        <f t="shared" si="57"/>
        <v>0</v>
      </c>
      <c r="EQ40" s="830">
        <f t="shared" ref="EQ40" si="58">EP39*IF($H$38&gt;$C$37,0,1)</f>
        <v>0</v>
      </c>
      <c r="ER40" s="194"/>
      <c r="ES40" s="421"/>
      <c r="ET40" s="67"/>
      <c r="EU40" s="195"/>
    </row>
    <row r="41" spans="2:151" s="65" customFormat="1" ht="15.75">
      <c r="C41" s="248"/>
      <c r="D41" s="248"/>
      <c r="E41" s="248"/>
      <c r="F41" s="248"/>
      <c r="G41" s="482"/>
      <c r="H41" s="821">
        <v>4</v>
      </c>
      <c r="I41" s="822"/>
      <c r="J41" s="836">
        <f t="shared" si="52"/>
        <v>0</v>
      </c>
      <c r="K41" s="823"/>
      <c r="L41" s="824"/>
      <c r="M41" s="824"/>
      <c r="N41" s="825"/>
      <c r="O41" s="777"/>
      <c r="P41" s="831"/>
      <c r="Q41" s="831"/>
      <c r="R41" s="831"/>
      <c r="S41" s="832">
        <f>R40*IF($H$41&gt;$C$37,0,1)</f>
        <v>0</v>
      </c>
      <c r="T41" s="832">
        <f t="shared" ref="T41:CE41" si="59">S40*IF($H$41&gt;$C$37,0,1)</f>
        <v>0</v>
      </c>
      <c r="U41" s="832">
        <f t="shared" si="59"/>
        <v>0</v>
      </c>
      <c r="V41" s="832">
        <f t="shared" si="59"/>
        <v>0</v>
      </c>
      <c r="W41" s="832">
        <f t="shared" si="59"/>
        <v>0</v>
      </c>
      <c r="X41" s="832">
        <f t="shared" si="59"/>
        <v>0</v>
      </c>
      <c r="Y41" s="832">
        <f t="shared" si="59"/>
        <v>0</v>
      </c>
      <c r="Z41" s="832">
        <f t="shared" si="59"/>
        <v>0</v>
      </c>
      <c r="AA41" s="832">
        <f t="shared" si="59"/>
        <v>0</v>
      </c>
      <c r="AB41" s="832">
        <f t="shared" si="59"/>
        <v>0</v>
      </c>
      <c r="AC41" s="832">
        <f t="shared" si="59"/>
        <v>0</v>
      </c>
      <c r="AD41" s="832">
        <f t="shared" si="59"/>
        <v>0</v>
      </c>
      <c r="AE41" s="832">
        <f t="shared" si="59"/>
        <v>0</v>
      </c>
      <c r="AF41" s="832">
        <f t="shared" si="59"/>
        <v>0</v>
      </c>
      <c r="AG41" s="832">
        <f t="shared" si="59"/>
        <v>0</v>
      </c>
      <c r="AH41" s="832">
        <f t="shared" si="59"/>
        <v>0</v>
      </c>
      <c r="AI41" s="832">
        <f t="shared" si="59"/>
        <v>0</v>
      </c>
      <c r="AJ41" s="832">
        <f t="shared" si="59"/>
        <v>0</v>
      </c>
      <c r="AK41" s="832">
        <f t="shared" si="59"/>
        <v>0</v>
      </c>
      <c r="AL41" s="832">
        <f t="shared" si="59"/>
        <v>0</v>
      </c>
      <c r="AM41" s="832">
        <f t="shared" si="59"/>
        <v>0</v>
      </c>
      <c r="AN41" s="832">
        <f t="shared" si="59"/>
        <v>0</v>
      </c>
      <c r="AO41" s="832">
        <f t="shared" si="59"/>
        <v>0</v>
      </c>
      <c r="AP41" s="832">
        <f t="shared" si="59"/>
        <v>0</v>
      </c>
      <c r="AQ41" s="832">
        <f t="shared" si="59"/>
        <v>0</v>
      </c>
      <c r="AR41" s="832">
        <f t="shared" si="59"/>
        <v>0</v>
      </c>
      <c r="AS41" s="832">
        <f t="shared" si="59"/>
        <v>0</v>
      </c>
      <c r="AT41" s="832">
        <f t="shared" si="59"/>
        <v>0</v>
      </c>
      <c r="AU41" s="832">
        <f t="shared" si="59"/>
        <v>0</v>
      </c>
      <c r="AV41" s="832">
        <f t="shared" si="59"/>
        <v>0</v>
      </c>
      <c r="AW41" s="832">
        <f t="shared" si="59"/>
        <v>0</v>
      </c>
      <c r="AX41" s="832">
        <f t="shared" si="59"/>
        <v>0</v>
      </c>
      <c r="AY41" s="832">
        <f t="shared" si="59"/>
        <v>0</v>
      </c>
      <c r="AZ41" s="832">
        <f t="shared" si="59"/>
        <v>0</v>
      </c>
      <c r="BA41" s="832">
        <f t="shared" si="59"/>
        <v>0</v>
      </c>
      <c r="BB41" s="832">
        <f t="shared" si="59"/>
        <v>0</v>
      </c>
      <c r="BC41" s="832">
        <f t="shared" si="59"/>
        <v>0</v>
      </c>
      <c r="BD41" s="832">
        <f t="shared" si="59"/>
        <v>0</v>
      </c>
      <c r="BE41" s="832">
        <f t="shared" si="59"/>
        <v>0</v>
      </c>
      <c r="BF41" s="832">
        <f t="shared" si="59"/>
        <v>0</v>
      </c>
      <c r="BG41" s="832">
        <f t="shared" si="59"/>
        <v>0</v>
      </c>
      <c r="BH41" s="832">
        <f t="shared" si="59"/>
        <v>0</v>
      </c>
      <c r="BI41" s="832">
        <f t="shared" si="59"/>
        <v>0</v>
      </c>
      <c r="BJ41" s="832">
        <f t="shared" si="59"/>
        <v>0</v>
      </c>
      <c r="BK41" s="832">
        <f t="shared" si="59"/>
        <v>0</v>
      </c>
      <c r="BL41" s="832">
        <f t="shared" si="59"/>
        <v>0</v>
      </c>
      <c r="BM41" s="832">
        <f t="shared" si="59"/>
        <v>0</v>
      </c>
      <c r="BN41" s="832">
        <f t="shared" si="59"/>
        <v>0</v>
      </c>
      <c r="BO41" s="832">
        <f t="shared" si="59"/>
        <v>0</v>
      </c>
      <c r="BP41" s="832">
        <f t="shared" si="59"/>
        <v>0</v>
      </c>
      <c r="BQ41" s="832">
        <f t="shared" si="59"/>
        <v>0</v>
      </c>
      <c r="BR41" s="832">
        <f t="shared" si="59"/>
        <v>0</v>
      </c>
      <c r="BS41" s="832">
        <f t="shared" si="59"/>
        <v>0</v>
      </c>
      <c r="BT41" s="832">
        <f t="shared" si="59"/>
        <v>0</v>
      </c>
      <c r="BU41" s="832">
        <f t="shared" si="59"/>
        <v>0</v>
      </c>
      <c r="BV41" s="832">
        <f t="shared" si="59"/>
        <v>0</v>
      </c>
      <c r="BW41" s="832">
        <f t="shared" si="59"/>
        <v>0</v>
      </c>
      <c r="BX41" s="832">
        <f t="shared" si="59"/>
        <v>0</v>
      </c>
      <c r="BY41" s="832">
        <f t="shared" si="59"/>
        <v>0</v>
      </c>
      <c r="BZ41" s="832">
        <f t="shared" si="59"/>
        <v>0</v>
      </c>
      <c r="CA41" s="832">
        <f t="shared" si="59"/>
        <v>0</v>
      </c>
      <c r="CB41" s="832">
        <f t="shared" si="59"/>
        <v>0</v>
      </c>
      <c r="CC41" s="832">
        <f t="shared" si="59"/>
        <v>0</v>
      </c>
      <c r="CD41" s="832">
        <f t="shared" si="59"/>
        <v>0</v>
      </c>
      <c r="CE41" s="832">
        <f t="shared" si="59"/>
        <v>0</v>
      </c>
      <c r="CF41" s="832">
        <f t="shared" ref="CF41:EQ41" si="60">CE40*IF($H$41&gt;$C$37,0,1)</f>
        <v>0</v>
      </c>
      <c r="CG41" s="832">
        <f t="shared" si="60"/>
        <v>0</v>
      </c>
      <c r="CH41" s="832">
        <f t="shared" si="60"/>
        <v>0</v>
      </c>
      <c r="CI41" s="832">
        <f t="shared" si="60"/>
        <v>0</v>
      </c>
      <c r="CJ41" s="832">
        <f t="shared" si="60"/>
        <v>0</v>
      </c>
      <c r="CK41" s="832">
        <f t="shared" si="60"/>
        <v>0</v>
      </c>
      <c r="CL41" s="832">
        <f t="shared" si="60"/>
        <v>0</v>
      </c>
      <c r="CM41" s="832">
        <f t="shared" si="60"/>
        <v>0</v>
      </c>
      <c r="CN41" s="832">
        <f t="shared" si="60"/>
        <v>0</v>
      </c>
      <c r="CO41" s="832">
        <f t="shared" si="60"/>
        <v>0</v>
      </c>
      <c r="CP41" s="832">
        <f t="shared" si="60"/>
        <v>0</v>
      </c>
      <c r="CQ41" s="832">
        <f t="shared" si="60"/>
        <v>0</v>
      </c>
      <c r="CR41" s="832">
        <f t="shared" si="60"/>
        <v>0</v>
      </c>
      <c r="CS41" s="832">
        <f t="shared" si="60"/>
        <v>0</v>
      </c>
      <c r="CT41" s="832">
        <f t="shared" si="60"/>
        <v>0</v>
      </c>
      <c r="CU41" s="832">
        <f t="shared" si="60"/>
        <v>0</v>
      </c>
      <c r="CV41" s="832">
        <f t="shared" si="60"/>
        <v>0</v>
      </c>
      <c r="CW41" s="832">
        <f t="shared" si="60"/>
        <v>0</v>
      </c>
      <c r="CX41" s="832">
        <f t="shared" si="60"/>
        <v>0</v>
      </c>
      <c r="CY41" s="832">
        <f t="shared" si="60"/>
        <v>0</v>
      </c>
      <c r="CZ41" s="832">
        <f t="shared" si="60"/>
        <v>0</v>
      </c>
      <c r="DA41" s="832">
        <f t="shared" si="60"/>
        <v>0</v>
      </c>
      <c r="DB41" s="832">
        <f t="shared" si="60"/>
        <v>0</v>
      </c>
      <c r="DC41" s="832">
        <f t="shared" si="60"/>
        <v>0</v>
      </c>
      <c r="DD41" s="832">
        <f t="shared" si="60"/>
        <v>0</v>
      </c>
      <c r="DE41" s="832">
        <f t="shared" si="60"/>
        <v>0</v>
      </c>
      <c r="DF41" s="832">
        <f t="shared" si="60"/>
        <v>0</v>
      </c>
      <c r="DG41" s="832">
        <f t="shared" si="60"/>
        <v>0</v>
      </c>
      <c r="DH41" s="832">
        <f t="shared" si="60"/>
        <v>0</v>
      </c>
      <c r="DI41" s="832">
        <f t="shared" si="60"/>
        <v>0</v>
      </c>
      <c r="DJ41" s="832">
        <f t="shared" si="60"/>
        <v>0</v>
      </c>
      <c r="DK41" s="832">
        <f t="shared" si="60"/>
        <v>0</v>
      </c>
      <c r="DL41" s="832">
        <f t="shared" si="60"/>
        <v>0</v>
      </c>
      <c r="DM41" s="832">
        <f t="shared" si="60"/>
        <v>0</v>
      </c>
      <c r="DN41" s="832">
        <f t="shared" si="60"/>
        <v>0</v>
      </c>
      <c r="DO41" s="832">
        <f t="shared" si="60"/>
        <v>0</v>
      </c>
      <c r="DP41" s="832">
        <f t="shared" si="60"/>
        <v>0</v>
      </c>
      <c r="DQ41" s="832">
        <f t="shared" si="60"/>
        <v>0</v>
      </c>
      <c r="DR41" s="832">
        <f t="shared" si="60"/>
        <v>0</v>
      </c>
      <c r="DS41" s="832">
        <f t="shared" si="60"/>
        <v>0</v>
      </c>
      <c r="DT41" s="832">
        <f t="shared" si="60"/>
        <v>0</v>
      </c>
      <c r="DU41" s="832">
        <f t="shared" si="60"/>
        <v>0</v>
      </c>
      <c r="DV41" s="832">
        <f t="shared" si="60"/>
        <v>0</v>
      </c>
      <c r="DW41" s="832">
        <f t="shared" si="60"/>
        <v>0</v>
      </c>
      <c r="DX41" s="832">
        <f t="shared" si="60"/>
        <v>0</v>
      </c>
      <c r="DY41" s="832">
        <f t="shared" si="60"/>
        <v>0</v>
      </c>
      <c r="DZ41" s="832">
        <f t="shared" si="60"/>
        <v>0</v>
      </c>
      <c r="EA41" s="832">
        <f t="shared" si="60"/>
        <v>0</v>
      </c>
      <c r="EB41" s="832">
        <f t="shared" si="60"/>
        <v>0</v>
      </c>
      <c r="EC41" s="832">
        <f t="shared" si="60"/>
        <v>0</v>
      </c>
      <c r="ED41" s="832">
        <f t="shared" si="60"/>
        <v>0</v>
      </c>
      <c r="EE41" s="832">
        <f t="shared" si="60"/>
        <v>0</v>
      </c>
      <c r="EF41" s="832">
        <f t="shared" si="60"/>
        <v>0</v>
      </c>
      <c r="EG41" s="832">
        <f t="shared" si="60"/>
        <v>0</v>
      </c>
      <c r="EH41" s="832">
        <f t="shared" si="60"/>
        <v>0</v>
      </c>
      <c r="EI41" s="832">
        <f t="shared" si="60"/>
        <v>0</v>
      </c>
      <c r="EJ41" s="832">
        <f t="shared" si="60"/>
        <v>0</v>
      </c>
      <c r="EK41" s="832">
        <f t="shared" si="60"/>
        <v>0</v>
      </c>
      <c r="EL41" s="832">
        <f t="shared" si="60"/>
        <v>0</v>
      </c>
      <c r="EM41" s="832">
        <f t="shared" si="60"/>
        <v>0</v>
      </c>
      <c r="EN41" s="832">
        <f t="shared" si="60"/>
        <v>0</v>
      </c>
      <c r="EO41" s="832">
        <f t="shared" si="60"/>
        <v>0</v>
      </c>
      <c r="EP41" s="832">
        <f t="shared" si="60"/>
        <v>0</v>
      </c>
      <c r="EQ41" s="832">
        <f t="shared" si="60"/>
        <v>0</v>
      </c>
      <c r="ER41" s="194"/>
      <c r="ES41" s="421"/>
      <c r="ET41" s="67"/>
      <c r="EU41" s="195"/>
    </row>
    <row r="42" spans="2:151" s="65" customFormat="1" ht="15.75">
      <c r="C42" s="248"/>
      <c r="D42" s="248"/>
      <c r="E42" s="248"/>
      <c r="F42" s="248"/>
      <c r="G42" s="482"/>
      <c r="H42" s="826" t="s">
        <v>323</v>
      </c>
      <c r="I42" s="822"/>
      <c r="J42" s="835">
        <f t="shared" si="52"/>
        <v>90</v>
      </c>
      <c r="K42" s="823"/>
      <c r="L42" s="824"/>
      <c r="M42" s="824"/>
      <c r="N42" s="825"/>
      <c r="O42" s="777"/>
      <c r="P42" s="795">
        <f>SUM(P38:P41)</f>
        <v>0</v>
      </c>
      <c r="Q42" s="795">
        <f t="shared" ref="Q42:Y42" si="61">SUM(Q38:Q41)</f>
        <v>1</v>
      </c>
      <c r="R42" s="795">
        <f t="shared" si="61"/>
        <v>5</v>
      </c>
      <c r="S42" s="795">
        <f t="shared" si="61"/>
        <v>10</v>
      </c>
      <c r="T42" s="795">
        <f t="shared" si="61"/>
        <v>9</v>
      </c>
      <c r="U42" s="795">
        <f t="shared" si="61"/>
        <v>5</v>
      </c>
      <c r="V42" s="795">
        <f t="shared" si="61"/>
        <v>0</v>
      </c>
      <c r="W42" s="795">
        <f t="shared" si="61"/>
        <v>0</v>
      </c>
      <c r="X42" s="795">
        <f t="shared" si="61"/>
        <v>0</v>
      </c>
      <c r="Y42" s="795">
        <f t="shared" si="61"/>
        <v>0</v>
      </c>
      <c r="Z42" s="795">
        <f t="shared" ref="Z42" si="62">SUM(Z38:Z41)</f>
        <v>0</v>
      </c>
      <c r="AA42" s="795">
        <f t="shared" ref="AA42" si="63">SUM(AA38:AA41)</f>
        <v>0</v>
      </c>
      <c r="AB42" s="795">
        <f t="shared" ref="AB42" si="64">SUM(AB38:AB41)</f>
        <v>5</v>
      </c>
      <c r="AC42" s="795">
        <f t="shared" ref="AC42" si="65">SUM(AC38:AC41)</f>
        <v>10</v>
      </c>
      <c r="AD42" s="795">
        <f t="shared" ref="AD42" si="66">SUM(AD38:AD41)</f>
        <v>10</v>
      </c>
      <c r="AE42" s="795">
        <f t="shared" ref="AE42" si="67">SUM(AE38:AE41)</f>
        <v>10</v>
      </c>
      <c r="AF42" s="795">
        <f t="shared" ref="AF42" si="68">SUM(AF38:AF41)</f>
        <v>5</v>
      </c>
      <c r="AG42" s="795">
        <f t="shared" ref="AG42" si="69">SUM(AG38:AG41)</f>
        <v>5</v>
      </c>
      <c r="AH42" s="795">
        <f t="shared" ref="AH42" si="70">SUM(AH38:AH41)</f>
        <v>0</v>
      </c>
      <c r="AI42" s="795">
        <f t="shared" ref="AI42" si="71">SUM(AI38:AI41)</f>
        <v>0</v>
      </c>
      <c r="AJ42" s="795">
        <f t="shared" ref="AJ42" si="72">SUM(AJ38:AJ41)</f>
        <v>0</v>
      </c>
      <c r="AK42" s="795">
        <f t="shared" ref="AK42" si="73">SUM(AK38:AK41)</f>
        <v>0</v>
      </c>
      <c r="AL42" s="795">
        <f t="shared" ref="AL42" si="74">SUM(AL38:AL41)</f>
        <v>0</v>
      </c>
      <c r="AM42" s="795">
        <f t="shared" ref="AM42" si="75">SUM(AM38:AM41)</f>
        <v>0</v>
      </c>
      <c r="AN42" s="795">
        <f t="shared" ref="AN42" si="76">SUM(AN38:AN41)</f>
        <v>0</v>
      </c>
      <c r="AO42" s="795">
        <f t="shared" ref="AO42" si="77">SUM(AO38:AO41)</f>
        <v>0</v>
      </c>
      <c r="AP42" s="795">
        <f t="shared" ref="AP42" si="78">SUM(AP38:AP41)</f>
        <v>0</v>
      </c>
      <c r="AQ42" s="795">
        <f t="shared" ref="AQ42" si="79">SUM(AQ38:AQ41)</f>
        <v>4</v>
      </c>
      <c r="AR42" s="795">
        <f t="shared" ref="AR42" si="80">SUM(AR38:AR41)</f>
        <v>4</v>
      </c>
      <c r="AS42" s="795">
        <f t="shared" ref="AS42" si="81">SUM(AS38:AS41)</f>
        <v>5</v>
      </c>
      <c r="AT42" s="795">
        <f t="shared" ref="AT42" si="82">SUM(AT38:AT41)</f>
        <v>1</v>
      </c>
      <c r="AU42" s="795">
        <f t="shared" ref="AU42" si="83">SUM(AU38:AU41)</f>
        <v>1</v>
      </c>
      <c r="AV42" s="795">
        <f t="shared" ref="AV42" si="84">SUM(AV38:AV41)</f>
        <v>0</v>
      </c>
      <c r="AW42" s="795">
        <f t="shared" ref="AW42" si="85">SUM(AW38:AW41)</f>
        <v>0</v>
      </c>
      <c r="AX42" s="795">
        <f t="shared" ref="AX42" si="86">SUM(AX38:AX41)</f>
        <v>0</v>
      </c>
      <c r="AY42" s="795">
        <f t="shared" ref="AY42" si="87">SUM(AY38:AY41)</f>
        <v>0</v>
      </c>
      <c r="AZ42" s="795">
        <f t="shared" ref="AZ42" si="88">SUM(AZ38:AZ41)</f>
        <v>0</v>
      </c>
      <c r="BA42" s="795">
        <f t="shared" ref="BA42" si="89">SUM(BA38:BA41)</f>
        <v>0</v>
      </c>
      <c r="BB42" s="795">
        <f t="shared" ref="BB42" si="90">SUM(BB38:BB41)</f>
        <v>0</v>
      </c>
      <c r="BC42" s="795">
        <f t="shared" ref="BC42" si="91">SUM(BC38:BC41)</f>
        <v>0</v>
      </c>
      <c r="BD42" s="795">
        <f t="shared" ref="BD42" si="92">SUM(BD38:BD41)</f>
        <v>0</v>
      </c>
      <c r="BE42" s="795">
        <f t="shared" ref="BE42" si="93">SUM(BE38:BE41)</f>
        <v>0</v>
      </c>
      <c r="BF42" s="795">
        <f t="shared" ref="BF42" si="94">SUM(BF38:BF41)</f>
        <v>0</v>
      </c>
      <c r="BG42" s="795">
        <f t="shared" ref="BG42" si="95">SUM(BG38:BG41)</f>
        <v>0</v>
      </c>
      <c r="BH42" s="795">
        <f t="shared" ref="BH42" si="96">SUM(BH38:BH41)</f>
        <v>0</v>
      </c>
      <c r="BI42" s="795">
        <f t="shared" ref="BI42" si="97">SUM(BI38:BI41)</f>
        <v>0</v>
      </c>
      <c r="BJ42" s="795">
        <f t="shared" ref="BJ42" si="98">SUM(BJ38:BJ41)</f>
        <v>0</v>
      </c>
      <c r="BK42" s="795">
        <f t="shared" ref="BK42" si="99">SUM(BK38:BK41)</f>
        <v>0</v>
      </c>
      <c r="BL42" s="795">
        <f t="shared" ref="BL42" si="100">SUM(BL38:BL41)</f>
        <v>0</v>
      </c>
      <c r="BM42" s="795">
        <f t="shared" ref="BM42" si="101">SUM(BM38:BM41)</f>
        <v>0</v>
      </c>
      <c r="BN42" s="795">
        <f t="shared" ref="BN42" si="102">SUM(BN38:BN41)</f>
        <v>0</v>
      </c>
      <c r="BO42" s="795">
        <f t="shared" ref="BO42" si="103">SUM(BO38:BO41)</f>
        <v>0</v>
      </c>
      <c r="BP42" s="795">
        <f t="shared" ref="BP42" si="104">SUM(BP38:BP41)</f>
        <v>0</v>
      </c>
      <c r="BQ42" s="795">
        <f t="shared" ref="BQ42" si="105">SUM(BQ38:BQ41)</f>
        <v>0</v>
      </c>
      <c r="BR42" s="795">
        <f t="shared" ref="BR42" si="106">SUM(BR38:BR41)</f>
        <v>0</v>
      </c>
      <c r="BS42" s="795">
        <f t="shared" ref="BS42" si="107">SUM(BS38:BS41)</f>
        <v>0</v>
      </c>
      <c r="BT42" s="795">
        <f t="shared" ref="BT42" si="108">SUM(BT38:BT41)</f>
        <v>0</v>
      </c>
      <c r="BU42" s="795">
        <f t="shared" ref="BU42" si="109">SUM(BU38:BU41)</f>
        <v>0</v>
      </c>
      <c r="BV42" s="795">
        <f t="shared" ref="BV42" si="110">SUM(BV38:BV41)</f>
        <v>0</v>
      </c>
      <c r="BW42" s="795">
        <f t="shared" ref="BW42" si="111">SUM(BW38:BW41)</f>
        <v>0</v>
      </c>
      <c r="BX42" s="795">
        <f t="shared" ref="BX42" si="112">SUM(BX38:BX41)</f>
        <v>0</v>
      </c>
      <c r="BY42" s="795">
        <f t="shared" ref="BY42" si="113">SUM(BY38:BY41)</f>
        <v>0</v>
      </c>
      <c r="BZ42" s="795">
        <f t="shared" ref="BZ42" si="114">SUM(BZ38:BZ41)</f>
        <v>0</v>
      </c>
      <c r="CA42" s="795">
        <f t="shared" ref="CA42" si="115">SUM(CA38:CA41)</f>
        <v>0</v>
      </c>
      <c r="CB42" s="795">
        <f t="shared" ref="CB42" si="116">SUM(CB38:CB41)</f>
        <v>0</v>
      </c>
      <c r="CC42" s="795">
        <f t="shared" ref="CC42" si="117">SUM(CC38:CC41)</f>
        <v>0</v>
      </c>
      <c r="CD42" s="795">
        <f t="shared" ref="CD42" si="118">SUM(CD38:CD41)</f>
        <v>0</v>
      </c>
      <c r="CE42" s="795">
        <f t="shared" ref="CE42" si="119">SUM(CE38:CE41)</f>
        <v>0</v>
      </c>
      <c r="CF42" s="795">
        <f t="shared" ref="CF42" si="120">SUM(CF38:CF41)</f>
        <v>0</v>
      </c>
      <c r="CG42" s="795">
        <f t="shared" ref="CG42" si="121">SUM(CG38:CG41)</f>
        <v>0</v>
      </c>
      <c r="CH42" s="795">
        <f t="shared" ref="CH42" si="122">SUM(CH38:CH41)</f>
        <v>0</v>
      </c>
      <c r="CI42" s="795">
        <f t="shared" ref="CI42" si="123">SUM(CI38:CI41)</f>
        <v>0</v>
      </c>
      <c r="CJ42" s="795">
        <f t="shared" ref="CJ42" si="124">SUM(CJ38:CJ41)</f>
        <v>0</v>
      </c>
      <c r="CK42" s="795">
        <f t="shared" ref="CK42" si="125">SUM(CK38:CK41)</f>
        <v>0</v>
      </c>
      <c r="CL42" s="795">
        <f t="shared" ref="CL42" si="126">SUM(CL38:CL41)</f>
        <v>0</v>
      </c>
      <c r="CM42" s="795">
        <f t="shared" ref="CM42" si="127">SUM(CM38:CM41)</f>
        <v>0</v>
      </c>
      <c r="CN42" s="795">
        <f t="shared" ref="CN42" si="128">SUM(CN38:CN41)</f>
        <v>0</v>
      </c>
      <c r="CO42" s="795">
        <f t="shared" ref="CO42" si="129">SUM(CO38:CO41)</f>
        <v>0</v>
      </c>
      <c r="CP42" s="795">
        <f t="shared" ref="CP42" si="130">SUM(CP38:CP41)</f>
        <v>0</v>
      </c>
      <c r="CQ42" s="795">
        <f t="shared" ref="CQ42" si="131">SUM(CQ38:CQ41)</f>
        <v>0</v>
      </c>
      <c r="CR42" s="795">
        <f t="shared" ref="CR42" si="132">SUM(CR38:CR41)</f>
        <v>0</v>
      </c>
      <c r="CS42" s="795">
        <f t="shared" ref="CS42" si="133">SUM(CS38:CS41)</f>
        <v>0</v>
      </c>
      <c r="CT42" s="795">
        <f t="shared" ref="CT42" si="134">SUM(CT38:CT41)</f>
        <v>0</v>
      </c>
      <c r="CU42" s="795">
        <f t="shared" ref="CU42" si="135">SUM(CU38:CU41)</f>
        <v>0</v>
      </c>
      <c r="CV42" s="795">
        <f t="shared" ref="CV42" si="136">SUM(CV38:CV41)</f>
        <v>0</v>
      </c>
      <c r="CW42" s="795">
        <f t="shared" ref="CW42" si="137">SUM(CW38:CW41)</f>
        <v>0</v>
      </c>
      <c r="CX42" s="795">
        <f t="shared" ref="CX42" si="138">SUM(CX38:CX41)</f>
        <v>0</v>
      </c>
      <c r="CY42" s="795">
        <f t="shared" ref="CY42" si="139">SUM(CY38:CY41)</f>
        <v>0</v>
      </c>
      <c r="CZ42" s="795">
        <f t="shared" ref="CZ42" si="140">SUM(CZ38:CZ41)</f>
        <v>0</v>
      </c>
      <c r="DA42" s="795">
        <f t="shared" ref="DA42" si="141">SUM(DA38:DA41)</f>
        <v>0</v>
      </c>
      <c r="DB42" s="795">
        <f t="shared" ref="DB42" si="142">SUM(DB38:DB41)</f>
        <v>0</v>
      </c>
      <c r="DC42" s="795">
        <f t="shared" ref="DC42" si="143">SUM(DC38:DC41)</f>
        <v>0</v>
      </c>
      <c r="DD42" s="795">
        <f t="shared" ref="DD42" si="144">SUM(DD38:DD41)</f>
        <v>0</v>
      </c>
      <c r="DE42" s="795">
        <f t="shared" ref="DE42" si="145">SUM(DE38:DE41)</f>
        <v>0</v>
      </c>
      <c r="DF42" s="795">
        <f t="shared" ref="DF42" si="146">SUM(DF38:DF41)</f>
        <v>0</v>
      </c>
      <c r="DG42" s="795">
        <f t="shared" ref="DG42" si="147">SUM(DG38:DG41)</f>
        <v>0</v>
      </c>
      <c r="DH42" s="795">
        <f t="shared" ref="DH42" si="148">SUM(DH38:DH41)</f>
        <v>0</v>
      </c>
      <c r="DI42" s="795">
        <f t="shared" ref="DI42" si="149">SUM(DI38:DI41)</f>
        <v>0</v>
      </c>
      <c r="DJ42" s="795">
        <f t="shared" ref="DJ42" si="150">SUM(DJ38:DJ41)</f>
        <v>0</v>
      </c>
      <c r="DK42" s="795">
        <f t="shared" ref="DK42" si="151">SUM(DK38:DK41)</f>
        <v>0</v>
      </c>
      <c r="DL42" s="795">
        <f t="shared" ref="DL42" si="152">SUM(DL38:DL41)</f>
        <v>0</v>
      </c>
      <c r="DM42" s="795">
        <f t="shared" ref="DM42" si="153">SUM(DM38:DM41)</f>
        <v>0</v>
      </c>
      <c r="DN42" s="795">
        <f t="shared" ref="DN42" si="154">SUM(DN38:DN41)</f>
        <v>0</v>
      </c>
      <c r="DO42" s="795">
        <f t="shared" ref="DO42" si="155">SUM(DO38:DO41)</f>
        <v>0</v>
      </c>
      <c r="DP42" s="795">
        <f t="shared" ref="DP42" si="156">SUM(DP38:DP41)</f>
        <v>0</v>
      </c>
      <c r="DQ42" s="795">
        <f t="shared" ref="DQ42" si="157">SUM(DQ38:DQ41)</f>
        <v>0</v>
      </c>
      <c r="DR42" s="795">
        <f t="shared" ref="DR42" si="158">SUM(DR38:DR41)</f>
        <v>0</v>
      </c>
      <c r="DS42" s="795">
        <f t="shared" ref="DS42" si="159">SUM(DS38:DS41)</f>
        <v>0</v>
      </c>
      <c r="DT42" s="795">
        <f t="shared" ref="DT42" si="160">SUM(DT38:DT41)</f>
        <v>0</v>
      </c>
      <c r="DU42" s="795">
        <f t="shared" ref="DU42" si="161">SUM(DU38:DU41)</f>
        <v>0</v>
      </c>
      <c r="DV42" s="795">
        <f t="shared" ref="DV42" si="162">SUM(DV38:DV41)</f>
        <v>0</v>
      </c>
      <c r="DW42" s="795">
        <f t="shared" ref="DW42" si="163">SUM(DW38:DW41)</f>
        <v>0</v>
      </c>
      <c r="DX42" s="795">
        <f t="shared" ref="DX42" si="164">SUM(DX38:DX41)</f>
        <v>0</v>
      </c>
      <c r="DY42" s="795">
        <f t="shared" ref="DY42" si="165">SUM(DY38:DY41)</f>
        <v>0</v>
      </c>
      <c r="DZ42" s="795">
        <f t="shared" ref="DZ42" si="166">SUM(DZ38:DZ41)</f>
        <v>0</v>
      </c>
      <c r="EA42" s="795">
        <f t="shared" ref="EA42" si="167">SUM(EA38:EA41)</f>
        <v>0</v>
      </c>
      <c r="EB42" s="795">
        <f t="shared" ref="EB42" si="168">SUM(EB38:EB41)</f>
        <v>0</v>
      </c>
      <c r="EC42" s="795">
        <f t="shared" ref="EC42" si="169">SUM(EC38:EC41)</f>
        <v>0</v>
      </c>
      <c r="ED42" s="795">
        <f t="shared" ref="ED42" si="170">SUM(ED38:ED41)</f>
        <v>0</v>
      </c>
      <c r="EE42" s="795">
        <f t="shared" ref="EE42" si="171">SUM(EE38:EE41)</f>
        <v>0</v>
      </c>
      <c r="EF42" s="795">
        <f t="shared" ref="EF42" si="172">SUM(EF38:EF41)</f>
        <v>0</v>
      </c>
      <c r="EG42" s="795">
        <f t="shared" ref="EG42" si="173">SUM(EG38:EG41)</f>
        <v>0</v>
      </c>
      <c r="EH42" s="795">
        <f t="shared" ref="EH42" si="174">SUM(EH38:EH41)</f>
        <v>0</v>
      </c>
      <c r="EI42" s="795">
        <f t="shared" ref="EI42" si="175">SUM(EI38:EI41)</f>
        <v>0</v>
      </c>
      <c r="EJ42" s="795">
        <f t="shared" ref="EJ42" si="176">SUM(EJ38:EJ41)</f>
        <v>0</v>
      </c>
      <c r="EK42" s="795">
        <f t="shared" ref="EK42" si="177">SUM(EK38:EK41)</f>
        <v>0</v>
      </c>
      <c r="EL42" s="795">
        <f t="shared" ref="EL42" si="178">SUM(EL38:EL41)</f>
        <v>0</v>
      </c>
      <c r="EM42" s="795">
        <f t="shared" ref="EM42" si="179">SUM(EM38:EM41)</f>
        <v>0</v>
      </c>
      <c r="EN42" s="795">
        <f t="shared" ref="EN42" si="180">SUM(EN38:EN41)</f>
        <v>0</v>
      </c>
      <c r="EO42" s="795">
        <f t="shared" ref="EO42" si="181">SUM(EO38:EO41)</f>
        <v>0</v>
      </c>
      <c r="EP42" s="795">
        <f t="shared" ref="EP42" si="182">SUM(EP38:EP41)</f>
        <v>0</v>
      </c>
      <c r="EQ42" s="795">
        <f t="shared" ref="EQ42" si="183">SUM(EQ38:EQ41)</f>
        <v>0</v>
      </c>
      <c r="ER42" s="194"/>
      <c r="ES42" s="421"/>
      <c r="ET42" s="67"/>
      <c r="EU42" s="195"/>
    </row>
    <row r="43" spans="2:151" s="65" customFormat="1" ht="15.75">
      <c r="D43" s="248"/>
      <c r="E43" s="248"/>
      <c r="F43" s="248"/>
      <c r="G43" s="482"/>
      <c r="H43" s="482" t="s">
        <v>56</v>
      </c>
      <c r="I43" s="184"/>
      <c r="J43" s="491"/>
      <c r="K43" s="192"/>
      <c r="L43" s="193"/>
      <c r="M43" s="193"/>
      <c r="N43" s="216">
        <f>'Annual Cash Flow'!C17</f>
        <v>0</v>
      </c>
      <c r="O43" s="777"/>
      <c r="P43" s="140">
        <f ca="1">IF(P10=1,0,1)*IF(N87=0,0,1)*IF(P11=1,(SUM($O$36:OFFSET(O36,0,-$C$37+1))*Assumptions!$P$8),(SUM($O$36:OFFSET(O36,0,-$C$37+1))*Assumptions!$P$8)*(1+P33))</f>
        <v>0</v>
      </c>
      <c r="Q43" s="140">
        <f ca="1">IF(Q10=1,0,1)*IF(O87=0,0,1)*IF(Q11=1,(SUM($O$36:OFFSET(P36,0,-$C$37+1))*Assumptions!$P$8),(SUM($O$36:OFFSET(P36,0,-$C$37+1))*Assumptions!$P$8)*(1+Q33))</f>
        <v>0</v>
      </c>
      <c r="R43" s="140">
        <f ca="1">IF(R10=1,0,1)*IF(P87=0,0,1)*IF(R11=1,(SUM($O$36:OFFSET(Q36,0,-$C$37+1))*Assumptions!$P$8),(SUM($O$36:OFFSET(Q36,0,-$C$37+1))*Assumptions!$P$8)*(1+R33))</f>
        <v>0</v>
      </c>
      <c r="S43" s="140">
        <f ca="1">IF(S10=1,0,1)*IF(Q87=0,0,1)*IF(S11=1,(SUM($O$36:OFFSET(R36,0,-$C$37+1))*Assumptions!$P$8),(SUM($O$36:OFFSET(R36,0,-$C$37+1))*Assumptions!$P$8)*(1+S33))</f>
        <v>0</v>
      </c>
      <c r="T43" s="140">
        <f ca="1">IF(T10=1,0,1)*IF(R87=0,0,1)*IF(T11=1,(SUM($O$36:OFFSET(S36,0,-$C$37+1))*Assumptions!$P$8),(SUM($O$36:OFFSET(S36,0,-$C$37+1))*Assumptions!$P$8)*(1+T33))</f>
        <v>100</v>
      </c>
      <c r="U43" s="140">
        <f ca="1">IF(U10=1,0,1)*IF(S87=0,0,1)*IF(U11=1,(SUM($O$36:OFFSET(T36,0,-$C$37+1))*Assumptions!$P$8),(SUM($O$36:OFFSET(T36,0,-$C$37+1))*Assumptions!$P$8)*(1+U33))</f>
        <v>500</v>
      </c>
      <c r="V43" s="140">
        <f ca="1">IF(V10=1,0,1)*IF(T87=0,0,1)*IF(V11=1,(SUM($O$36:OFFSET(U36,0,-$C$37+1))*Assumptions!$P$8),(SUM($O$36:OFFSET(U36,0,-$C$37+1))*Assumptions!$P$8)*(1+V33))</f>
        <v>1000</v>
      </c>
      <c r="W43" s="140">
        <f ca="1">IF(W10=1,0,1)*IF(U87=0,0,1)*IF(W11=1,(SUM($O$36:OFFSET(V36,0,-$C$37+1))*Assumptions!$P$8),(SUM($O$36:OFFSET(V36,0,-$C$37+1))*Assumptions!$P$8)*(1+W33))</f>
        <v>1000</v>
      </c>
      <c r="X43" s="140">
        <f ca="1">IF(X10=1,0,1)*IF(V87=0,0,1)*IF(X11=1,(SUM($O$36:OFFSET(W36,0,-$C$37+1))*Assumptions!$P$8),(SUM($O$36:OFFSET(W36,0,-$C$37+1))*Assumptions!$P$8)*(1+X33))</f>
        <v>1000</v>
      </c>
      <c r="Y43" s="140">
        <f ca="1">IF(Y10=1,0,1)*IF(W87=0,0,1)*IF(Y11=1,(SUM($O$36:OFFSET(X36,0,-$C$37+1))*Assumptions!$P$8),(SUM($O$36:OFFSET(X36,0,-$C$37+1))*Assumptions!$P$8)*(1+Y33))</f>
        <v>1000</v>
      </c>
      <c r="Z43" s="140">
        <f ca="1">IF(Z10=1,0,1)*IF(X87=0,0,1)*IF(Z11=1,(SUM($O$36:OFFSET(Y36,0,-$C$37+1))*Assumptions!$P$8),(SUM($O$36:OFFSET(Y36,0,-$C$37+1))*Assumptions!$P$8)*(1+Z33))</f>
        <v>1000</v>
      </c>
      <c r="AA43" s="140">
        <f ca="1">IF(AA10=1,0,1)*IF(Y87=0,0,1)*IF(AA11=1,(SUM($O$36:OFFSET(Z36,0,-$C$37+1))*Assumptions!$P$8),(SUM($O$36:OFFSET(Z36,0,-$C$37+1))*Assumptions!$P$8)*(1+AA33))</f>
        <v>1000</v>
      </c>
      <c r="AB43" s="140">
        <f ca="1">IF(AB10=1,0,1)*IF(Z87=0,0,1)*IF(AB11=1,(SUM($O$36:OFFSET(AA36,0,-$C$37+1))*Assumptions!$P$8),(SUM($O$36:OFFSET(AA36,0,-$C$37+1))*Assumptions!$P$8)*(1+AB33))</f>
        <v>1082.598</v>
      </c>
      <c r="AC43" s="140">
        <f ca="1">IF(AC10=1,0,1)*IF(AA87=0,0,1)*IF(AC11=1,(SUM($O$36:OFFSET(AB36,0,-$C$37+1))*Assumptions!$P$8),(SUM($O$36:OFFSET(AB36,0,-$C$37+1))*Assumptions!$P$8)*(1+AC33))</f>
        <v>1082.598</v>
      </c>
      <c r="AD43" s="140">
        <f ca="1">IF(AD10=1,0,1)*IF(AB87=0,0,1)*IF(AD11=1,(SUM($O$36:OFFSET(AC36,0,-$C$37+1))*Assumptions!$P$8),(SUM($O$36:OFFSET(AC36,0,-$C$37+1))*Assumptions!$P$8)*(1+AD33))</f>
        <v>1082.598</v>
      </c>
      <c r="AE43" s="140">
        <f ca="1">IF(AE10=1,0,1)*IF(AC87=0,0,1)*IF(AE11=1,(SUM($O$36:OFFSET(AD36,0,-$C$37+1))*Assumptions!$P$8),(SUM($O$36:OFFSET(AD36,0,-$C$37+1))*Assumptions!$P$8)*(1+AE33))</f>
        <v>1623.8969999999999</v>
      </c>
      <c r="AF43" s="140">
        <f ca="1">IF(AF10=1,0,1)*IF(AD87=0,0,1)*IF(AF11=1,(SUM($O$36:OFFSET(AE36,0,-$C$37+1))*Assumptions!$P$8),(SUM($O$36:OFFSET(AE36,0,-$C$37+1))*Assumptions!$P$8)*(1+AF33))</f>
        <v>2165.1959999999999</v>
      </c>
      <c r="AG43" s="140">
        <f ca="1">IF(AG10=1,0,1)*IF(AE87=0,0,1)*IF(AG11=1,(SUM($O$36:OFFSET(AF36,0,-$C$37+1))*Assumptions!$P$8),(SUM($O$36:OFFSET(AF36,0,-$C$37+1))*Assumptions!$P$8)*(1+AG33))</f>
        <v>2165.1959999999999</v>
      </c>
      <c r="AH43" s="140">
        <f ca="1">IF(AH10=1,0,1)*IF(AF87=0,0,1)*IF(AH11=1,(SUM($O$36:OFFSET(AG36,0,-$C$37+1))*Assumptions!$P$8),(SUM($O$36:OFFSET(AG36,0,-$C$37+1))*Assumptions!$P$8)*(1+AH33))</f>
        <v>2706.4949999999999</v>
      </c>
      <c r="AI43" s="140">
        <f ca="1">IF(AI10=1,0,1)*IF(AG87=0,0,1)*IF(AI11=1,(SUM($O$36:OFFSET(AH36,0,-$C$37+1))*Assumptions!$P$8),(SUM($O$36:OFFSET(AH36,0,-$C$37+1))*Assumptions!$P$8)*(1+AI33))</f>
        <v>2706.4949999999999</v>
      </c>
      <c r="AJ43" s="140">
        <f ca="1">IF(AJ10=1,0,1)*IF(AH87=0,0,1)*IF(AJ11=1,(SUM($O$36:OFFSET(AI36,0,-$C$37+1))*Assumptions!$P$8),(SUM($O$36:OFFSET(AI36,0,-$C$37+1))*Assumptions!$P$8)*(1+AJ33))</f>
        <v>2706.4949999999999</v>
      </c>
      <c r="AK43" s="140">
        <f ca="1">IF(AK10=1,0,1)*IF(AI87=0,0,1)*IF(AK11=1,(SUM($O$36:OFFSET(AJ36,0,-$C$37+1))*Assumptions!$P$8),(SUM($O$36:OFFSET(AJ36,0,-$C$37+1))*Assumptions!$P$8)*(1+AK33))</f>
        <v>2706.4949999999999</v>
      </c>
      <c r="AL43" s="140">
        <f ca="1">IF(AL10=1,0,1)*IF(AJ87=0,0,1)*IF(AL11=1,(SUM($O$36:OFFSET(AK36,0,-$C$37+1))*Assumptions!$P$8),(SUM($O$36:OFFSET(AK36,0,-$C$37+1))*Assumptions!$P$8)*(1+AL33))</f>
        <v>2706.4949999999999</v>
      </c>
      <c r="AM43" s="140">
        <f ca="1">IF(AM10=1,0,1)*IF(AK87=0,0,1)*IF(AM11=1,(SUM($O$36:OFFSET(AL36,0,-$C$37+1))*Assumptions!$P$8),(SUM($O$36:OFFSET(AL36,0,-$C$37+1))*Assumptions!$P$8)*(1+AM33))</f>
        <v>2706.4949999999999</v>
      </c>
      <c r="AN43" s="140">
        <f ca="1">IF(AN10=1,0,1)*IF(AL87=0,0,1)*IF(AN11=1,(SUM($O$36:OFFSET(AM36,0,-$C$37+1))*Assumptions!$P$8),(SUM($O$36:OFFSET(AM36,0,-$C$37+1))*Assumptions!$P$8)*(1+AN33))</f>
        <v>2833.7002649999999</v>
      </c>
      <c r="AO43" s="140">
        <f ca="1">IF(AO10=1,0,1)*IF(AM87=0,0,1)*IF(AO11=1,(SUM($O$36:OFFSET(AN36,0,-$C$37+1))*Assumptions!$P$8),(SUM($O$36:OFFSET(AN36,0,-$C$37+1))*Assumptions!$P$8)*(1+AO33))</f>
        <v>2833.7002649999999</v>
      </c>
      <c r="AP43" s="140">
        <f ca="1">IF(AP10=1,0,1)*IF(AN87=0,0,1)*IF(AP11=1,(SUM($O$36:OFFSET(AO36,0,-$C$37+1))*Assumptions!$P$8),(SUM($O$36:OFFSET(AO36,0,-$C$37+1))*Assumptions!$P$8)*(1+AP33))</f>
        <v>2833.7002649999999</v>
      </c>
      <c r="AQ43" s="140">
        <f ca="1">IF(AQ10=1,0,1)*IF(AO87=0,0,1)*IF(AQ11=1,(SUM($O$36:OFFSET(AP36,0,-$C$37+1))*Assumptions!$P$8),(SUM($O$36:OFFSET(AP36,0,-$C$37+1))*Assumptions!$P$8)*(1+AQ33))</f>
        <v>2833.7002649999999</v>
      </c>
      <c r="AR43" s="140">
        <f ca="1">IF(AR10=1,0,1)*IF(AP87=0,0,1)*IF(AR11=1,(SUM($O$36:OFFSET(AQ36,0,-$C$37+1))*Assumptions!$P$8),(SUM($O$36:OFFSET(AQ36,0,-$C$37+1))*Assumptions!$P$8)*(1+AR33))</f>
        <v>2833.7002649999999</v>
      </c>
      <c r="AS43" s="140">
        <f ca="1">IF(AS10=1,0,1)*IF(AQ87=0,0,1)*IF(AS11=1,(SUM($O$36:OFFSET(AR36,0,-$C$37+1))*Assumptions!$P$8),(SUM($O$36:OFFSET(AR36,0,-$C$37+1))*Assumptions!$P$8)*(1+AS33))</f>
        <v>2833.7002649999999</v>
      </c>
      <c r="AT43" s="140">
        <f ca="1">IF(AT10=1,0,1)*IF(AR87=0,0,1)*IF(AT11=1,(SUM($O$36:OFFSET(AS36,0,-$C$37+1))*Assumptions!$P$8),(SUM($O$36:OFFSET(AS36,0,-$C$37+1))*Assumptions!$P$8)*(1+AT33))</f>
        <v>3287.0923073999998</v>
      </c>
      <c r="AU43" s="140">
        <f ca="1">IF(AU10=1,0,1)*IF(AS87=0,0,1)*IF(AU11=1,(SUM($O$36:OFFSET(AT36,0,-$C$37+1))*Assumptions!$P$8),(SUM($O$36:OFFSET(AT36,0,-$C$37+1))*Assumptions!$P$8)*(1+AU33))</f>
        <v>3287.0923073999998</v>
      </c>
      <c r="AV43" s="140">
        <f ca="1">IF(AV10=1,0,1)*IF(AT87=0,0,1)*IF(AV11=1,(SUM($O$36:OFFSET(AU36,0,-$C$37+1))*Assumptions!$P$8),(SUM($O$36:OFFSET(AU36,0,-$C$37+1))*Assumptions!$P$8)*(1+AV33))</f>
        <v>3400.4403179999999</v>
      </c>
      <c r="AW43" s="140">
        <f ca="1">IF(AW10=1,0,1)*IF(AU87=0,0,1)*IF(AW11=1,(SUM($O$36:OFFSET(AV36,0,-$C$37+1))*Assumptions!$P$8),(SUM($O$36:OFFSET(AV36,0,-$C$37+1))*Assumptions!$P$8)*(1+AW33))</f>
        <v>3400.4403179999999</v>
      </c>
      <c r="AX43" s="140">
        <f ca="1">IF(AX10=1,0,1)*IF(AV87=0,0,1)*IF(AX11=1,(SUM($O$36:OFFSET(AW36,0,-$C$37+1))*Assumptions!$P$8),(SUM($O$36:OFFSET(AW36,0,-$C$37+1))*Assumptions!$P$8)*(1+AX33))</f>
        <v>3400.4403179999999</v>
      </c>
      <c r="AY43" s="140">
        <f ca="1">IF(AY10=1,0,1)*IF(AW87=0,0,1)*IF(AY11=1,(SUM($O$36:OFFSET(AX36,0,-$C$37+1))*Assumptions!$P$8),(SUM($O$36:OFFSET(AX36,0,-$C$37+1))*Assumptions!$P$8)*(1+AY33))</f>
        <v>3400.4403179999999</v>
      </c>
      <c r="AZ43" s="140">
        <f ca="1">IF(AZ10=1,0,1)*IF(AX87=0,0,1)*IF(AZ11=1,(SUM($O$36:OFFSET(AY36,0,-$C$37+1))*Assumptions!$P$8),(SUM($O$36:OFFSET(AY36,0,-$C$37+1))*Assumptions!$P$8)*(1+AZ33))</f>
        <v>3512.6548484939995</v>
      </c>
      <c r="BA43" s="140">
        <f ca="1">IF(BA10=1,0,1)*IF(AY87=0,0,1)*IF(BA11=1,(SUM($O$36:OFFSET(AZ36,0,-$C$37+1))*Assumptions!$P$8),(SUM($O$36:OFFSET(AZ36,0,-$C$37+1))*Assumptions!$P$8)*(1+BA33))</f>
        <v>3512.6548484939995</v>
      </c>
      <c r="BB43" s="140">
        <f ca="1">IF(BB10=1,0,1)*IF(AZ87=0,0,1)*IF(BB11=1,(SUM($O$36:OFFSET(BA36,0,-$C$37+1))*Assumptions!$P$8),(SUM($O$36:OFFSET(BA36,0,-$C$37+1))*Assumptions!$P$8)*(1+BB33))</f>
        <v>3512.6548484939995</v>
      </c>
      <c r="BC43" s="140">
        <f ca="1">IF(BC10=1,0,1)*IF(BA87=0,0,1)*IF(BC11=1,(SUM($O$36:OFFSET(BB36,0,-$C$37+1))*Assumptions!$P$8),(SUM($O$36:OFFSET(BB36,0,-$C$37+1))*Assumptions!$P$8)*(1+BC33))</f>
        <v>3512.6548484939995</v>
      </c>
      <c r="BD43" s="140">
        <f ca="1">IF(BD10=1,0,1)*IF(BB87=0,0,1)*IF(BD11=1,(SUM($O$36:OFFSET(BC36,0,-$C$37+1))*Assumptions!$P$8),(SUM($O$36:OFFSET(BC36,0,-$C$37+1))*Assumptions!$P$8)*(1+BD33))</f>
        <v>3512.6548484939995</v>
      </c>
      <c r="BE43" s="140">
        <f ca="1">IF(BE10=1,0,1)*IF(BC87=0,0,1)*IF(BE11=1,(SUM($O$36:OFFSET(BD36,0,-$C$37+1))*Assumptions!$P$8),(SUM($O$36:OFFSET(BD36,0,-$C$37+1))*Assumptions!$P$8)*(1+BE33))</f>
        <v>3512.6548484939995</v>
      </c>
      <c r="BF43" s="140">
        <f ca="1">IF(BF10=1,0,1)*IF(BD87=0,0,1)*IF(BF11=1,(SUM($O$36:OFFSET(BE36,0,-$C$37+1))*Assumptions!$P$8),(SUM($O$36:OFFSET(BE36,0,-$C$37+1))*Assumptions!$P$8)*(1+BF33))</f>
        <v>3512.6548484939995</v>
      </c>
      <c r="BG43" s="140">
        <f ca="1">IF(BG10=1,0,1)*IF(BE87=0,0,1)*IF(BG11=1,(SUM($O$36:OFFSET(BF36,0,-$C$37+1))*Assumptions!$P$8),(SUM($O$36:OFFSET(BF36,0,-$C$37+1))*Assumptions!$P$8)*(1+BG33))</f>
        <v>3512.6548484939995</v>
      </c>
      <c r="BH43" s="140">
        <f ca="1">IF(BH10=1,0,1)*IF(BF87=0,0,1)*IF(BH11=1,(SUM($O$36:OFFSET(BG36,0,-$C$37+1))*Assumptions!$P$8),(SUM($O$36:OFFSET(BG36,0,-$C$37+1))*Assumptions!$P$8)*(1+BH33))</f>
        <v>3512.6548484939995</v>
      </c>
      <c r="BI43" s="140">
        <f ca="1">IF(BI10=1,0,1)*IF(BG87=0,0,1)*IF(BI11=1,(SUM($O$36:OFFSET(BH36,0,-$C$37+1))*Assumptions!$P$8),(SUM($O$36:OFFSET(BH36,0,-$C$37+1))*Assumptions!$P$8)*(1+BI33))</f>
        <v>3512.6548484939995</v>
      </c>
      <c r="BJ43" s="140">
        <f ca="1">IF(BJ10=1,0,1)*IF(BH87=0,0,1)*IF(BJ11=1,(SUM($O$36:OFFSET(BI36,0,-$C$37+1))*Assumptions!$P$8),(SUM($O$36:OFFSET(BI36,0,-$C$37+1))*Assumptions!$P$8)*(1+BJ33))</f>
        <v>3512.6548484939995</v>
      </c>
      <c r="BK43" s="140">
        <f ca="1">IF(BK10=1,0,1)*IF(BI87=0,0,1)*IF(BK11=1,(SUM($O$36:OFFSET(BJ36,0,-$C$37+1))*Assumptions!$P$8),(SUM($O$36:OFFSET(BJ36,0,-$C$37+1))*Assumptions!$P$8)*(1+BK33))</f>
        <v>3512.6548484939995</v>
      </c>
      <c r="BL43" s="140">
        <f ca="1">IF(BL10=1,0,1)*IF(BJ87=0,0,1)*IF(BL11=1,(SUM($O$36:OFFSET(BK36,0,-$C$37+1))*Assumptions!$P$8),(SUM($O$36:OFFSET(BK36,0,-$C$37+1))*Assumptions!$P$8)*(1+BL33))</f>
        <v>3607.4965294033368</v>
      </c>
      <c r="BM43" s="140">
        <f ca="1">IF(BM10=1,0,1)*IF(BK87=0,0,1)*IF(BM11=1,(SUM($O$36:OFFSET(BL36,0,-$C$37+1))*Assumptions!$P$8),(SUM($O$36:OFFSET(BL36,0,-$C$37+1))*Assumptions!$P$8)*(1+BM33))</f>
        <v>3607.4965294033368</v>
      </c>
      <c r="BN43" s="140">
        <f ca="1">IF(BN10=1,0,1)*IF(BL87=0,0,1)*IF(BN11=1,(SUM($O$36:OFFSET(BM36,0,-$C$37+1))*Assumptions!$P$8),(SUM($O$36:OFFSET(BM36,0,-$C$37+1))*Assumptions!$P$8)*(1+BN33))</f>
        <v>3607.4965294033368</v>
      </c>
      <c r="BO43" s="140">
        <f ca="1">IF(BO10=1,0,1)*IF(BM87=0,0,1)*IF(BO11=1,(SUM($O$36:OFFSET(BN36,0,-$C$37+1))*Assumptions!$P$8),(SUM($O$36:OFFSET(BN36,0,-$C$37+1))*Assumptions!$P$8)*(1+BO33))</f>
        <v>3607.4965294033368</v>
      </c>
      <c r="BP43" s="140">
        <f ca="1">IF(BP10=1,0,1)*IF(BN87=0,0,1)*IF(BP11=1,(SUM($O$36:OFFSET(BO36,0,-$C$37+1))*Assumptions!$P$8),(SUM($O$36:OFFSET(BO36,0,-$C$37+1))*Assumptions!$P$8)*(1+BP33))</f>
        <v>3607.4965294033368</v>
      </c>
      <c r="BQ43" s="140">
        <f ca="1">IF(BQ10=1,0,1)*IF(BO87=0,0,1)*IF(BQ11=1,(SUM($O$36:OFFSET(BP36,0,-$C$37+1))*Assumptions!$P$8),(SUM($O$36:OFFSET(BP36,0,-$C$37+1))*Assumptions!$P$8)*(1+BQ33))</f>
        <v>3607.4965294033368</v>
      </c>
      <c r="BR43" s="140">
        <f ca="1">IF(BR10=1,0,1)*IF(BP87=0,0,1)*IF(BR11=1,(SUM($O$36:OFFSET(BQ36,0,-$C$37+1))*Assumptions!$P$8),(SUM($O$36:OFFSET(BQ36,0,-$C$37+1))*Assumptions!$P$8)*(1+BR33))</f>
        <v>3607.4965294033368</v>
      </c>
      <c r="BS43" s="140">
        <f ca="1">IF(BS10=1,0,1)*IF(BQ87=0,0,1)*IF(BS11=1,(SUM($O$36:OFFSET(BR36,0,-$C$37+1))*Assumptions!$P$8),(SUM($O$36:OFFSET(BR36,0,-$C$37+1))*Assumptions!$P$8)*(1+BS33))</f>
        <v>3607.4965294033368</v>
      </c>
      <c r="BT43" s="140">
        <f ca="1">IF(BT10=1,0,1)*IF(BR87=0,0,1)*IF(BT11=1,(SUM($O$36:OFFSET(BS36,0,-$C$37+1))*Assumptions!$P$8),(SUM($O$36:OFFSET(BS36,0,-$C$37+1))*Assumptions!$P$8)*(1+BT33))</f>
        <v>3607.4965294033368</v>
      </c>
      <c r="BU43" s="140">
        <f ca="1">IF(BU10=1,0,1)*IF(BS87=0,0,1)*IF(BU11=1,(SUM($O$36:OFFSET(BT36,0,-$C$37+1))*Assumptions!$P$8),(SUM($O$36:OFFSET(BT36,0,-$C$37+1))*Assumptions!$P$8)*(1+BU33))</f>
        <v>3607.4965294033368</v>
      </c>
      <c r="BV43" s="140">
        <f ca="1">IF(BV10=1,0,1)*IF(BT87=0,0,1)*IF(BV11=1,(SUM($O$36:OFFSET(BU36,0,-$C$37+1))*Assumptions!$P$8),(SUM($O$36:OFFSET(BU36,0,-$C$37+1))*Assumptions!$P$8)*(1+BV33))</f>
        <v>3607.4965294033368</v>
      </c>
      <c r="BW43" s="140">
        <f ca="1">IF(BW10=1,0,1)*IF(BU87=0,0,1)*IF(BW11=1,(SUM($O$36:OFFSET(BV36,0,-$C$37+1))*Assumptions!$P$8),(SUM($O$36:OFFSET(BV36,0,-$C$37+1))*Assumptions!$P$8)*(1+BW33))</f>
        <v>3607.4965294033368</v>
      </c>
      <c r="BX43" s="140">
        <f ca="1">IF(BX10=1,0,1)*IF(BV87=0,0,1)*IF(BX11=1,(SUM($O$36:OFFSET(BW36,0,-$C$37+1))*Assumptions!$P$8),(SUM($O$36:OFFSET(BW36,0,-$C$37+1))*Assumptions!$P$8)*(1+BX33))</f>
        <v>3715.7214252854369</v>
      </c>
      <c r="BY43" s="140">
        <f ca="1">IF(BY10=1,0,1)*IF(BW87=0,0,1)*IF(BY11=1,(SUM($O$36:OFFSET(BX36,0,-$C$37+1))*Assumptions!$P$8),(SUM($O$36:OFFSET(BX36,0,-$C$37+1))*Assumptions!$P$8)*(1+BY33))</f>
        <v>3715.7214252854369</v>
      </c>
      <c r="BZ43" s="140">
        <f ca="1">IF(BZ10=1,0,1)*IF(BX87=0,0,1)*IF(BZ11=1,(SUM($O$36:OFFSET(BY36,0,-$C$37+1))*Assumptions!$P$8),(SUM($O$36:OFFSET(BY36,0,-$C$37+1))*Assumptions!$P$8)*(1+BZ33))</f>
        <v>3715.7214252854369</v>
      </c>
      <c r="CA43" s="140">
        <f ca="1">IF(CA10=1,0,1)*IF(BY87=0,0,1)*IF(CA11=1,(SUM($O$36:OFFSET(BZ36,0,-$C$37+1))*Assumptions!$P$8),(SUM($O$36:OFFSET(BZ36,0,-$C$37+1))*Assumptions!$P$8)*(1+CA33))</f>
        <v>3715.7214252854369</v>
      </c>
      <c r="CB43" s="140">
        <f ca="1">IF(CB10=1,0,1)*IF(BZ87=0,0,1)*IF(CB11=1,(SUM($O$36:OFFSET(CA36,0,-$C$37+1))*Assumptions!$P$8),(SUM($O$36:OFFSET(CA36,0,-$C$37+1))*Assumptions!$P$8)*(1+CB33))</f>
        <v>3715.7214252854369</v>
      </c>
      <c r="CC43" s="140">
        <f ca="1">IF(CC10=1,0,1)*IF(CA87=0,0,1)*IF(CC11=1,(SUM($O$36:OFFSET(CB36,0,-$C$37+1))*Assumptions!$P$8),(SUM($O$36:OFFSET(CB36,0,-$C$37+1))*Assumptions!$P$8)*(1+CC33))</f>
        <v>3715.7214252854369</v>
      </c>
      <c r="CD43" s="140">
        <f ca="1">IF(CD10=1,0,1)*IF(CB87=0,0,1)*IF(CD11=1,(SUM($O$36:OFFSET(CC36,0,-$C$37+1))*Assumptions!$P$8),(SUM($O$36:OFFSET(CC36,0,-$C$37+1))*Assumptions!$P$8)*(1+CD33))</f>
        <v>3715.7214252854369</v>
      </c>
      <c r="CE43" s="140">
        <f ca="1">IF(CE10=1,0,1)*IF(CC87=0,0,1)*IF(CE11=1,(SUM($O$36:OFFSET(CD36,0,-$C$37+1))*Assumptions!$P$8),(SUM($O$36:OFFSET(CD36,0,-$C$37+1))*Assumptions!$P$8)*(1+CE33))</f>
        <v>3715.7214252854369</v>
      </c>
      <c r="CF43" s="140">
        <f ca="1">IF(CF10=1,0,1)*IF(CD87=0,0,1)*IF(CF11=1,(SUM($O$36:OFFSET(CE36,0,-$C$37+1))*Assumptions!$P$8),(SUM($O$36:OFFSET(CE36,0,-$C$37+1))*Assumptions!$P$8)*(1+CF33))</f>
        <v>3715.7214252854369</v>
      </c>
      <c r="CG43" s="140">
        <f ca="1">IF(CG10=1,0,1)*IF(CE87=0,0,1)*IF(CG11=1,(SUM($O$36:OFFSET(CF36,0,-$C$37+1))*Assumptions!$P$8),(SUM($O$36:OFFSET(CF36,0,-$C$37+1))*Assumptions!$P$8)*(1+CG33))</f>
        <v>3715.7214252854369</v>
      </c>
      <c r="CH43" s="140">
        <f ca="1">IF(CH10=1,0,1)*IF(CF87=0,0,1)*IF(CH11=1,(SUM($O$36:OFFSET(CG36,0,-$C$37+1))*Assumptions!$P$8),(SUM($O$36:OFFSET(CG36,0,-$C$37+1))*Assumptions!$P$8)*(1+CH33))</f>
        <v>3715.7214252854369</v>
      </c>
      <c r="CI43" s="140">
        <f ca="1">IF(CI10=1,0,1)*IF(CG87=0,0,1)*IF(CI11=1,(SUM($O$36:OFFSET(CH36,0,-$C$37+1))*Assumptions!$P$8),(SUM($O$36:OFFSET(CH36,0,-$C$37+1))*Assumptions!$P$8)*(1+CI33))</f>
        <v>3715.7214252854369</v>
      </c>
      <c r="CJ43" s="140">
        <f ca="1">IF(CJ10=1,0,1)*IF(CH87=0,0,1)*IF(CJ11=1,(SUM($O$36:OFFSET(CI36,0,-$C$37+1))*Assumptions!$P$8),(SUM($O$36:OFFSET(CI36,0,-$C$37+1))*Assumptions!$P$8)*(1+CJ33))</f>
        <v>3827.1930680440005</v>
      </c>
      <c r="CK43" s="140">
        <f ca="1">IF(CK10=1,0,1)*IF(CI87=0,0,1)*IF(CK11=1,(SUM($O$36:OFFSET(CJ36,0,-$C$37+1))*Assumptions!$P$8),(SUM($O$36:OFFSET(CJ36,0,-$C$37+1))*Assumptions!$P$8)*(1+CK33))</f>
        <v>3827.1930680440005</v>
      </c>
      <c r="CL43" s="140">
        <f ca="1">IF(CL10=1,0,1)*IF(CJ87=0,0,1)*IF(CL11=1,(SUM($O$36:OFFSET(CK36,0,-$C$37+1))*Assumptions!$P$8),(SUM($O$36:OFFSET(CK36,0,-$C$37+1))*Assumptions!$P$8)*(1+CL33))</f>
        <v>3827.1930680440005</v>
      </c>
      <c r="CM43" s="140">
        <f ca="1">IF(CM10=1,0,1)*IF(CK87=0,0,1)*IF(CM11=1,(SUM($O$36:OFFSET(CL36,0,-$C$37+1))*Assumptions!$P$8),(SUM($O$36:OFFSET(CL36,0,-$C$37+1))*Assumptions!$P$8)*(1+CM33))</f>
        <v>3827.1930680440005</v>
      </c>
      <c r="CN43" s="140">
        <f ca="1">IF(CN10=1,0,1)*IF(CL87=0,0,1)*IF(CN11=1,(SUM($O$36:OFFSET(CM36,0,-$C$37+1))*Assumptions!$P$8),(SUM($O$36:OFFSET(CM36,0,-$C$37+1))*Assumptions!$P$8)*(1+CN33))</f>
        <v>3827.1930680440005</v>
      </c>
      <c r="CO43" s="140">
        <f ca="1">IF(CO10=1,0,1)*IF(CM87=0,0,1)*IF(CO11=1,(SUM($O$36:OFFSET(CN36,0,-$C$37+1))*Assumptions!$P$8),(SUM($O$36:OFFSET(CN36,0,-$C$37+1))*Assumptions!$P$8)*(1+CO33))</f>
        <v>3827.1930680440005</v>
      </c>
      <c r="CP43" s="140">
        <f ca="1">IF(CP10=1,0,1)*IF(CN87=0,0,1)*IF(CP11=1,(SUM($O$36:OFFSET(CO36,0,-$C$37+1))*Assumptions!$P$8),(SUM($O$36:OFFSET(CO36,0,-$C$37+1))*Assumptions!$P$8)*(1+CP33))</f>
        <v>3827.1930680440005</v>
      </c>
      <c r="CQ43" s="140">
        <f ca="1">IF(CQ10=1,0,1)*IF(CO87=0,0,1)*IF(CQ11=1,(SUM($O$36:OFFSET(CP36,0,-$C$37+1))*Assumptions!$P$8),(SUM($O$36:OFFSET(CP36,0,-$C$37+1))*Assumptions!$P$8)*(1+CQ33))</f>
        <v>3827.1930680440005</v>
      </c>
      <c r="CR43" s="140">
        <f ca="1">IF(CR10=1,0,1)*IF(CP87=0,0,1)*IF(CR11=1,(SUM($O$36:OFFSET(CQ36,0,-$C$37+1))*Assumptions!$P$8),(SUM($O$36:OFFSET(CQ36,0,-$C$37+1))*Assumptions!$P$8)*(1+CR33))</f>
        <v>3827.1930680440005</v>
      </c>
      <c r="CS43" s="140">
        <f ca="1">IF(CS10=1,0,1)*IF(CQ87=0,0,1)*IF(CS11=1,(SUM($O$36:OFFSET(CR36,0,-$C$37+1))*Assumptions!$P$8),(SUM($O$36:OFFSET(CR36,0,-$C$37+1))*Assumptions!$P$8)*(1+CS33))</f>
        <v>3827.1930680440005</v>
      </c>
      <c r="CT43" s="140">
        <f ca="1">IF(CT10=1,0,1)*IF(CR87=0,0,1)*IF(CT11=1,(SUM($O$36:OFFSET(CS36,0,-$C$37+1))*Assumptions!$P$8),(SUM($O$36:OFFSET(CS36,0,-$C$37+1))*Assumptions!$P$8)*(1+CT33))</f>
        <v>3827.1930680440005</v>
      </c>
      <c r="CU43" s="140">
        <f ca="1">IF(CU10=1,0,1)*IF(CS87=0,0,1)*IF(CU11=1,(SUM($O$36:OFFSET(CT36,0,-$C$37+1))*Assumptions!$P$8),(SUM($O$36:OFFSET(CT36,0,-$C$37+1))*Assumptions!$P$8)*(1+CU33))</f>
        <v>3827.1930680440005</v>
      </c>
      <c r="CV43" s="140">
        <f ca="1">IF(CV10=1,0,1)*IF(CT87=0,0,1)*IF(CV11=1,(SUM($O$36:OFFSET(CU36,0,-$C$37+1))*Assumptions!$P$8),(SUM($O$36:OFFSET(CU36,0,-$C$37+1))*Assumptions!$P$8)*(1+CV33))</f>
        <v>3942.0088600853201</v>
      </c>
      <c r="CW43" s="140">
        <f ca="1">IF(CW10=1,0,1)*IF(CU87=0,0,1)*IF(CW11=1,(SUM($O$36:OFFSET(CV36,0,-$C$37+1))*Assumptions!$P$8),(SUM($O$36:OFFSET(CV36,0,-$C$37+1))*Assumptions!$P$8)*(1+CW33))</f>
        <v>3942.0088600853201</v>
      </c>
      <c r="CX43" s="140">
        <f ca="1">IF(CX10=1,0,1)*IF(CV87=0,0,1)*IF(CX11=1,(SUM($O$36:OFFSET(CW36,0,-$C$37+1))*Assumptions!$P$8),(SUM($O$36:OFFSET(CW36,0,-$C$37+1))*Assumptions!$P$8)*(1+CX33))</f>
        <v>3942.0088600853201</v>
      </c>
      <c r="CY43" s="140">
        <f ca="1">IF(CY10=1,0,1)*IF(CW87=0,0,1)*IF(CY11=1,(SUM($O$36:OFFSET(CX36,0,-$C$37+1))*Assumptions!$P$8),(SUM($O$36:OFFSET(CX36,0,-$C$37+1))*Assumptions!$P$8)*(1+CY33))</f>
        <v>3942.0088600853201</v>
      </c>
      <c r="CZ43" s="140">
        <f ca="1">IF(CZ10=1,0,1)*IF(CX87=0,0,1)*IF(CZ11=1,(SUM($O$36:OFFSET(CY36,0,-$C$37+1))*Assumptions!$P$8),(SUM($O$36:OFFSET(CY36,0,-$C$37+1))*Assumptions!$P$8)*(1+CZ33))</f>
        <v>3942.0088600853201</v>
      </c>
      <c r="DA43" s="140">
        <f ca="1">IF(DA10=1,0,1)*IF(CY87=0,0,1)*IF(DA11=1,(SUM($O$36:OFFSET(CZ36,0,-$C$37+1))*Assumptions!$P$8),(SUM($O$36:OFFSET(CZ36,0,-$C$37+1))*Assumptions!$P$8)*(1+DA33))</f>
        <v>3942.0088600853201</v>
      </c>
      <c r="DB43" s="140">
        <f ca="1">IF(DB10=1,0,1)*IF(CZ87=0,0,1)*IF(DB11=1,(SUM($O$36:OFFSET(DA36,0,-$C$37+1))*Assumptions!$P$8),(SUM($O$36:OFFSET(DA36,0,-$C$37+1))*Assumptions!$P$8)*(1+DB33))</f>
        <v>3942.0088600853201</v>
      </c>
      <c r="DC43" s="140">
        <f ca="1">IF(DC10=1,0,1)*IF(DA87=0,0,1)*IF(DC11=1,(SUM($O$36:OFFSET(DB36,0,-$C$37+1))*Assumptions!$P$8),(SUM($O$36:OFFSET(DB36,0,-$C$37+1))*Assumptions!$P$8)*(1+DC33))</f>
        <v>3942.0088600853201</v>
      </c>
      <c r="DD43" s="140">
        <f ca="1">IF(DD10=1,0,1)*IF(DB87=0,0,1)*IF(DD11=1,(SUM($O$36:OFFSET(DC36,0,-$C$37+1))*Assumptions!$P$8),(SUM($O$36:OFFSET(DC36,0,-$C$37+1))*Assumptions!$P$8)*(1+DD33))</f>
        <v>3942.0088600853201</v>
      </c>
      <c r="DE43" s="140">
        <f ca="1">IF(DE10=1,0,1)*IF(DC87=0,0,1)*IF(DE11=1,(SUM($O$36:OFFSET(DD36,0,-$C$37+1))*Assumptions!$P$8),(SUM($O$36:OFFSET(DD36,0,-$C$37+1))*Assumptions!$P$8)*(1+DE33))</f>
        <v>3942.0088600853201</v>
      </c>
      <c r="DF43" s="140">
        <f ca="1">IF(DF10=1,0,1)*IF(DD87=0,0,1)*IF(DF11=1,(SUM($O$36:OFFSET(DE36,0,-$C$37+1))*Assumptions!$P$8),(SUM($O$36:OFFSET(DE36,0,-$C$37+1))*Assumptions!$P$8)*(1+DF33))</f>
        <v>3942.0088600853201</v>
      </c>
      <c r="DG43" s="140">
        <f ca="1">IF(DG10=1,0,1)*IF(DE87=0,0,1)*IF(DG11=1,(SUM($O$36:OFFSET(DF36,0,-$C$37+1))*Assumptions!$P$8),(SUM($O$36:OFFSET(DF36,0,-$C$37+1))*Assumptions!$P$8)*(1+DG33))</f>
        <v>3942.0088600853201</v>
      </c>
      <c r="DH43" s="140">
        <f ca="1">IF(DH10=1,0,1)*IF(DF87=0,0,1)*IF(DH11=1,(SUM($O$36:OFFSET(DG36,0,-$C$37+1))*Assumptions!$P$8),(SUM($O$36:OFFSET(DG36,0,-$C$37+1))*Assumptions!$P$8)*(1+DH33))</f>
        <v>4060.2691258878804</v>
      </c>
      <c r="DI43" s="140">
        <f ca="1">IF(DI10=1,0,1)*IF(DG87=0,0,1)*IF(DI11=1,(SUM($O$36:OFFSET(DH36,0,-$C$37+1))*Assumptions!$P$8),(SUM($O$36:OFFSET(DH36,0,-$C$37+1))*Assumptions!$P$8)*(1+DI33))</f>
        <v>4060.2691258878804</v>
      </c>
      <c r="DJ43" s="140">
        <f ca="1">IF(DJ10=1,0,1)*IF(DH87=0,0,1)*IF(DJ11=1,(SUM($O$36:OFFSET(DI36,0,-$C$37+1))*Assumptions!$P$8),(SUM($O$36:OFFSET(DI36,0,-$C$37+1))*Assumptions!$P$8)*(1+DJ33))</f>
        <v>4060.2691258878804</v>
      </c>
      <c r="DK43" s="140">
        <f ca="1">IF(DK10=1,0,1)*IF(DI87=0,0,1)*IF(DK11=1,(SUM($O$36:OFFSET(DJ36,0,-$C$37+1))*Assumptions!$P$8),(SUM($O$36:OFFSET(DJ36,0,-$C$37+1))*Assumptions!$P$8)*(1+DK33))</f>
        <v>0</v>
      </c>
      <c r="DL43" s="140">
        <f ca="1">IF(DL10=1,0,1)*IF(DJ87=0,0,1)*IF(DL11=1,(SUM($O$36:OFFSET(DK36,0,-$C$37+1))*Assumptions!$P$8),(SUM($O$36:OFFSET(DK36,0,-$C$37+1))*Assumptions!$P$8)*(1+DL33))</f>
        <v>0</v>
      </c>
      <c r="DM43" s="140">
        <f ca="1">IF(DM10=1,0,1)*IF(DK87=0,0,1)*IF(DM11=1,(SUM($O$36:OFFSET(DL36,0,-$C$37+1))*Assumptions!$P$8),(SUM($O$36:OFFSET(DL36,0,-$C$37+1))*Assumptions!$P$8)*(1+DM33))</f>
        <v>0</v>
      </c>
      <c r="DN43" s="140">
        <f ca="1">IF(DN10=1,0,1)*IF(DL87=0,0,1)*IF(DN11=1,(SUM($O$36:OFFSET(DM36,0,-$C$37+1))*Assumptions!$P$8),(SUM($O$36:OFFSET(DM36,0,-$C$37+1))*Assumptions!$P$8)*(1+DN33))</f>
        <v>0</v>
      </c>
      <c r="DO43" s="140">
        <f ca="1">IF(DO10=1,0,1)*IF(DM87=0,0,1)*IF(DO11=1,(SUM($O$36:OFFSET(DN36,0,-$C$37+1))*Assumptions!$P$8),(SUM($O$36:OFFSET(DN36,0,-$C$37+1))*Assumptions!$P$8)*(1+DO33))</f>
        <v>0</v>
      </c>
      <c r="DP43" s="140">
        <f ca="1">IF(DP10=1,0,1)*IF(DN87=0,0,1)*IF(DP11=1,(SUM($O$36:OFFSET(DO36,0,-$C$37+1))*Assumptions!$P$8),(SUM($O$36:OFFSET(DO36,0,-$C$37+1))*Assumptions!$P$8)*(1+DP33))</f>
        <v>0</v>
      </c>
      <c r="DQ43" s="140">
        <f ca="1">IF(DQ10=1,0,1)*IF(DO87=0,0,1)*IF(DQ11=1,(SUM($O$36:OFFSET(DP36,0,-$C$37+1))*Assumptions!$P$8),(SUM($O$36:OFFSET(DP36,0,-$C$37+1))*Assumptions!$P$8)*(1+DQ33))</f>
        <v>0</v>
      </c>
      <c r="DR43" s="140">
        <f ca="1">IF(DR10=1,0,1)*IF(DP87=0,0,1)*IF(DR11=1,(SUM($O$36:OFFSET(DQ36,0,-$C$37+1))*Assumptions!$P$8),(SUM($O$36:OFFSET(DQ36,0,-$C$37+1))*Assumptions!$P$8)*(1+DR33))</f>
        <v>0</v>
      </c>
      <c r="DS43" s="140">
        <f ca="1">IF(DS10=1,0,1)*IF(DQ87=0,0,1)*IF(DS11=1,(SUM($O$36:OFFSET(DR36,0,-$C$37+1))*Assumptions!$P$8),(SUM($O$36:OFFSET(DR36,0,-$C$37+1))*Assumptions!$P$8)*(1+DS33))</f>
        <v>0</v>
      </c>
      <c r="DT43" s="140">
        <f ca="1">IF(DT10=1,0,1)*IF(DR87=0,0,1)*IF(DT11=1,(SUM($O$36:OFFSET(DS36,0,-$C$37+1))*Assumptions!$P$8),(SUM($O$36:OFFSET(DS36,0,-$C$37+1))*Assumptions!$P$8)*(1+DT33))</f>
        <v>0</v>
      </c>
      <c r="DU43" s="140">
        <f ca="1">IF(DU10=1,0,1)*IF(DS87=0,0,1)*IF(DU11=1,(SUM($O$36:OFFSET(DT36,0,-$C$37+1))*Assumptions!$P$8),(SUM($O$36:OFFSET(DT36,0,-$C$37+1))*Assumptions!$P$8)*(1+DU33))</f>
        <v>0</v>
      </c>
      <c r="DV43" s="140">
        <f ca="1">IF(DV10=1,0,1)*IF(DT87=0,0,1)*IF(DV11=1,(SUM($O$36:OFFSET(DU36,0,-$C$37+1))*Assumptions!$P$8),(SUM($O$36:OFFSET(DU36,0,-$C$37+1))*Assumptions!$P$8)*(1+DV33))</f>
        <v>0</v>
      </c>
      <c r="DW43" s="140">
        <f ca="1">IF(DW10=1,0,1)*IF(DU87=0,0,1)*IF(DW11=1,(SUM($O$36:OFFSET(DV36,0,-$C$37+1))*Assumptions!$P$8),(SUM($O$36:OFFSET(DV36,0,-$C$37+1))*Assumptions!$P$8)*(1+DW33))</f>
        <v>0</v>
      </c>
      <c r="DX43" s="140">
        <f ca="1">IF(DX10=1,0,1)*IF(DV87=0,0,1)*IF(DX11=1,(SUM($O$36:OFFSET(DW36,0,-$C$37+1))*Assumptions!$P$8),(SUM($O$36:OFFSET(DW36,0,-$C$37+1))*Assumptions!$P$8)*(1+DX33))</f>
        <v>0</v>
      </c>
      <c r="DY43" s="140">
        <f ca="1">IF(DY10=1,0,1)*IF(DW87=0,0,1)*IF(DY11=1,(SUM($O$36:OFFSET(DX36,0,-$C$37+1))*Assumptions!$P$8),(SUM($O$36:OFFSET(DX36,0,-$C$37+1))*Assumptions!$P$8)*(1+DY33))</f>
        <v>0</v>
      </c>
      <c r="DZ43" s="140">
        <f ca="1">IF(DZ10=1,0,1)*IF(DX87=0,0,1)*IF(DZ11=1,(SUM($O$36:OFFSET(DY36,0,-$C$37+1))*Assumptions!$P$8),(SUM($O$36:OFFSET(DY36,0,-$C$37+1))*Assumptions!$P$8)*(1+DZ33))</f>
        <v>0</v>
      </c>
      <c r="EA43" s="140">
        <f ca="1">IF(EA10=1,0,1)*IF(DY87=0,0,1)*IF(EA11=1,(SUM($O$36:OFFSET(DZ36,0,-$C$37+1))*Assumptions!$P$8),(SUM($O$36:OFFSET(DZ36,0,-$C$37+1))*Assumptions!$P$8)*(1+EA33))</f>
        <v>0</v>
      </c>
      <c r="EB43" s="140">
        <f ca="1">IF(EB10=1,0,1)*IF(DZ87=0,0,1)*IF(EB11=1,(SUM($O$36:OFFSET(EA36,0,-$C$37+1))*Assumptions!$P$8),(SUM($O$36:OFFSET(EA36,0,-$C$37+1))*Assumptions!$P$8)*(1+EB33))</f>
        <v>0</v>
      </c>
      <c r="EC43" s="140">
        <f ca="1">IF(EC10=1,0,1)*IF(EA87=0,0,1)*IF(EC11=1,(SUM($O$36:OFFSET(EB36,0,-$C$37+1))*Assumptions!$P$8),(SUM($O$36:OFFSET(EB36,0,-$C$37+1))*Assumptions!$P$8)*(1+EC33))</f>
        <v>0</v>
      </c>
      <c r="ED43" s="140">
        <f ca="1">IF(ED10=1,0,1)*IF(EB87=0,0,1)*IF(ED11=1,(SUM($O$36:OFFSET(EC36,0,-$C$37+1))*Assumptions!$P$8),(SUM($O$36:OFFSET(EC36,0,-$C$37+1))*Assumptions!$P$8)*(1+ED33))</f>
        <v>0</v>
      </c>
      <c r="EE43" s="140">
        <f ca="1">IF(EE10=1,0,1)*IF(EC87=0,0,1)*IF(EE11=1,(SUM($O$36:OFFSET(ED36,0,-$C$37+1))*Assumptions!$P$8),(SUM($O$36:OFFSET(ED36,0,-$C$37+1))*Assumptions!$P$8)*(1+EE33))</f>
        <v>0</v>
      </c>
      <c r="EF43" s="140">
        <f ca="1">IF(EF10=1,0,1)*IF(ED87=0,0,1)*IF(EF11=1,(SUM($O$36:OFFSET(EE36,0,-$C$37+1))*Assumptions!$P$8),(SUM($O$36:OFFSET(EE36,0,-$C$37+1))*Assumptions!$P$8)*(1+EF33))</f>
        <v>0</v>
      </c>
      <c r="EG43" s="140">
        <f ca="1">IF(EG10=1,0,1)*IF(EE87=0,0,1)*IF(EG11=1,(SUM($O$36:OFFSET(EF36,0,-$C$37+1))*Assumptions!$P$8),(SUM($O$36:OFFSET(EF36,0,-$C$37+1))*Assumptions!$P$8)*(1+EG33))</f>
        <v>0</v>
      </c>
      <c r="EH43" s="140">
        <f ca="1">IF(EH10=1,0,1)*IF(EF87=0,0,1)*IF(EH11=1,(SUM($O$36:OFFSET(EG36,0,-$C$37+1))*Assumptions!$P$8),(SUM($O$36:OFFSET(EG36,0,-$C$37+1))*Assumptions!$P$8)*(1+EH33))</f>
        <v>0</v>
      </c>
      <c r="EI43" s="140">
        <f ca="1">IF(EI10=1,0,1)*IF(EG87=0,0,1)*IF(EI11=1,(SUM($O$36:OFFSET(EH36,0,-$C$37+1))*Assumptions!$P$8),(SUM($O$36:OFFSET(EH36,0,-$C$37+1))*Assumptions!$P$8)*(1+EI33))</f>
        <v>0</v>
      </c>
      <c r="EJ43" s="140">
        <f ca="1">IF(EJ10=1,0,1)*IF(EH87=0,0,1)*IF(EJ11=1,(SUM($O$36:OFFSET(EI36,0,-$C$37+1))*Assumptions!$P$8),(SUM($O$36:OFFSET(EI36,0,-$C$37+1))*Assumptions!$P$8)*(1+EJ33))</f>
        <v>0</v>
      </c>
      <c r="EK43" s="140">
        <f ca="1">IF(EK10=1,0,1)*IF(EI87=0,0,1)*IF(EK11=1,(SUM($O$36:OFFSET(EJ36,0,-$C$37+1))*Assumptions!$P$8),(SUM($O$36:OFFSET(EJ36,0,-$C$37+1))*Assumptions!$P$8)*(1+EK33))</f>
        <v>0</v>
      </c>
      <c r="EL43" s="140">
        <f ca="1">IF(EL10=1,0,1)*IF(EJ87=0,0,1)*IF(EL11=1,(SUM($O$36:OFFSET(EK36,0,-$C$37+1))*Assumptions!$P$8),(SUM($O$36:OFFSET(EK36,0,-$C$37+1))*Assumptions!$P$8)*(1+EL33))</f>
        <v>0</v>
      </c>
      <c r="EM43" s="140">
        <f ca="1">IF(EM10=1,0,1)*IF(EK87=0,0,1)*IF(EM11=1,(SUM($O$36:OFFSET(EL36,0,-$C$37+1))*Assumptions!$P$8),(SUM($O$36:OFFSET(EL36,0,-$C$37+1))*Assumptions!$P$8)*(1+EM33))</f>
        <v>0</v>
      </c>
      <c r="EN43" s="140">
        <f ca="1">IF(EN10=1,0,1)*IF(EL87=0,0,1)*IF(EN11=1,(SUM($O$36:OFFSET(EM36,0,-$C$37+1))*Assumptions!$P$8),(SUM($O$36:OFFSET(EM36,0,-$C$37+1))*Assumptions!$P$8)*(1+EN33))</f>
        <v>0</v>
      </c>
      <c r="EO43" s="140">
        <f ca="1">IF(EO10=1,0,1)*IF(EM87=0,0,1)*IF(EO11=1,(SUM($O$36:OFFSET(EN36,0,-$C$37+1))*Assumptions!$P$8),(SUM($O$36:OFFSET(EN36,0,-$C$37+1))*Assumptions!$P$8)*(1+EO33))</f>
        <v>0</v>
      </c>
      <c r="EP43" s="140">
        <f ca="1">IF(EP10=1,0,1)*IF(EN87=0,0,1)*IF(EP11=1,(SUM($O$36:OFFSET(EO36,0,-$C$37+1))*Assumptions!$P$8),(SUM($O$36:OFFSET(EO36,0,-$C$37+1))*Assumptions!$P$8)*(1+EP33))</f>
        <v>0</v>
      </c>
      <c r="EQ43" s="140">
        <f ca="1">IF(EQ10=1,0,1)*IF(EO87=0,0,1)*IF(EQ11=1,(SUM($O$36:OFFSET(EP36,0,-$C$37+1))*Assumptions!$P$8),(SUM($O$36:OFFSET(EP36,0,-$C$37+1))*Assumptions!$P$8)*(1+EQ33))</f>
        <v>0</v>
      </c>
      <c r="ER43" s="194"/>
      <c r="ES43" s="421"/>
      <c r="ET43" s="67"/>
      <c r="EU43" s="195"/>
    </row>
    <row r="44" spans="2:151" s="65" customFormat="1" ht="15.75">
      <c r="G44" s="482"/>
      <c r="H44" s="492" t="s">
        <v>130</v>
      </c>
      <c r="I44" s="184"/>
      <c r="J44" s="491"/>
      <c r="K44" s="192"/>
      <c r="L44" s="193"/>
      <c r="M44" s="193"/>
      <c r="N44" s="216">
        <f>'Annual Cash Flow'!C18</f>
        <v>0</v>
      </c>
      <c r="O44" s="777"/>
      <c r="P44" s="140">
        <f>N44/12</f>
        <v>0</v>
      </c>
      <c r="Q44" s="115">
        <f t="shared" ref="Q44:AV44" ca="1" si="184">IF(P87=0,0,1)*IF(Q11=1,$P$44,($P$44*(1+Q33)))</f>
        <v>0</v>
      </c>
      <c r="R44" s="115">
        <f t="shared" ca="1" si="184"/>
        <v>0</v>
      </c>
      <c r="S44" s="115">
        <f t="shared" ca="1" si="184"/>
        <v>0</v>
      </c>
      <c r="T44" s="115">
        <f t="shared" ca="1" si="184"/>
        <v>0</v>
      </c>
      <c r="U44" s="115">
        <f t="shared" ca="1" si="184"/>
        <v>0</v>
      </c>
      <c r="V44" s="115">
        <f t="shared" ca="1" si="184"/>
        <v>0</v>
      </c>
      <c r="W44" s="115">
        <f t="shared" ca="1" si="184"/>
        <v>0</v>
      </c>
      <c r="X44" s="115">
        <f t="shared" ca="1" si="184"/>
        <v>0</v>
      </c>
      <c r="Y44" s="115">
        <f t="shared" ca="1" si="184"/>
        <v>0</v>
      </c>
      <c r="Z44" s="115">
        <f t="shared" ca="1" si="184"/>
        <v>0</v>
      </c>
      <c r="AA44" s="115">
        <f t="shared" ca="1" si="184"/>
        <v>0</v>
      </c>
      <c r="AB44" s="115">
        <f t="shared" ca="1" si="184"/>
        <v>0</v>
      </c>
      <c r="AC44" s="115">
        <f t="shared" ca="1" si="184"/>
        <v>0</v>
      </c>
      <c r="AD44" s="115">
        <f t="shared" ca="1" si="184"/>
        <v>0</v>
      </c>
      <c r="AE44" s="115">
        <f t="shared" ca="1" si="184"/>
        <v>0</v>
      </c>
      <c r="AF44" s="115">
        <f t="shared" ca="1" si="184"/>
        <v>0</v>
      </c>
      <c r="AG44" s="115">
        <f t="shared" ca="1" si="184"/>
        <v>0</v>
      </c>
      <c r="AH44" s="115">
        <f t="shared" ca="1" si="184"/>
        <v>0</v>
      </c>
      <c r="AI44" s="115">
        <f t="shared" ca="1" si="184"/>
        <v>0</v>
      </c>
      <c r="AJ44" s="115">
        <f t="shared" ca="1" si="184"/>
        <v>0</v>
      </c>
      <c r="AK44" s="115">
        <f t="shared" ca="1" si="184"/>
        <v>0</v>
      </c>
      <c r="AL44" s="115">
        <f t="shared" ca="1" si="184"/>
        <v>0</v>
      </c>
      <c r="AM44" s="115">
        <f t="shared" ca="1" si="184"/>
        <v>0</v>
      </c>
      <c r="AN44" s="115">
        <f t="shared" ca="1" si="184"/>
        <v>0</v>
      </c>
      <c r="AO44" s="115">
        <f t="shared" ca="1" si="184"/>
        <v>0</v>
      </c>
      <c r="AP44" s="115">
        <f t="shared" ca="1" si="184"/>
        <v>0</v>
      </c>
      <c r="AQ44" s="115">
        <f t="shared" ca="1" si="184"/>
        <v>0</v>
      </c>
      <c r="AR44" s="115">
        <f t="shared" ca="1" si="184"/>
        <v>0</v>
      </c>
      <c r="AS44" s="115">
        <f t="shared" ca="1" si="184"/>
        <v>0</v>
      </c>
      <c r="AT44" s="115">
        <f t="shared" ca="1" si="184"/>
        <v>0</v>
      </c>
      <c r="AU44" s="115">
        <f t="shared" ca="1" si="184"/>
        <v>0</v>
      </c>
      <c r="AV44" s="115">
        <f t="shared" ca="1" si="184"/>
        <v>0</v>
      </c>
      <c r="AW44" s="115">
        <f t="shared" ref="AW44:CB44" ca="1" si="185">IF(AV87=0,0,1)*IF(AW11=1,$P$44,($P$44*(1+AW33)))</f>
        <v>0</v>
      </c>
      <c r="AX44" s="115">
        <f t="shared" ca="1" si="185"/>
        <v>0</v>
      </c>
      <c r="AY44" s="115">
        <f t="shared" ca="1" si="185"/>
        <v>0</v>
      </c>
      <c r="AZ44" s="115">
        <f t="shared" ca="1" si="185"/>
        <v>0</v>
      </c>
      <c r="BA44" s="115">
        <f t="shared" ca="1" si="185"/>
        <v>0</v>
      </c>
      <c r="BB44" s="115">
        <f t="shared" ca="1" si="185"/>
        <v>0</v>
      </c>
      <c r="BC44" s="115">
        <f t="shared" ca="1" si="185"/>
        <v>0</v>
      </c>
      <c r="BD44" s="115">
        <f t="shared" ca="1" si="185"/>
        <v>0</v>
      </c>
      <c r="BE44" s="115">
        <f t="shared" ca="1" si="185"/>
        <v>0</v>
      </c>
      <c r="BF44" s="115">
        <f t="shared" ca="1" si="185"/>
        <v>0</v>
      </c>
      <c r="BG44" s="115">
        <f t="shared" ca="1" si="185"/>
        <v>0</v>
      </c>
      <c r="BH44" s="115">
        <f t="shared" ca="1" si="185"/>
        <v>0</v>
      </c>
      <c r="BI44" s="115">
        <f t="shared" ca="1" si="185"/>
        <v>0</v>
      </c>
      <c r="BJ44" s="115">
        <f t="shared" ca="1" si="185"/>
        <v>0</v>
      </c>
      <c r="BK44" s="115">
        <f t="shared" ca="1" si="185"/>
        <v>0</v>
      </c>
      <c r="BL44" s="115">
        <f t="shared" ca="1" si="185"/>
        <v>0</v>
      </c>
      <c r="BM44" s="115">
        <f t="shared" ca="1" si="185"/>
        <v>0</v>
      </c>
      <c r="BN44" s="115">
        <f t="shared" ca="1" si="185"/>
        <v>0</v>
      </c>
      <c r="BO44" s="115">
        <f t="shared" ca="1" si="185"/>
        <v>0</v>
      </c>
      <c r="BP44" s="115">
        <f t="shared" ca="1" si="185"/>
        <v>0</v>
      </c>
      <c r="BQ44" s="115">
        <f t="shared" ca="1" si="185"/>
        <v>0</v>
      </c>
      <c r="BR44" s="115">
        <f t="shared" ca="1" si="185"/>
        <v>0</v>
      </c>
      <c r="BS44" s="115">
        <f t="shared" ca="1" si="185"/>
        <v>0</v>
      </c>
      <c r="BT44" s="115">
        <f t="shared" ca="1" si="185"/>
        <v>0</v>
      </c>
      <c r="BU44" s="115">
        <f t="shared" ca="1" si="185"/>
        <v>0</v>
      </c>
      <c r="BV44" s="115">
        <f t="shared" ca="1" si="185"/>
        <v>0</v>
      </c>
      <c r="BW44" s="115">
        <f t="shared" ca="1" si="185"/>
        <v>0</v>
      </c>
      <c r="BX44" s="115">
        <f t="shared" ca="1" si="185"/>
        <v>0</v>
      </c>
      <c r="BY44" s="115">
        <f t="shared" ca="1" si="185"/>
        <v>0</v>
      </c>
      <c r="BZ44" s="115">
        <f t="shared" ca="1" si="185"/>
        <v>0</v>
      </c>
      <c r="CA44" s="115">
        <f t="shared" ca="1" si="185"/>
        <v>0</v>
      </c>
      <c r="CB44" s="115">
        <f t="shared" ca="1" si="185"/>
        <v>0</v>
      </c>
      <c r="CC44" s="115">
        <f t="shared" ref="CC44:DH44" ca="1" si="186">IF(CB87=0,0,1)*IF(CC11=1,$P$44,($P$44*(1+CC33)))</f>
        <v>0</v>
      </c>
      <c r="CD44" s="115">
        <f t="shared" ca="1" si="186"/>
        <v>0</v>
      </c>
      <c r="CE44" s="115">
        <f t="shared" ca="1" si="186"/>
        <v>0</v>
      </c>
      <c r="CF44" s="115">
        <f t="shared" ca="1" si="186"/>
        <v>0</v>
      </c>
      <c r="CG44" s="115">
        <f t="shared" ca="1" si="186"/>
        <v>0</v>
      </c>
      <c r="CH44" s="115">
        <f t="shared" ca="1" si="186"/>
        <v>0</v>
      </c>
      <c r="CI44" s="115">
        <f t="shared" ca="1" si="186"/>
        <v>0</v>
      </c>
      <c r="CJ44" s="115">
        <f t="shared" ca="1" si="186"/>
        <v>0</v>
      </c>
      <c r="CK44" s="115">
        <f t="shared" ca="1" si="186"/>
        <v>0</v>
      </c>
      <c r="CL44" s="115">
        <f t="shared" ca="1" si="186"/>
        <v>0</v>
      </c>
      <c r="CM44" s="115">
        <f t="shared" ca="1" si="186"/>
        <v>0</v>
      </c>
      <c r="CN44" s="115">
        <f t="shared" ca="1" si="186"/>
        <v>0</v>
      </c>
      <c r="CO44" s="115">
        <f t="shared" ca="1" si="186"/>
        <v>0</v>
      </c>
      <c r="CP44" s="115">
        <f t="shared" ca="1" si="186"/>
        <v>0</v>
      </c>
      <c r="CQ44" s="115">
        <f t="shared" ca="1" si="186"/>
        <v>0</v>
      </c>
      <c r="CR44" s="115">
        <f t="shared" ca="1" si="186"/>
        <v>0</v>
      </c>
      <c r="CS44" s="115">
        <f t="shared" ca="1" si="186"/>
        <v>0</v>
      </c>
      <c r="CT44" s="115">
        <f t="shared" ca="1" si="186"/>
        <v>0</v>
      </c>
      <c r="CU44" s="115">
        <f t="shared" ca="1" si="186"/>
        <v>0</v>
      </c>
      <c r="CV44" s="115">
        <f t="shared" ca="1" si="186"/>
        <v>0</v>
      </c>
      <c r="CW44" s="115">
        <f t="shared" ca="1" si="186"/>
        <v>0</v>
      </c>
      <c r="CX44" s="115">
        <f t="shared" ca="1" si="186"/>
        <v>0</v>
      </c>
      <c r="CY44" s="115">
        <f t="shared" ca="1" si="186"/>
        <v>0</v>
      </c>
      <c r="CZ44" s="115">
        <f t="shared" ca="1" si="186"/>
        <v>0</v>
      </c>
      <c r="DA44" s="115">
        <f t="shared" ca="1" si="186"/>
        <v>0</v>
      </c>
      <c r="DB44" s="115">
        <f t="shared" ca="1" si="186"/>
        <v>0</v>
      </c>
      <c r="DC44" s="115">
        <f t="shared" ca="1" si="186"/>
        <v>0</v>
      </c>
      <c r="DD44" s="115">
        <f t="shared" ca="1" si="186"/>
        <v>0</v>
      </c>
      <c r="DE44" s="115">
        <f t="shared" ca="1" si="186"/>
        <v>0</v>
      </c>
      <c r="DF44" s="115">
        <f t="shared" ca="1" si="186"/>
        <v>0</v>
      </c>
      <c r="DG44" s="115">
        <f t="shared" ca="1" si="186"/>
        <v>0</v>
      </c>
      <c r="DH44" s="115">
        <f t="shared" ca="1" si="186"/>
        <v>0</v>
      </c>
      <c r="DI44" s="115">
        <f t="shared" ref="DI44:EQ44" ca="1" si="187">IF(DH87=0,0,1)*IF(DI11=1,$P$44,($P$44*(1+DI33)))</f>
        <v>0</v>
      </c>
      <c r="DJ44" s="115">
        <f t="shared" si="187"/>
        <v>0</v>
      </c>
      <c r="DK44" s="115">
        <f t="shared" si="187"/>
        <v>0</v>
      </c>
      <c r="DL44" s="115">
        <f t="shared" si="187"/>
        <v>0</v>
      </c>
      <c r="DM44" s="115">
        <f t="shared" si="187"/>
        <v>0</v>
      </c>
      <c r="DN44" s="115">
        <f t="shared" si="187"/>
        <v>0</v>
      </c>
      <c r="DO44" s="115">
        <f t="shared" si="187"/>
        <v>0</v>
      </c>
      <c r="DP44" s="115">
        <f t="shared" si="187"/>
        <v>0</v>
      </c>
      <c r="DQ44" s="115">
        <f t="shared" si="187"/>
        <v>0</v>
      </c>
      <c r="DR44" s="115">
        <f t="shared" si="187"/>
        <v>0</v>
      </c>
      <c r="DS44" s="115">
        <f t="shared" si="187"/>
        <v>0</v>
      </c>
      <c r="DT44" s="115">
        <f t="shared" si="187"/>
        <v>0</v>
      </c>
      <c r="DU44" s="115">
        <f t="shared" si="187"/>
        <v>0</v>
      </c>
      <c r="DV44" s="115">
        <f t="shared" si="187"/>
        <v>0</v>
      </c>
      <c r="DW44" s="115">
        <f t="shared" si="187"/>
        <v>0</v>
      </c>
      <c r="DX44" s="115">
        <f t="shared" si="187"/>
        <v>0</v>
      </c>
      <c r="DY44" s="115">
        <f t="shared" si="187"/>
        <v>0</v>
      </c>
      <c r="DZ44" s="115">
        <f t="shared" si="187"/>
        <v>0</v>
      </c>
      <c r="EA44" s="115">
        <f t="shared" si="187"/>
        <v>0</v>
      </c>
      <c r="EB44" s="115">
        <f t="shared" si="187"/>
        <v>0</v>
      </c>
      <c r="EC44" s="115">
        <f t="shared" si="187"/>
        <v>0</v>
      </c>
      <c r="ED44" s="115">
        <f t="shared" si="187"/>
        <v>0</v>
      </c>
      <c r="EE44" s="115">
        <f t="shared" si="187"/>
        <v>0</v>
      </c>
      <c r="EF44" s="115">
        <f t="shared" si="187"/>
        <v>0</v>
      </c>
      <c r="EG44" s="115">
        <f t="shared" si="187"/>
        <v>0</v>
      </c>
      <c r="EH44" s="115">
        <f t="shared" si="187"/>
        <v>0</v>
      </c>
      <c r="EI44" s="115">
        <f t="shared" si="187"/>
        <v>0</v>
      </c>
      <c r="EJ44" s="115">
        <f t="shared" si="187"/>
        <v>0</v>
      </c>
      <c r="EK44" s="115">
        <f t="shared" si="187"/>
        <v>0</v>
      </c>
      <c r="EL44" s="115">
        <f t="shared" si="187"/>
        <v>0</v>
      </c>
      <c r="EM44" s="115">
        <f t="shared" si="187"/>
        <v>0</v>
      </c>
      <c r="EN44" s="115">
        <f t="shared" si="187"/>
        <v>0</v>
      </c>
      <c r="EO44" s="115">
        <f t="shared" si="187"/>
        <v>0</v>
      </c>
      <c r="EP44" s="115">
        <f t="shared" si="187"/>
        <v>0</v>
      </c>
      <c r="EQ44" s="115">
        <f t="shared" si="187"/>
        <v>0</v>
      </c>
      <c r="ES44" s="421"/>
      <c r="ET44" s="67"/>
      <c r="EU44" s="195"/>
    </row>
    <row r="45" spans="2:151" s="65" customFormat="1" ht="15.75">
      <c r="G45" s="482"/>
      <c r="H45" s="482" t="s">
        <v>132</v>
      </c>
      <c r="I45" s="184"/>
      <c r="J45" s="491"/>
      <c r="K45" s="192"/>
      <c r="L45" s="193"/>
      <c r="M45" s="193"/>
      <c r="N45" s="216">
        <f>'Annual Cash Flow'!C19</f>
        <v>0</v>
      </c>
      <c r="O45" s="777"/>
      <c r="P45" s="140">
        <f>N45/12</f>
        <v>0</v>
      </c>
      <c r="Q45" s="115">
        <f t="shared" ref="Q45:AV45" ca="1" si="188">IF(P87=0,0,1)*IF(Q11=1,$P$45,($P$45*(1+Q33)))</f>
        <v>0</v>
      </c>
      <c r="R45" s="115">
        <f t="shared" ca="1" si="188"/>
        <v>0</v>
      </c>
      <c r="S45" s="115">
        <f t="shared" ca="1" si="188"/>
        <v>0</v>
      </c>
      <c r="T45" s="115">
        <f t="shared" ca="1" si="188"/>
        <v>0</v>
      </c>
      <c r="U45" s="115">
        <f t="shared" ca="1" si="188"/>
        <v>0</v>
      </c>
      <c r="V45" s="115">
        <f t="shared" ca="1" si="188"/>
        <v>0</v>
      </c>
      <c r="W45" s="115">
        <f t="shared" ca="1" si="188"/>
        <v>0</v>
      </c>
      <c r="X45" s="115">
        <f t="shared" ca="1" si="188"/>
        <v>0</v>
      </c>
      <c r="Y45" s="115">
        <f t="shared" ca="1" si="188"/>
        <v>0</v>
      </c>
      <c r="Z45" s="115">
        <f t="shared" ca="1" si="188"/>
        <v>0</v>
      </c>
      <c r="AA45" s="115">
        <f t="shared" ca="1" si="188"/>
        <v>0</v>
      </c>
      <c r="AB45" s="115">
        <f t="shared" ca="1" si="188"/>
        <v>0</v>
      </c>
      <c r="AC45" s="115">
        <f t="shared" ca="1" si="188"/>
        <v>0</v>
      </c>
      <c r="AD45" s="115">
        <f t="shared" ca="1" si="188"/>
        <v>0</v>
      </c>
      <c r="AE45" s="115">
        <f t="shared" ca="1" si="188"/>
        <v>0</v>
      </c>
      <c r="AF45" s="115">
        <f t="shared" ca="1" si="188"/>
        <v>0</v>
      </c>
      <c r="AG45" s="115">
        <f t="shared" ca="1" si="188"/>
        <v>0</v>
      </c>
      <c r="AH45" s="115">
        <f t="shared" ca="1" si="188"/>
        <v>0</v>
      </c>
      <c r="AI45" s="115">
        <f t="shared" ca="1" si="188"/>
        <v>0</v>
      </c>
      <c r="AJ45" s="115">
        <f t="shared" ca="1" si="188"/>
        <v>0</v>
      </c>
      <c r="AK45" s="115">
        <f t="shared" ca="1" si="188"/>
        <v>0</v>
      </c>
      <c r="AL45" s="115">
        <f t="shared" ca="1" si="188"/>
        <v>0</v>
      </c>
      <c r="AM45" s="115">
        <f t="shared" ca="1" si="188"/>
        <v>0</v>
      </c>
      <c r="AN45" s="115">
        <f t="shared" ca="1" si="188"/>
        <v>0</v>
      </c>
      <c r="AO45" s="115">
        <f t="shared" ca="1" si="188"/>
        <v>0</v>
      </c>
      <c r="AP45" s="115">
        <f t="shared" ca="1" si="188"/>
        <v>0</v>
      </c>
      <c r="AQ45" s="115">
        <f t="shared" ca="1" si="188"/>
        <v>0</v>
      </c>
      <c r="AR45" s="115">
        <f t="shared" ca="1" si="188"/>
        <v>0</v>
      </c>
      <c r="AS45" s="115">
        <f t="shared" ca="1" si="188"/>
        <v>0</v>
      </c>
      <c r="AT45" s="115">
        <f t="shared" ca="1" si="188"/>
        <v>0</v>
      </c>
      <c r="AU45" s="115">
        <f t="shared" ca="1" si="188"/>
        <v>0</v>
      </c>
      <c r="AV45" s="115">
        <f t="shared" ca="1" si="188"/>
        <v>0</v>
      </c>
      <c r="AW45" s="115">
        <f t="shared" ref="AW45:CB45" ca="1" si="189">IF(AV87=0,0,1)*IF(AW11=1,$P$45,($P$45*(1+AW33)))</f>
        <v>0</v>
      </c>
      <c r="AX45" s="115">
        <f t="shared" ca="1" si="189"/>
        <v>0</v>
      </c>
      <c r="AY45" s="115">
        <f t="shared" ca="1" si="189"/>
        <v>0</v>
      </c>
      <c r="AZ45" s="115">
        <f t="shared" ca="1" si="189"/>
        <v>0</v>
      </c>
      <c r="BA45" s="115">
        <f t="shared" ca="1" si="189"/>
        <v>0</v>
      </c>
      <c r="BB45" s="115">
        <f t="shared" ca="1" si="189"/>
        <v>0</v>
      </c>
      <c r="BC45" s="115">
        <f t="shared" ca="1" si="189"/>
        <v>0</v>
      </c>
      <c r="BD45" s="115">
        <f t="shared" ca="1" si="189"/>
        <v>0</v>
      </c>
      <c r="BE45" s="115">
        <f t="shared" ca="1" si="189"/>
        <v>0</v>
      </c>
      <c r="BF45" s="115">
        <f t="shared" ca="1" si="189"/>
        <v>0</v>
      </c>
      <c r="BG45" s="115">
        <f t="shared" ca="1" si="189"/>
        <v>0</v>
      </c>
      <c r="BH45" s="115">
        <f t="shared" ca="1" si="189"/>
        <v>0</v>
      </c>
      <c r="BI45" s="115">
        <f t="shared" ca="1" si="189"/>
        <v>0</v>
      </c>
      <c r="BJ45" s="115">
        <f t="shared" ca="1" si="189"/>
        <v>0</v>
      </c>
      <c r="BK45" s="115">
        <f t="shared" ca="1" si="189"/>
        <v>0</v>
      </c>
      <c r="BL45" s="115">
        <f t="shared" ca="1" si="189"/>
        <v>0</v>
      </c>
      <c r="BM45" s="115">
        <f t="shared" ca="1" si="189"/>
        <v>0</v>
      </c>
      <c r="BN45" s="115">
        <f t="shared" ca="1" si="189"/>
        <v>0</v>
      </c>
      <c r="BO45" s="115">
        <f t="shared" ca="1" si="189"/>
        <v>0</v>
      </c>
      <c r="BP45" s="115">
        <f t="shared" ca="1" si="189"/>
        <v>0</v>
      </c>
      <c r="BQ45" s="115">
        <f t="shared" ca="1" si="189"/>
        <v>0</v>
      </c>
      <c r="BR45" s="115">
        <f t="shared" ca="1" si="189"/>
        <v>0</v>
      </c>
      <c r="BS45" s="115">
        <f t="shared" ca="1" si="189"/>
        <v>0</v>
      </c>
      <c r="BT45" s="115">
        <f t="shared" ca="1" si="189"/>
        <v>0</v>
      </c>
      <c r="BU45" s="115">
        <f t="shared" ca="1" si="189"/>
        <v>0</v>
      </c>
      <c r="BV45" s="115">
        <f t="shared" ca="1" si="189"/>
        <v>0</v>
      </c>
      <c r="BW45" s="115">
        <f t="shared" ca="1" si="189"/>
        <v>0</v>
      </c>
      <c r="BX45" s="115">
        <f t="shared" ca="1" si="189"/>
        <v>0</v>
      </c>
      <c r="BY45" s="115">
        <f t="shared" ca="1" si="189"/>
        <v>0</v>
      </c>
      <c r="BZ45" s="115">
        <f t="shared" ca="1" si="189"/>
        <v>0</v>
      </c>
      <c r="CA45" s="115">
        <f t="shared" ca="1" si="189"/>
        <v>0</v>
      </c>
      <c r="CB45" s="115">
        <f t="shared" ca="1" si="189"/>
        <v>0</v>
      </c>
      <c r="CC45" s="115">
        <f t="shared" ref="CC45:DH45" ca="1" si="190">IF(CB87=0,0,1)*IF(CC11=1,$P$45,($P$45*(1+CC33)))</f>
        <v>0</v>
      </c>
      <c r="CD45" s="115">
        <f t="shared" ca="1" si="190"/>
        <v>0</v>
      </c>
      <c r="CE45" s="115">
        <f t="shared" ca="1" si="190"/>
        <v>0</v>
      </c>
      <c r="CF45" s="115">
        <f t="shared" ca="1" si="190"/>
        <v>0</v>
      </c>
      <c r="CG45" s="115">
        <f t="shared" ca="1" si="190"/>
        <v>0</v>
      </c>
      <c r="CH45" s="115">
        <f t="shared" ca="1" si="190"/>
        <v>0</v>
      </c>
      <c r="CI45" s="115">
        <f t="shared" ca="1" si="190"/>
        <v>0</v>
      </c>
      <c r="CJ45" s="115">
        <f t="shared" ca="1" si="190"/>
        <v>0</v>
      </c>
      <c r="CK45" s="115">
        <f t="shared" ca="1" si="190"/>
        <v>0</v>
      </c>
      <c r="CL45" s="115">
        <f t="shared" ca="1" si="190"/>
        <v>0</v>
      </c>
      <c r="CM45" s="115">
        <f t="shared" ca="1" si="190"/>
        <v>0</v>
      </c>
      <c r="CN45" s="115">
        <f t="shared" ca="1" si="190"/>
        <v>0</v>
      </c>
      <c r="CO45" s="115">
        <f t="shared" ca="1" si="190"/>
        <v>0</v>
      </c>
      <c r="CP45" s="115">
        <f t="shared" ca="1" si="190"/>
        <v>0</v>
      </c>
      <c r="CQ45" s="115">
        <f t="shared" ca="1" si="190"/>
        <v>0</v>
      </c>
      <c r="CR45" s="115">
        <f t="shared" ca="1" si="190"/>
        <v>0</v>
      </c>
      <c r="CS45" s="115">
        <f t="shared" ca="1" si="190"/>
        <v>0</v>
      </c>
      <c r="CT45" s="115">
        <f t="shared" ca="1" si="190"/>
        <v>0</v>
      </c>
      <c r="CU45" s="115">
        <f t="shared" ca="1" si="190"/>
        <v>0</v>
      </c>
      <c r="CV45" s="115">
        <f t="shared" ca="1" si="190"/>
        <v>0</v>
      </c>
      <c r="CW45" s="115">
        <f t="shared" ca="1" si="190"/>
        <v>0</v>
      </c>
      <c r="CX45" s="115">
        <f t="shared" ca="1" si="190"/>
        <v>0</v>
      </c>
      <c r="CY45" s="115">
        <f t="shared" ca="1" si="190"/>
        <v>0</v>
      </c>
      <c r="CZ45" s="115">
        <f t="shared" ca="1" si="190"/>
        <v>0</v>
      </c>
      <c r="DA45" s="115">
        <f t="shared" ca="1" si="190"/>
        <v>0</v>
      </c>
      <c r="DB45" s="115">
        <f t="shared" ca="1" si="190"/>
        <v>0</v>
      </c>
      <c r="DC45" s="115">
        <f t="shared" ca="1" si="190"/>
        <v>0</v>
      </c>
      <c r="DD45" s="115">
        <f t="shared" ca="1" si="190"/>
        <v>0</v>
      </c>
      <c r="DE45" s="115">
        <f t="shared" ca="1" si="190"/>
        <v>0</v>
      </c>
      <c r="DF45" s="115">
        <f t="shared" ca="1" si="190"/>
        <v>0</v>
      </c>
      <c r="DG45" s="115">
        <f t="shared" ca="1" si="190"/>
        <v>0</v>
      </c>
      <c r="DH45" s="115">
        <f t="shared" ca="1" si="190"/>
        <v>0</v>
      </c>
      <c r="DI45" s="115">
        <f t="shared" ref="DI45:EQ45" ca="1" si="191">IF(DH87=0,0,1)*IF(DI11=1,$P$45,($P$45*(1+DI33)))</f>
        <v>0</v>
      </c>
      <c r="DJ45" s="115">
        <f t="shared" si="191"/>
        <v>0</v>
      </c>
      <c r="DK45" s="115">
        <f t="shared" si="191"/>
        <v>0</v>
      </c>
      <c r="DL45" s="115">
        <f t="shared" si="191"/>
        <v>0</v>
      </c>
      <c r="DM45" s="115">
        <f t="shared" si="191"/>
        <v>0</v>
      </c>
      <c r="DN45" s="115">
        <f t="shared" si="191"/>
        <v>0</v>
      </c>
      <c r="DO45" s="115">
        <f t="shared" si="191"/>
        <v>0</v>
      </c>
      <c r="DP45" s="115">
        <f t="shared" si="191"/>
        <v>0</v>
      </c>
      <c r="DQ45" s="115">
        <f t="shared" si="191"/>
        <v>0</v>
      </c>
      <c r="DR45" s="115">
        <f t="shared" si="191"/>
        <v>0</v>
      </c>
      <c r="DS45" s="115">
        <f t="shared" si="191"/>
        <v>0</v>
      </c>
      <c r="DT45" s="115">
        <f t="shared" si="191"/>
        <v>0</v>
      </c>
      <c r="DU45" s="115">
        <f t="shared" si="191"/>
        <v>0</v>
      </c>
      <c r="DV45" s="115">
        <f t="shared" si="191"/>
        <v>0</v>
      </c>
      <c r="DW45" s="115">
        <f t="shared" si="191"/>
        <v>0</v>
      </c>
      <c r="DX45" s="115">
        <f t="shared" si="191"/>
        <v>0</v>
      </c>
      <c r="DY45" s="115">
        <f t="shared" si="191"/>
        <v>0</v>
      </c>
      <c r="DZ45" s="115">
        <f t="shared" si="191"/>
        <v>0</v>
      </c>
      <c r="EA45" s="115">
        <f t="shared" si="191"/>
        <v>0</v>
      </c>
      <c r="EB45" s="115">
        <f t="shared" si="191"/>
        <v>0</v>
      </c>
      <c r="EC45" s="115">
        <f t="shared" si="191"/>
        <v>0</v>
      </c>
      <c r="ED45" s="115">
        <f t="shared" si="191"/>
        <v>0</v>
      </c>
      <c r="EE45" s="115">
        <f t="shared" si="191"/>
        <v>0</v>
      </c>
      <c r="EF45" s="115">
        <f t="shared" si="191"/>
        <v>0</v>
      </c>
      <c r="EG45" s="115">
        <f t="shared" si="191"/>
        <v>0</v>
      </c>
      <c r="EH45" s="115">
        <f t="shared" si="191"/>
        <v>0</v>
      </c>
      <c r="EI45" s="115">
        <f t="shared" si="191"/>
        <v>0</v>
      </c>
      <c r="EJ45" s="115">
        <f t="shared" si="191"/>
        <v>0</v>
      </c>
      <c r="EK45" s="115">
        <f t="shared" si="191"/>
        <v>0</v>
      </c>
      <c r="EL45" s="115">
        <f t="shared" si="191"/>
        <v>0</v>
      </c>
      <c r="EM45" s="115">
        <f t="shared" si="191"/>
        <v>0</v>
      </c>
      <c r="EN45" s="115">
        <f t="shared" si="191"/>
        <v>0</v>
      </c>
      <c r="EO45" s="115">
        <f t="shared" si="191"/>
        <v>0</v>
      </c>
      <c r="EP45" s="115">
        <f t="shared" si="191"/>
        <v>0</v>
      </c>
      <c r="EQ45" s="115">
        <f t="shared" si="191"/>
        <v>0</v>
      </c>
      <c r="ES45" s="421"/>
      <c r="ET45" s="67"/>
      <c r="EU45" s="195"/>
    </row>
    <row r="46" spans="2:151" s="65" customFormat="1" ht="15.75">
      <c r="G46" s="493"/>
      <c r="H46" s="482" t="s">
        <v>38</v>
      </c>
      <c r="I46" s="184"/>
      <c r="J46" s="239"/>
      <c r="K46" s="196"/>
      <c r="L46" s="140"/>
      <c r="M46" s="140"/>
      <c r="N46" s="239">
        <f>'Annual Cash Flow'!C20</f>
        <v>0</v>
      </c>
      <c r="O46" s="779"/>
      <c r="P46" s="197">
        <f ca="1">IF(P10&lt;=Assumptions!$G$10+1,('Monthly Cash Flow Solution'!P35+P43)*-HLOOKUP(P11,Assumptions!$D$72:$O$74,3,FALSE),0)</f>
        <v>0</v>
      </c>
      <c r="Q46" s="197">
        <f ca="1">IF(Q10&lt;=Assumptions!$G$10+1,('Monthly Cash Flow Solution'!Q35+Q43)*-HLOOKUP(Q11,Assumptions!$D$72:$O$74,3,FALSE),0)</f>
        <v>0</v>
      </c>
      <c r="R46" s="197">
        <f ca="1">IF(R10&lt;=Assumptions!$G$10+1,('Monthly Cash Flow Solution'!R35+R43)*-HLOOKUP(R11,Assumptions!$D$72:$O$74,3,FALSE),0)</f>
        <v>0</v>
      </c>
      <c r="S46" s="197">
        <f ca="1">IF(S10&lt;=Assumptions!$G$10+1,('Monthly Cash Flow Solution'!S35+S43)*-HLOOKUP(S11,Assumptions!$D$72:$O$74,3,FALSE),0)</f>
        <v>0</v>
      </c>
      <c r="T46" s="197">
        <f ca="1">IF(T10&lt;=Assumptions!$G$10+1,('Monthly Cash Flow Solution'!T35+T43)*-HLOOKUP(T11,Assumptions!$D$72:$O$74,3,FALSE),0)</f>
        <v>0</v>
      </c>
      <c r="U46" s="197">
        <f ca="1">IF(U10&lt;=Assumptions!$G$10+1,('Monthly Cash Flow Solution'!U35+U43)*-HLOOKUP(U11,Assumptions!$D$72:$O$74,3,FALSE),0)</f>
        <v>0</v>
      </c>
      <c r="V46" s="197">
        <f ca="1">IF(V10&lt;=Assumptions!$G$10+1,('Monthly Cash Flow Solution'!V35+V43)*-HLOOKUP(V11,Assumptions!$D$72:$O$74,3,FALSE),0)</f>
        <v>0</v>
      </c>
      <c r="W46" s="197">
        <f ca="1">IF(W10&lt;=Assumptions!$G$10+1,('Monthly Cash Flow Solution'!W35+W43)*-HLOOKUP(W11,Assumptions!$D$72:$O$74,3,FALSE),0)</f>
        <v>0</v>
      </c>
      <c r="X46" s="197">
        <f ca="1">IF(X10&lt;=Assumptions!$G$10+1,('Monthly Cash Flow Solution'!X35+X43)*-HLOOKUP(X11,Assumptions!$D$72:$O$74,3,FALSE),0)</f>
        <v>0</v>
      </c>
      <c r="Y46" s="197">
        <f ca="1">IF(Y10&lt;=Assumptions!$G$10+1,('Monthly Cash Flow Solution'!Y35+Y43)*-HLOOKUP(Y11,Assumptions!$D$72:$O$74,3,FALSE),0)</f>
        <v>0</v>
      </c>
      <c r="Z46" s="197">
        <f ca="1">IF(Z10&lt;=Assumptions!$G$10+1,('Monthly Cash Flow Solution'!Z35+Z43)*-HLOOKUP(Z11,Assumptions!$D$72:$O$74,3,FALSE),0)</f>
        <v>0</v>
      </c>
      <c r="AA46" s="197">
        <f ca="1">IF(AA10&lt;=Assumptions!$G$10+1,('Monthly Cash Flow Solution'!AA35+AA43)*-HLOOKUP(AA11,Assumptions!$D$72:$O$74,3,FALSE),0)</f>
        <v>0</v>
      </c>
      <c r="AB46" s="197">
        <f ca="1">IF(AB10&lt;=Assumptions!$G$10+1,('Monthly Cash Flow Solution'!AB35+AB43)*-HLOOKUP(AB11,Assumptions!$D$72:$O$74,3,FALSE),0)</f>
        <v>0</v>
      </c>
      <c r="AC46" s="197">
        <f ca="1">IF(AC10&lt;=Assumptions!$G$10+1,('Monthly Cash Flow Solution'!AC35+AC43)*-HLOOKUP(AC11,Assumptions!$D$72:$O$74,3,FALSE),0)</f>
        <v>0</v>
      </c>
      <c r="AD46" s="197">
        <f ca="1">IF(AD10&lt;=Assumptions!$G$10+1,('Monthly Cash Flow Solution'!AD35+AD43)*-HLOOKUP(AD11,Assumptions!$D$72:$O$74,3,FALSE),0)</f>
        <v>0</v>
      </c>
      <c r="AE46" s="197">
        <f ca="1">IF(AE10&lt;=Assumptions!$G$10+1,('Monthly Cash Flow Solution'!AE35+AE43)*-HLOOKUP(AE11,Assumptions!$D$72:$O$74,3,FALSE),0)</f>
        <v>0</v>
      </c>
      <c r="AF46" s="197">
        <f ca="1">IF(AF10&lt;=Assumptions!$G$10+1,('Monthly Cash Flow Solution'!AF35+AF43)*-HLOOKUP(AF11,Assumptions!$D$72:$O$74,3,FALSE),0)</f>
        <v>0</v>
      </c>
      <c r="AG46" s="197">
        <f ca="1">IF(AG10&lt;=Assumptions!$G$10+1,('Monthly Cash Flow Solution'!AG35+AG43)*-HLOOKUP(AG11,Assumptions!$D$72:$O$74,3,FALSE),0)</f>
        <v>0</v>
      </c>
      <c r="AH46" s="197">
        <f ca="1">IF(AH10&lt;=Assumptions!$G$10+1,('Monthly Cash Flow Solution'!AH35+AH43)*-HLOOKUP(AH11,Assumptions!$D$72:$O$74,3,FALSE),0)</f>
        <v>0</v>
      </c>
      <c r="AI46" s="197">
        <f ca="1">IF(AI10&lt;=Assumptions!$G$10+1,('Monthly Cash Flow Solution'!AI35+AI43)*-HLOOKUP(AI11,Assumptions!$D$72:$O$74,3,FALSE),0)</f>
        <v>0</v>
      </c>
      <c r="AJ46" s="197">
        <f ca="1">IF(AJ10&lt;=Assumptions!$G$10+1,('Monthly Cash Flow Solution'!AJ35+AJ43)*-HLOOKUP(AJ11,Assumptions!$D$72:$O$74,3,FALSE),0)</f>
        <v>0</v>
      </c>
      <c r="AK46" s="197">
        <f ca="1">IF(AK10&lt;=Assumptions!$G$10+1,('Monthly Cash Flow Solution'!AK35+AK43)*-HLOOKUP(AK11,Assumptions!$D$72:$O$74,3,FALSE),0)</f>
        <v>0</v>
      </c>
      <c r="AL46" s="197">
        <f ca="1">IF(AL10&lt;=Assumptions!$G$10+1,('Monthly Cash Flow Solution'!AL35+AL43)*-HLOOKUP(AL11,Assumptions!$D$72:$O$74,3,FALSE),0)</f>
        <v>0</v>
      </c>
      <c r="AM46" s="197">
        <f ca="1">IF(AM10&lt;=Assumptions!$G$10+1,('Monthly Cash Flow Solution'!AM35+AM43)*-HLOOKUP(AM11,Assumptions!$D$72:$O$74,3,FALSE),0)</f>
        <v>0</v>
      </c>
      <c r="AN46" s="197">
        <f ca="1">IF(AN10&lt;=Assumptions!$G$10+1,('Monthly Cash Flow Solution'!AN35+AN43)*-HLOOKUP(AN11,Assumptions!$D$72:$O$74,3,FALSE),0)</f>
        <v>0</v>
      </c>
      <c r="AO46" s="197">
        <f ca="1">IF(AO10&lt;=Assumptions!$G$10+1,('Monthly Cash Flow Solution'!AO35+AO43)*-HLOOKUP(AO11,Assumptions!$D$72:$O$74,3,FALSE),0)</f>
        <v>0</v>
      </c>
      <c r="AP46" s="197">
        <f ca="1">IF(AP10&lt;=Assumptions!$G$10+1,('Monthly Cash Flow Solution'!AP35+AP43)*-HLOOKUP(AP11,Assumptions!$D$72:$O$74,3,FALSE),0)</f>
        <v>0</v>
      </c>
      <c r="AQ46" s="197">
        <f ca="1">IF(AQ10&lt;=Assumptions!$G$10+1,('Monthly Cash Flow Solution'!AQ35+AQ43)*-HLOOKUP(AQ11,Assumptions!$D$72:$O$74,3,FALSE),0)</f>
        <v>0</v>
      </c>
      <c r="AR46" s="197">
        <f ca="1">IF(AR10&lt;=Assumptions!$G$10+1,('Monthly Cash Flow Solution'!AR35+AR43)*-HLOOKUP(AR11,Assumptions!$D$72:$O$74,3,FALSE),0)</f>
        <v>0</v>
      </c>
      <c r="AS46" s="197">
        <f ca="1">IF(AS10&lt;=Assumptions!$G$10+1,('Monthly Cash Flow Solution'!AS35+AS43)*-HLOOKUP(AS11,Assumptions!$D$72:$O$74,3,FALSE),0)</f>
        <v>0</v>
      </c>
      <c r="AT46" s="197">
        <f ca="1">IF(AT10&lt;=Assumptions!$G$10+1,('Monthly Cash Flow Solution'!AT35+AT43)*-HLOOKUP(AT11,Assumptions!$D$72:$O$74,3,FALSE),0)</f>
        <v>0</v>
      </c>
      <c r="AU46" s="197">
        <f ca="1">IF(AU10&lt;=Assumptions!$G$10+1,('Monthly Cash Flow Solution'!AU35+AU43)*-HLOOKUP(AU11,Assumptions!$D$72:$O$74,3,FALSE),0)</f>
        <v>0</v>
      </c>
      <c r="AV46" s="197">
        <f ca="1">IF(AV10&lt;=Assumptions!$G$10+1,('Monthly Cash Flow Solution'!AV35+AV43)*-HLOOKUP(AV11,Assumptions!$D$72:$O$74,3,FALSE),0)</f>
        <v>0</v>
      </c>
      <c r="AW46" s="197">
        <f ca="1">IF(AW10&lt;=Assumptions!$G$10+1,('Monthly Cash Flow Solution'!AW35+AW43)*-HLOOKUP(AW11,Assumptions!$D$72:$O$74,3,FALSE),0)</f>
        <v>0</v>
      </c>
      <c r="AX46" s="197">
        <f ca="1">IF(AX10&lt;=Assumptions!$G$10+1,('Monthly Cash Flow Solution'!AX35+AX43)*-HLOOKUP(AX11,Assumptions!$D$72:$O$74,3,FALSE),0)</f>
        <v>0</v>
      </c>
      <c r="AY46" s="197">
        <f ca="1">IF(AY10&lt;=Assumptions!$G$10+1,('Monthly Cash Flow Solution'!AY35+AY43)*-HLOOKUP(AY11,Assumptions!$D$72:$O$74,3,FALSE),0)</f>
        <v>0</v>
      </c>
      <c r="AZ46" s="197">
        <f ca="1">IF(AZ10&lt;=Assumptions!$G$10+1,('Monthly Cash Flow Solution'!AZ35+AZ43)*-HLOOKUP(AZ11,Assumptions!$D$72:$O$74,3,FALSE),0)</f>
        <v>0</v>
      </c>
      <c r="BA46" s="197">
        <f ca="1">IF(BA10&lt;=Assumptions!$G$10+1,('Monthly Cash Flow Solution'!BA35+BA43)*-HLOOKUP(BA11,Assumptions!$D$72:$O$74,3,FALSE),0)</f>
        <v>0</v>
      </c>
      <c r="BB46" s="197">
        <f ca="1">IF(BB10&lt;=Assumptions!$G$10+1,('Monthly Cash Flow Solution'!BB35+BB43)*-HLOOKUP(BB11,Assumptions!$D$72:$O$74,3,FALSE),0)</f>
        <v>0</v>
      </c>
      <c r="BC46" s="197">
        <f ca="1">IF(BC10&lt;=Assumptions!$G$10+1,('Monthly Cash Flow Solution'!BC35+BC43)*-HLOOKUP(BC11,Assumptions!$D$72:$O$74,3,FALSE),0)</f>
        <v>0</v>
      </c>
      <c r="BD46" s="197">
        <f ca="1">IF(BD10&lt;=Assumptions!$G$10+1,('Monthly Cash Flow Solution'!BD35+BD43)*-HLOOKUP(BD11,Assumptions!$D$72:$O$74,3,FALSE),0)</f>
        <v>0</v>
      </c>
      <c r="BE46" s="197">
        <f ca="1">IF(BE10&lt;=Assumptions!$G$10+1,('Monthly Cash Flow Solution'!BE35+BE43)*-HLOOKUP(BE11,Assumptions!$D$72:$O$74,3,FALSE),0)</f>
        <v>0</v>
      </c>
      <c r="BF46" s="197">
        <f ca="1">IF(BF10&lt;=Assumptions!$G$10+1,('Monthly Cash Flow Solution'!BF35+BF43)*-HLOOKUP(BF11,Assumptions!$D$72:$O$74,3,FALSE),0)</f>
        <v>0</v>
      </c>
      <c r="BG46" s="197">
        <f ca="1">IF(BG10&lt;=Assumptions!$G$10+1,('Monthly Cash Flow Solution'!BG35+BG43)*-HLOOKUP(BG11,Assumptions!$D$72:$O$74,3,FALSE),0)</f>
        <v>0</v>
      </c>
      <c r="BH46" s="197">
        <f ca="1">IF(BH10&lt;=Assumptions!$G$10+1,('Monthly Cash Flow Solution'!BH35+BH43)*-HLOOKUP(BH11,Assumptions!$D$72:$O$74,3,FALSE),0)</f>
        <v>0</v>
      </c>
      <c r="BI46" s="197">
        <f ca="1">IF(BI10&lt;=Assumptions!$G$10+1,('Monthly Cash Flow Solution'!BI35+BI43)*-HLOOKUP(BI11,Assumptions!$D$72:$O$74,3,FALSE),0)</f>
        <v>0</v>
      </c>
      <c r="BJ46" s="197">
        <f ca="1">IF(BJ10&lt;=Assumptions!$G$10+1,('Monthly Cash Flow Solution'!BJ35+BJ43)*-HLOOKUP(BJ11,Assumptions!$D$72:$O$74,3,FALSE),0)</f>
        <v>0</v>
      </c>
      <c r="BK46" s="197">
        <f ca="1">IF(BK10&lt;=Assumptions!$G$10+1,('Monthly Cash Flow Solution'!BK35+BK43)*-HLOOKUP(BK11,Assumptions!$D$72:$O$74,3,FALSE),0)</f>
        <v>0</v>
      </c>
      <c r="BL46" s="197">
        <f ca="1">IF(BL10&lt;=Assumptions!$G$10+1,('Monthly Cash Flow Solution'!BL35+BL43)*-HLOOKUP(BL11,Assumptions!$D$72:$O$74,3,FALSE),0)</f>
        <v>0</v>
      </c>
      <c r="BM46" s="197">
        <f ca="1">IF(BM10&lt;=Assumptions!$G$10+1,('Monthly Cash Flow Solution'!BM35+BM43)*-HLOOKUP(BM11,Assumptions!$D$72:$O$74,3,FALSE),0)</f>
        <v>0</v>
      </c>
      <c r="BN46" s="197">
        <f ca="1">IF(BN10&lt;=Assumptions!$G$10+1,('Monthly Cash Flow Solution'!BN35+BN43)*-HLOOKUP(BN11,Assumptions!$D$72:$O$74,3,FALSE),0)</f>
        <v>0</v>
      </c>
      <c r="BO46" s="197">
        <f ca="1">IF(BO10&lt;=Assumptions!$G$10+1,('Monthly Cash Flow Solution'!BO35+BO43)*-HLOOKUP(BO11,Assumptions!$D$72:$O$74,3,FALSE),0)</f>
        <v>0</v>
      </c>
      <c r="BP46" s="197">
        <f ca="1">IF(BP10&lt;=Assumptions!$G$10+1,('Monthly Cash Flow Solution'!BP35+BP43)*-HLOOKUP(BP11,Assumptions!$D$72:$O$74,3,FALSE),0)</f>
        <v>0</v>
      </c>
      <c r="BQ46" s="197">
        <f ca="1">IF(BQ10&lt;=Assumptions!$G$10+1,('Monthly Cash Flow Solution'!BQ35+BQ43)*-HLOOKUP(BQ11,Assumptions!$D$72:$O$74,3,FALSE),0)</f>
        <v>0</v>
      </c>
      <c r="BR46" s="197">
        <f ca="1">IF(BR10&lt;=Assumptions!$G$10+1,('Monthly Cash Flow Solution'!BR35+BR43)*-HLOOKUP(BR11,Assumptions!$D$72:$O$74,3,FALSE),0)</f>
        <v>0</v>
      </c>
      <c r="BS46" s="197">
        <f ca="1">IF(BS10&lt;=Assumptions!$G$10+1,('Monthly Cash Flow Solution'!BS35+BS43)*-HLOOKUP(BS11,Assumptions!$D$72:$O$74,3,FALSE),0)</f>
        <v>0</v>
      </c>
      <c r="BT46" s="197">
        <f ca="1">IF(BT10&lt;=Assumptions!$G$10+1,('Monthly Cash Flow Solution'!BT35+BT43)*-HLOOKUP(BT11,Assumptions!$D$72:$O$74,3,FALSE),0)</f>
        <v>0</v>
      </c>
      <c r="BU46" s="197">
        <f ca="1">IF(BU10&lt;=Assumptions!$G$10+1,('Monthly Cash Flow Solution'!BU35+BU43)*-HLOOKUP(BU11,Assumptions!$D$72:$O$74,3,FALSE),0)</f>
        <v>0</v>
      </c>
      <c r="BV46" s="197">
        <f ca="1">IF(BV10&lt;=Assumptions!$G$10+1,('Monthly Cash Flow Solution'!BV35+BV43)*-HLOOKUP(BV11,Assumptions!$D$72:$O$74,3,FALSE),0)</f>
        <v>0</v>
      </c>
      <c r="BW46" s="197">
        <f ca="1">IF(BW10&lt;=Assumptions!$G$10+1,('Monthly Cash Flow Solution'!BW35+BW43)*-HLOOKUP(BW11,Assumptions!$D$72:$O$74,3,FALSE),0)</f>
        <v>0</v>
      </c>
      <c r="BX46" s="197">
        <f ca="1">IF(BX10&lt;=Assumptions!$G$10+1,('Monthly Cash Flow Solution'!BX35+BX43)*-HLOOKUP(BX11,Assumptions!$D$72:$O$74,3,FALSE),0)</f>
        <v>0</v>
      </c>
      <c r="BY46" s="197">
        <f ca="1">IF(BY10&lt;=Assumptions!$G$10+1,('Monthly Cash Flow Solution'!BY35+BY43)*-HLOOKUP(BY11,Assumptions!$D$72:$O$74,3,FALSE),0)</f>
        <v>0</v>
      </c>
      <c r="BZ46" s="197">
        <f ca="1">IF(BZ10&lt;=Assumptions!$G$10+1,('Monthly Cash Flow Solution'!BZ35+BZ43)*-HLOOKUP(BZ11,Assumptions!$D$72:$O$74,3,FALSE),0)</f>
        <v>0</v>
      </c>
      <c r="CA46" s="197">
        <f ca="1">IF(CA10&lt;=Assumptions!$G$10+1,('Monthly Cash Flow Solution'!CA35+CA43)*-HLOOKUP(CA11,Assumptions!$D$72:$O$74,3,FALSE),0)</f>
        <v>0</v>
      </c>
      <c r="CB46" s="197">
        <f ca="1">IF(CB10&lt;=Assumptions!$G$10+1,('Monthly Cash Flow Solution'!CB35+CB43)*-HLOOKUP(CB11,Assumptions!$D$72:$O$74,3,FALSE),0)</f>
        <v>0</v>
      </c>
      <c r="CC46" s="197">
        <f ca="1">IF(CC10&lt;=Assumptions!$G$10+1,('Monthly Cash Flow Solution'!CC35+CC43)*-HLOOKUP(CC11,Assumptions!$D$72:$O$74,3,FALSE),0)</f>
        <v>0</v>
      </c>
      <c r="CD46" s="197">
        <f ca="1">IF(CD10&lt;=Assumptions!$G$10+1,('Monthly Cash Flow Solution'!CD35+CD43)*-HLOOKUP(CD11,Assumptions!$D$72:$O$74,3,FALSE),0)</f>
        <v>0</v>
      </c>
      <c r="CE46" s="197">
        <f ca="1">IF(CE10&lt;=Assumptions!$G$10+1,('Monthly Cash Flow Solution'!CE35+CE43)*-HLOOKUP(CE11,Assumptions!$D$72:$O$74,3,FALSE),0)</f>
        <v>0</v>
      </c>
      <c r="CF46" s="197">
        <f ca="1">IF(CF10&lt;=Assumptions!$G$10+1,('Monthly Cash Flow Solution'!CF35+CF43)*-HLOOKUP(CF11,Assumptions!$D$72:$O$74,3,FALSE),0)</f>
        <v>0</v>
      </c>
      <c r="CG46" s="197">
        <f ca="1">IF(CG10&lt;=Assumptions!$G$10+1,('Monthly Cash Flow Solution'!CG35+CG43)*-HLOOKUP(CG11,Assumptions!$D$72:$O$74,3,FALSE),0)</f>
        <v>0</v>
      </c>
      <c r="CH46" s="197">
        <f ca="1">IF(CH10&lt;=Assumptions!$G$10+1,('Monthly Cash Flow Solution'!CH35+CH43)*-HLOOKUP(CH11,Assumptions!$D$72:$O$74,3,FALSE),0)</f>
        <v>0</v>
      </c>
      <c r="CI46" s="197">
        <f ca="1">IF(CI10&lt;=Assumptions!$G$10+1,('Monthly Cash Flow Solution'!CI35+CI43)*-HLOOKUP(CI11,Assumptions!$D$72:$O$74,3,FALSE),0)</f>
        <v>0</v>
      </c>
      <c r="CJ46" s="197">
        <f ca="1">IF(CJ10&lt;=Assumptions!$G$10+1,('Monthly Cash Flow Solution'!CJ35+CJ43)*-HLOOKUP(CJ11,Assumptions!$D$72:$O$74,3,FALSE),0)</f>
        <v>0</v>
      </c>
      <c r="CK46" s="197">
        <f ca="1">IF(CK10&lt;=Assumptions!$G$10+1,('Monthly Cash Flow Solution'!CK35+CK43)*-HLOOKUP(CK11,Assumptions!$D$72:$O$74,3,FALSE),0)</f>
        <v>0</v>
      </c>
      <c r="CL46" s="197">
        <f ca="1">IF(CL10&lt;=Assumptions!$G$10+1,('Monthly Cash Flow Solution'!CL35+CL43)*-HLOOKUP(CL11,Assumptions!$D$72:$O$74,3,FALSE),0)</f>
        <v>0</v>
      </c>
      <c r="CM46" s="197">
        <f ca="1">IF(CM10&lt;=Assumptions!$G$10+1,('Monthly Cash Flow Solution'!CM35+CM43)*-HLOOKUP(CM11,Assumptions!$D$72:$O$74,3,FALSE),0)</f>
        <v>0</v>
      </c>
      <c r="CN46" s="197">
        <f ca="1">IF(CN10&lt;=Assumptions!$G$10+1,('Monthly Cash Flow Solution'!CN35+CN43)*-HLOOKUP(CN11,Assumptions!$D$72:$O$74,3,FALSE),0)</f>
        <v>0</v>
      </c>
      <c r="CO46" s="197">
        <f ca="1">IF(CO10&lt;=Assumptions!$G$10+1,('Monthly Cash Flow Solution'!CO35+CO43)*-HLOOKUP(CO11,Assumptions!$D$72:$O$74,3,FALSE),0)</f>
        <v>0</v>
      </c>
      <c r="CP46" s="197">
        <f ca="1">IF(CP10&lt;=Assumptions!$G$10+1,('Monthly Cash Flow Solution'!CP35+CP43)*-HLOOKUP(CP11,Assumptions!$D$72:$O$74,3,FALSE),0)</f>
        <v>0</v>
      </c>
      <c r="CQ46" s="197">
        <f ca="1">IF(CQ10&lt;=Assumptions!$G$10+1,('Monthly Cash Flow Solution'!CQ35+CQ43)*-HLOOKUP(CQ11,Assumptions!$D$72:$O$74,3,FALSE),0)</f>
        <v>0</v>
      </c>
      <c r="CR46" s="197">
        <f ca="1">IF(CR10&lt;=Assumptions!$G$10+1,('Monthly Cash Flow Solution'!CR35+CR43)*-HLOOKUP(CR11,Assumptions!$D$72:$O$74,3,FALSE),0)</f>
        <v>0</v>
      </c>
      <c r="CS46" s="197">
        <f ca="1">IF(CS10&lt;=Assumptions!$G$10+1,('Monthly Cash Flow Solution'!CS35+CS43)*-HLOOKUP(CS11,Assumptions!$D$72:$O$74,3,FALSE),0)</f>
        <v>0</v>
      </c>
      <c r="CT46" s="197">
        <f ca="1">IF(CT10&lt;=Assumptions!$G$10+1,('Monthly Cash Flow Solution'!CT35+CT43)*-HLOOKUP(CT11,Assumptions!$D$72:$O$74,3,FALSE),0)</f>
        <v>0</v>
      </c>
      <c r="CU46" s="197">
        <f ca="1">IF(CU10&lt;=Assumptions!$G$10+1,('Monthly Cash Flow Solution'!CU35+CU43)*-HLOOKUP(CU11,Assumptions!$D$72:$O$74,3,FALSE),0)</f>
        <v>0</v>
      </c>
      <c r="CV46" s="197">
        <f ca="1">IF(CV10&lt;=Assumptions!$G$10+1,('Monthly Cash Flow Solution'!CV35+CV43)*-HLOOKUP(CV11,Assumptions!$D$72:$O$74,3,FALSE),0)</f>
        <v>0</v>
      </c>
      <c r="CW46" s="197">
        <f ca="1">IF(CW10&lt;=Assumptions!$G$10+1,('Monthly Cash Flow Solution'!CW35+CW43)*-HLOOKUP(CW11,Assumptions!$D$72:$O$74,3,FALSE),0)</f>
        <v>0</v>
      </c>
      <c r="CX46" s="197">
        <f ca="1">IF(CX10&lt;=Assumptions!$G$10+1,('Monthly Cash Flow Solution'!CX35+CX43)*-HLOOKUP(CX11,Assumptions!$D$72:$O$74,3,FALSE),0)</f>
        <v>0</v>
      </c>
      <c r="CY46" s="197">
        <f ca="1">IF(CY10&lt;=Assumptions!$G$10+1,('Monthly Cash Flow Solution'!CY35+CY43)*-HLOOKUP(CY11,Assumptions!$D$72:$O$74,3,FALSE),0)</f>
        <v>0</v>
      </c>
      <c r="CZ46" s="197">
        <f ca="1">IF(CZ10&lt;=Assumptions!$G$10+1,('Monthly Cash Flow Solution'!CZ35+CZ43)*-HLOOKUP(CZ11,Assumptions!$D$72:$O$74,3,FALSE),0)</f>
        <v>0</v>
      </c>
      <c r="DA46" s="197">
        <f ca="1">IF(DA10&lt;=Assumptions!$G$10+1,('Monthly Cash Flow Solution'!DA35+DA43)*-HLOOKUP(DA11,Assumptions!$D$72:$O$74,3,FALSE),0)</f>
        <v>0</v>
      </c>
      <c r="DB46" s="197">
        <f ca="1">IF(DB10&lt;=Assumptions!$G$10+1,('Monthly Cash Flow Solution'!DB35+DB43)*-HLOOKUP(DB11,Assumptions!$D$72:$O$74,3,FALSE),0)</f>
        <v>0</v>
      </c>
      <c r="DC46" s="197">
        <f ca="1">IF(DC10&lt;=Assumptions!$G$10+1,('Monthly Cash Flow Solution'!DC35+DC43)*-HLOOKUP(DC11,Assumptions!$D$72:$O$74,3,FALSE),0)</f>
        <v>0</v>
      </c>
      <c r="DD46" s="197">
        <f ca="1">IF(DD10&lt;=Assumptions!$G$10+1,('Monthly Cash Flow Solution'!DD35+DD43)*-HLOOKUP(DD11,Assumptions!$D$72:$O$74,3,FALSE),0)</f>
        <v>0</v>
      </c>
      <c r="DE46" s="197">
        <f ca="1">IF(DE10&lt;=Assumptions!$G$10+1,('Monthly Cash Flow Solution'!DE35+DE43)*-HLOOKUP(DE11,Assumptions!$D$72:$O$74,3,FALSE),0)</f>
        <v>0</v>
      </c>
      <c r="DF46" s="197">
        <f ca="1">IF(DF10&lt;=Assumptions!$G$10+1,('Monthly Cash Flow Solution'!DF35+DF43)*-HLOOKUP(DF11,Assumptions!$D$72:$O$74,3,FALSE),0)</f>
        <v>0</v>
      </c>
      <c r="DG46" s="197">
        <f ca="1">IF(DG10&lt;=Assumptions!$G$10+1,('Monthly Cash Flow Solution'!DG35+DG43)*-HLOOKUP(DG11,Assumptions!$D$72:$O$74,3,FALSE),0)</f>
        <v>0</v>
      </c>
      <c r="DH46" s="197">
        <f ca="1">IF(DH10&lt;=Assumptions!$G$10+1,('Monthly Cash Flow Solution'!DH35+DH43)*-HLOOKUP(DH11,Assumptions!$D$72:$O$74,3,FALSE),0)</f>
        <v>0</v>
      </c>
      <c r="DI46" s="197">
        <f>IF(DI10&lt;=Assumptions!$G$10+1,('Monthly Cash Flow Solution'!DI35+DI43)*-HLOOKUP(DI11,Assumptions!$D$72:$O$74,3,FALSE),0)</f>
        <v>0</v>
      </c>
      <c r="DJ46" s="197">
        <f>IF(DJ10&lt;=Assumptions!$G$10+1,('Monthly Cash Flow Solution'!DJ35+DJ43)*-HLOOKUP(DJ11,Assumptions!$D$72:$O$74,3,FALSE),0)</f>
        <v>0</v>
      </c>
      <c r="DK46" s="197">
        <f>IF(DK10&lt;=Assumptions!$G$10+1,('Monthly Cash Flow Solution'!DK35+DK43)*-HLOOKUP(DK11,Assumptions!$D$72:$O$74,3,FALSE),0)</f>
        <v>0</v>
      </c>
      <c r="DL46" s="197">
        <f>IF(DL10&lt;=Assumptions!$G$10+1,('Monthly Cash Flow Solution'!DL35+DL43)*-HLOOKUP(DL11,Assumptions!$D$72:$O$74,3,FALSE),0)</f>
        <v>0</v>
      </c>
      <c r="DM46" s="197">
        <f>IF(DM10&lt;=Assumptions!$G$10+1,('Monthly Cash Flow Solution'!DM35+DM43)*-HLOOKUP(DM11,Assumptions!$D$72:$O$74,3,FALSE),0)</f>
        <v>0</v>
      </c>
      <c r="DN46" s="197">
        <f>IF(DN10&lt;=Assumptions!$G$10+1,('Monthly Cash Flow Solution'!DN35+DN43)*-HLOOKUP(DN11,Assumptions!$D$72:$O$74,3,FALSE),0)</f>
        <v>0</v>
      </c>
      <c r="DO46" s="197">
        <f>IF(DO10&lt;=Assumptions!$G$10+1,('Monthly Cash Flow Solution'!DO35+DO43)*-HLOOKUP(DO11,Assumptions!$D$72:$O$74,3,FALSE),0)</f>
        <v>0</v>
      </c>
      <c r="DP46" s="197">
        <f>IF(DP10&lt;=Assumptions!$G$10+1,('Monthly Cash Flow Solution'!DP35+DP43)*-HLOOKUP(DP11,Assumptions!$D$72:$O$74,3,FALSE),0)</f>
        <v>0</v>
      </c>
      <c r="DQ46" s="197">
        <f>IF(DQ10&lt;=Assumptions!$G$10+1,('Monthly Cash Flow Solution'!DQ35+DQ43)*-HLOOKUP(DQ11,Assumptions!$D$72:$O$74,3,FALSE),0)</f>
        <v>0</v>
      </c>
      <c r="DR46" s="197">
        <f>IF(DR10&lt;=Assumptions!$G$10+1,('Monthly Cash Flow Solution'!DR35+DR43)*-HLOOKUP(DR11,Assumptions!$D$72:$O$74,3,FALSE),0)</f>
        <v>0</v>
      </c>
      <c r="DS46" s="197">
        <f>IF(DS10&lt;=Assumptions!$G$10+1,('Monthly Cash Flow Solution'!DS35+DS43)*-HLOOKUP(DS11,Assumptions!$D$72:$O$74,3,FALSE),0)</f>
        <v>0</v>
      </c>
      <c r="DT46" s="197">
        <f>IF(DT10&lt;=Assumptions!$G$10+1,('Monthly Cash Flow Solution'!DT35+DT43)*-HLOOKUP(DT11,Assumptions!$D$72:$O$74,3,FALSE),0)</f>
        <v>0</v>
      </c>
      <c r="DU46" s="197">
        <f>IF(DU10&lt;=Assumptions!$G$10+1,('Monthly Cash Flow Solution'!DU35+DU43)*-HLOOKUP(DU11,Assumptions!$D$72:$O$74,3,FALSE),0)</f>
        <v>0</v>
      </c>
      <c r="DV46" s="197">
        <f>IF(DV10&lt;=Assumptions!$G$10+1,('Monthly Cash Flow Solution'!DV35+DV43)*-HLOOKUP(DV11,Assumptions!$D$72:$O$74,3,FALSE),0)</f>
        <v>0</v>
      </c>
      <c r="DW46" s="197">
        <f>IF(DW10&lt;=Assumptions!$G$10+1,('Monthly Cash Flow Solution'!DW35+DW43)*-HLOOKUP(DW11,Assumptions!$D$72:$O$74,3,FALSE),0)</f>
        <v>0</v>
      </c>
      <c r="DX46" s="197">
        <f>IF(DX10&lt;=Assumptions!$G$10+1,('Monthly Cash Flow Solution'!DX35+DX43)*-HLOOKUP(DX11,Assumptions!$D$72:$O$74,3,FALSE),0)</f>
        <v>0</v>
      </c>
      <c r="DY46" s="197">
        <f>IF(DY10&lt;=Assumptions!$G$10+1,('Monthly Cash Flow Solution'!DY35+DY43)*-HLOOKUP(DY11,Assumptions!$D$72:$O$74,3,FALSE),0)</f>
        <v>0</v>
      </c>
      <c r="DZ46" s="197">
        <f>IF(DZ10&lt;=Assumptions!$G$10+1,('Monthly Cash Flow Solution'!DZ35+DZ43)*-HLOOKUP(DZ11,Assumptions!$D$72:$O$74,3,FALSE),0)</f>
        <v>0</v>
      </c>
      <c r="EA46" s="197">
        <f>IF(EA10&lt;=Assumptions!$G$10+1,('Monthly Cash Flow Solution'!EA35+EA43)*-HLOOKUP(EA11,Assumptions!$D$72:$O$74,3,FALSE),0)</f>
        <v>0</v>
      </c>
      <c r="EB46" s="197">
        <f>IF(EB10&lt;=Assumptions!$G$10+1,('Monthly Cash Flow Solution'!EB35+EB43)*-HLOOKUP(EB11,Assumptions!$D$72:$O$74,3,FALSE),0)</f>
        <v>0</v>
      </c>
      <c r="EC46" s="197">
        <f>IF(EC10&lt;=Assumptions!$G$10+1,('Monthly Cash Flow Solution'!EC35+EC43)*-HLOOKUP(EC11,Assumptions!$D$72:$O$74,3,FALSE),0)</f>
        <v>0</v>
      </c>
      <c r="ED46" s="197">
        <f>IF(ED10&lt;=Assumptions!$G$10+1,('Monthly Cash Flow Solution'!ED35+ED43)*-HLOOKUP(ED11,Assumptions!$D$72:$O$74,3,FALSE),0)</f>
        <v>0</v>
      </c>
      <c r="EE46" s="197">
        <f>IF(EE10&lt;=Assumptions!$G$10+1,('Monthly Cash Flow Solution'!EE35+EE43)*-HLOOKUP(EE11,Assumptions!$D$72:$O$74,3,FALSE),0)</f>
        <v>0</v>
      </c>
      <c r="EF46" s="197">
        <f>IF(EF10&lt;=Assumptions!$G$10+1,('Monthly Cash Flow Solution'!EF35+EF43)*-HLOOKUP(EF11,Assumptions!$D$72:$O$74,3,FALSE),0)</f>
        <v>0</v>
      </c>
      <c r="EG46" s="197">
        <f>IF(EG10&lt;=Assumptions!$G$10+1,('Monthly Cash Flow Solution'!EG35+EG43)*-HLOOKUP(EG11,Assumptions!$D$72:$O$74,3,FALSE),0)</f>
        <v>0</v>
      </c>
      <c r="EH46" s="197">
        <f>IF(EH10&lt;=Assumptions!$G$10+1,('Monthly Cash Flow Solution'!EH35+EH43)*-HLOOKUP(EH11,Assumptions!$D$72:$O$74,3,FALSE),0)</f>
        <v>0</v>
      </c>
      <c r="EI46" s="197">
        <f>IF(EI10&lt;=Assumptions!$G$10+1,('Monthly Cash Flow Solution'!EI35+EI43)*-HLOOKUP(EI11,Assumptions!$D$72:$O$74,3,FALSE),0)</f>
        <v>0</v>
      </c>
      <c r="EJ46" s="197">
        <f>IF(EJ10&lt;=Assumptions!$G$10+1,('Monthly Cash Flow Solution'!EJ35+EJ43)*-HLOOKUP(EJ11,Assumptions!$D$72:$O$74,3,FALSE),0)</f>
        <v>0</v>
      </c>
      <c r="EK46" s="197">
        <f>IF(EK10&lt;=Assumptions!$G$10+1,('Monthly Cash Flow Solution'!EK35+EK43)*-HLOOKUP(EK11,Assumptions!$D$72:$O$74,3,FALSE),0)</f>
        <v>0</v>
      </c>
      <c r="EL46" s="197">
        <f>IF(EL10&lt;=Assumptions!$G$10+1,('Monthly Cash Flow Solution'!EL35+EL43)*-HLOOKUP(EL11,Assumptions!$D$72:$O$74,3,FALSE),0)</f>
        <v>0</v>
      </c>
      <c r="EM46" s="197">
        <f>IF(EM10&lt;=Assumptions!$G$10+1,('Monthly Cash Flow Solution'!EM35+EM43)*-HLOOKUP(EM11,Assumptions!$D$72:$O$74,3,FALSE),0)</f>
        <v>0</v>
      </c>
      <c r="EN46" s="197">
        <f>IF(EN10&lt;=Assumptions!$G$10+1,('Monthly Cash Flow Solution'!EN35+EN43)*-HLOOKUP(EN11,Assumptions!$D$72:$O$74,3,FALSE),0)</f>
        <v>0</v>
      </c>
      <c r="EO46" s="197">
        <f>IF(EO10&lt;=Assumptions!$G$10+1,('Monthly Cash Flow Solution'!EO35+EO43)*-HLOOKUP(EO11,Assumptions!$D$72:$O$74,3,FALSE),0)</f>
        <v>0</v>
      </c>
      <c r="EP46" s="197">
        <f>IF(EP10&lt;=Assumptions!$G$10+1,('Monthly Cash Flow Solution'!EP35+EP43)*-HLOOKUP(EP11,Assumptions!$D$72:$O$74,3,FALSE),0)</f>
        <v>0</v>
      </c>
      <c r="EQ46" s="197">
        <f>IF(EQ10&lt;=Assumptions!$G$10+1,('Monthly Cash Flow Solution'!EQ35+EQ43)*-HLOOKUP(EQ11,Assumptions!$D$72:$O$74,3,FALSE),0)</f>
        <v>0</v>
      </c>
      <c r="ES46" s="421"/>
      <c r="ET46" s="67"/>
      <c r="EU46" s="195"/>
    </row>
    <row r="47" spans="2:151" ht="6" customHeight="1">
      <c r="G47" s="485"/>
      <c r="H47" s="482"/>
      <c r="I47" s="97"/>
      <c r="J47" s="220"/>
      <c r="K47" s="116"/>
      <c r="L47" s="102"/>
      <c r="M47" s="102"/>
      <c r="N47" s="220"/>
      <c r="O47" s="780"/>
      <c r="P47" s="103"/>
      <c r="Q47" s="104"/>
      <c r="R47" s="104"/>
      <c r="S47" s="105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S47" s="421"/>
      <c r="ET47" s="63"/>
      <c r="EU47" s="98"/>
    </row>
    <row r="48" spans="2:151" ht="15.75">
      <c r="G48" s="494" t="s">
        <v>12</v>
      </c>
      <c r="H48" s="482"/>
      <c r="I48" s="108"/>
      <c r="J48" s="217"/>
      <c r="K48" s="107"/>
      <c r="L48" s="106"/>
      <c r="M48" s="106"/>
      <c r="N48" s="217">
        <f>N35+N43+N44+N45+N46+N37</f>
        <v>285240</v>
      </c>
      <c r="O48" s="781"/>
      <c r="P48" s="106">
        <f t="shared" ref="P48:AU48" ca="1" si="192">P35+P43+P46+P37+P44+P45</f>
        <v>24225</v>
      </c>
      <c r="Q48" s="106">
        <f t="shared" ca="1" si="192"/>
        <v>23417.500000000004</v>
      </c>
      <c r="R48" s="106">
        <f t="shared" ca="1" si="192"/>
        <v>20187.500000000004</v>
      </c>
      <c r="S48" s="106">
        <f t="shared" ca="1" si="192"/>
        <v>16150.000000000004</v>
      </c>
      <c r="T48" s="106">
        <f t="shared" ca="1" si="192"/>
        <v>17057.500000000004</v>
      </c>
      <c r="U48" s="106">
        <f t="shared" ca="1" si="192"/>
        <v>20687.500000000004</v>
      </c>
      <c r="V48" s="106">
        <f t="shared" ca="1" si="192"/>
        <v>25225.000000000004</v>
      </c>
      <c r="W48" s="106">
        <f t="shared" ca="1" si="192"/>
        <v>25225.000000000004</v>
      </c>
      <c r="X48" s="106">
        <f t="shared" ca="1" si="192"/>
        <v>25225.000000000004</v>
      </c>
      <c r="Y48" s="106">
        <f t="shared" ca="1" si="192"/>
        <v>25225.000000000004</v>
      </c>
      <c r="Z48" s="106">
        <f t="shared" ca="1" si="192"/>
        <v>25225.000000000004</v>
      </c>
      <c r="AA48" s="106">
        <f t="shared" ca="1" si="192"/>
        <v>25225.000000000004</v>
      </c>
      <c r="AB48" s="106">
        <f t="shared" ca="1" si="192"/>
        <v>22218.910500000002</v>
      </c>
      <c r="AC48" s="106">
        <f t="shared" ca="1" si="192"/>
        <v>17991.648000000001</v>
      </c>
      <c r="AD48" s="106">
        <f t="shared" ca="1" si="192"/>
        <v>17991.648000000001</v>
      </c>
      <c r="AE48" s="106">
        <f t="shared" ca="1" si="192"/>
        <v>18532.947</v>
      </c>
      <c r="AF48" s="106">
        <f t="shared" ca="1" si="192"/>
        <v>23301.5085</v>
      </c>
      <c r="AG48" s="106">
        <f t="shared" ca="1" si="192"/>
        <v>23301.5085</v>
      </c>
      <c r="AH48" s="106">
        <f t="shared" ca="1" si="192"/>
        <v>28070.07</v>
      </c>
      <c r="AI48" s="106">
        <f t="shared" ca="1" si="192"/>
        <v>28070.07</v>
      </c>
      <c r="AJ48" s="106">
        <f t="shared" ca="1" si="192"/>
        <v>28070.07</v>
      </c>
      <c r="AK48" s="106">
        <f t="shared" ca="1" si="192"/>
        <v>28070.07</v>
      </c>
      <c r="AL48" s="106">
        <f t="shared" ca="1" si="192"/>
        <v>28070.07</v>
      </c>
      <c r="AM48" s="106">
        <f t="shared" ca="1" si="192"/>
        <v>28070.07</v>
      </c>
      <c r="AN48" s="106">
        <f t="shared" ca="1" si="192"/>
        <v>29389.363290000001</v>
      </c>
      <c r="AO48" s="106">
        <f t="shared" ca="1" si="192"/>
        <v>29389.363290000001</v>
      </c>
      <c r="AP48" s="106">
        <f t="shared" ca="1" si="192"/>
        <v>29389.363290000001</v>
      </c>
      <c r="AQ48" s="106">
        <f t="shared" ca="1" si="192"/>
        <v>25848.608220000002</v>
      </c>
      <c r="AR48" s="106">
        <f t="shared" ca="1" si="192"/>
        <v>25848.608220000002</v>
      </c>
      <c r="AS48" s="106">
        <f t="shared" ca="1" si="192"/>
        <v>24963.419452500002</v>
      </c>
      <c r="AT48" s="106">
        <f t="shared" ca="1" si="192"/>
        <v>28957.5665649</v>
      </c>
      <c r="AU48" s="106">
        <f t="shared" ca="1" si="192"/>
        <v>28957.5665649</v>
      </c>
      <c r="AV48" s="106">
        <f t="shared" ref="AV48:CA48" ca="1" si="193">AV35+AV43+AV46+AV37+AV44+AV45</f>
        <v>29956.103343000002</v>
      </c>
      <c r="AW48" s="106">
        <f t="shared" ca="1" si="193"/>
        <v>29956.103343000002</v>
      </c>
      <c r="AX48" s="106">
        <f t="shared" ca="1" si="193"/>
        <v>29956.103343000002</v>
      </c>
      <c r="AY48" s="106">
        <f t="shared" ca="1" si="193"/>
        <v>29956.103343000002</v>
      </c>
      <c r="AZ48" s="106">
        <f t="shared" ca="1" si="193"/>
        <v>30944.654753318995</v>
      </c>
      <c r="BA48" s="106">
        <f t="shared" ca="1" si="193"/>
        <v>30944.654753318995</v>
      </c>
      <c r="BB48" s="106">
        <f t="shared" ca="1" si="193"/>
        <v>30944.654753318995</v>
      </c>
      <c r="BC48" s="106">
        <f t="shared" ca="1" si="193"/>
        <v>30944.654753318995</v>
      </c>
      <c r="BD48" s="106">
        <f t="shared" ca="1" si="193"/>
        <v>30944.654753318995</v>
      </c>
      <c r="BE48" s="106">
        <f t="shared" ca="1" si="193"/>
        <v>30944.654753318995</v>
      </c>
      <c r="BF48" s="106">
        <f t="shared" ca="1" si="193"/>
        <v>30944.654753318995</v>
      </c>
      <c r="BG48" s="106">
        <f t="shared" ca="1" si="193"/>
        <v>30944.654753318995</v>
      </c>
      <c r="BH48" s="106">
        <f t="shared" ca="1" si="193"/>
        <v>30944.654753318995</v>
      </c>
      <c r="BI48" s="106">
        <f t="shared" ca="1" si="193"/>
        <v>30944.654753318995</v>
      </c>
      <c r="BJ48" s="106">
        <f t="shared" ca="1" si="193"/>
        <v>30944.654753318995</v>
      </c>
      <c r="BK48" s="106">
        <f t="shared" ca="1" si="193"/>
        <v>30944.654753318995</v>
      </c>
      <c r="BL48" s="106">
        <f t="shared" ca="1" si="193"/>
        <v>31780.160431658605</v>
      </c>
      <c r="BM48" s="106">
        <f t="shared" ca="1" si="193"/>
        <v>31780.160431658605</v>
      </c>
      <c r="BN48" s="106">
        <f t="shared" ca="1" si="193"/>
        <v>31780.160431658605</v>
      </c>
      <c r="BO48" s="106">
        <f t="shared" ca="1" si="193"/>
        <v>31780.160431658605</v>
      </c>
      <c r="BP48" s="106">
        <f t="shared" ca="1" si="193"/>
        <v>31780.160431658605</v>
      </c>
      <c r="BQ48" s="106">
        <f t="shared" ca="1" si="193"/>
        <v>31780.160431658605</v>
      </c>
      <c r="BR48" s="106">
        <f t="shared" ca="1" si="193"/>
        <v>31780.160431658605</v>
      </c>
      <c r="BS48" s="106">
        <f t="shared" ca="1" si="193"/>
        <v>31780.160431658605</v>
      </c>
      <c r="BT48" s="106">
        <f t="shared" ca="1" si="193"/>
        <v>31780.160431658605</v>
      </c>
      <c r="BU48" s="106">
        <f t="shared" ca="1" si="193"/>
        <v>31780.160431658605</v>
      </c>
      <c r="BV48" s="106">
        <f t="shared" ca="1" si="193"/>
        <v>31780.160431658605</v>
      </c>
      <c r="BW48" s="106">
        <f t="shared" ca="1" si="193"/>
        <v>31780.160431658605</v>
      </c>
      <c r="BX48" s="106">
        <f t="shared" ca="1" si="193"/>
        <v>32733.565244608362</v>
      </c>
      <c r="BY48" s="106">
        <f t="shared" ca="1" si="193"/>
        <v>32733.565244608362</v>
      </c>
      <c r="BZ48" s="106">
        <f t="shared" ca="1" si="193"/>
        <v>32733.565244608362</v>
      </c>
      <c r="CA48" s="106">
        <f t="shared" ca="1" si="193"/>
        <v>32733.565244608362</v>
      </c>
      <c r="CB48" s="106">
        <f t="shared" ref="CB48:DG48" ca="1" si="194">CB35+CB43+CB46+CB37+CB44+CB45</f>
        <v>32733.565244608362</v>
      </c>
      <c r="CC48" s="106">
        <f t="shared" ca="1" si="194"/>
        <v>32733.565244608362</v>
      </c>
      <c r="CD48" s="106">
        <f t="shared" ca="1" si="194"/>
        <v>32733.565244608362</v>
      </c>
      <c r="CE48" s="106">
        <f t="shared" ca="1" si="194"/>
        <v>32733.565244608362</v>
      </c>
      <c r="CF48" s="106">
        <f t="shared" ca="1" si="194"/>
        <v>32733.565244608362</v>
      </c>
      <c r="CG48" s="106">
        <f t="shared" ca="1" si="194"/>
        <v>32733.565244608362</v>
      </c>
      <c r="CH48" s="106">
        <f t="shared" ca="1" si="194"/>
        <v>32733.565244608362</v>
      </c>
      <c r="CI48" s="106">
        <f t="shared" ca="1" si="194"/>
        <v>32733.565244608362</v>
      </c>
      <c r="CJ48" s="106">
        <f t="shared" ca="1" si="194"/>
        <v>33715.572201946619</v>
      </c>
      <c r="CK48" s="106">
        <f t="shared" ca="1" si="194"/>
        <v>33715.572201946619</v>
      </c>
      <c r="CL48" s="106">
        <f t="shared" ca="1" si="194"/>
        <v>33715.572201946619</v>
      </c>
      <c r="CM48" s="106">
        <f t="shared" ca="1" si="194"/>
        <v>33715.572201946619</v>
      </c>
      <c r="CN48" s="106">
        <f t="shared" ca="1" si="194"/>
        <v>33715.572201946619</v>
      </c>
      <c r="CO48" s="106">
        <f t="shared" ca="1" si="194"/>
        <v>33715.572201946619</v>
      </c>
      <c r="CP48" s="106">
        <f t="shared" ca="1" si="194"/>
        <v>33715.572201946619</v>
      </c>
      <c r="CQ48" s="106">
        <f t="shared" ca="1" si="194"/>
        <v>33715.572201946619</v>
      </c>
      <c r="CR48" s="106">
        <f t="shared" ca="1" si="194"/>
        <v>33715.572201946619</v>
      </c>
      <c r="CS48" s="106">
        <f t="shared" ca="1" si="194"/>
        <v>33715.572201946619</v>
      </c>
      <c r="CT48" s="106">
        <f t="shared" ca="1" si="194"/>
        <v>33715.572201946619</v>
      </c>
      <c r="CU48" s="106">
        <f t="shared" ca="1" si="194"/>
        <v>33715.572201946619</v>
      </c>
      <c r="CV48" s="106">
        <f t="shared" ca="1" si="194"/>
        <v>34727.039368005018</v>
      </c>
      <c r="CW48" s="106">
        <f t="shared" ca="1" si="194"/>
        <v>34727.039368005018</v>
      </c>
      <c r="CX48" s="106">
        <f t="shared" ca="1" si="194"/>
        <v>34727.039368005018</v>
      </c>
      <c r="CY48" s="106">
        <f t="shared" ca="1" si="194"/>
        <v>34727.039368005018</v>
      </c>
      <c r="CZ48" s="106">
        <f t="shared" ca="1" si="194"/>
        <v>34727.039368005018</v>
      </c>
      <c r="DA48" s="106">
        <f t="shared" ca="1" si="194"/>
        <v>34727.039368005018</v>
      </c>
      <c r="DB48" s="106">
        <f t="shared" ca="1" si="194"/>
        <v>34727.039368005018</v>
      </c>
      <c r="DC48" s="106">
        <f t="shared" ca="1" si="194"/>
        <v>34727.039368005018</v>
      </c>
      <c r="DD48" s="106">
        <f t="shared" ca="1" si="194"/>
        <v>34727.039368005018</v>
      </c>
      <c r="DE48" s="106">
        <f t="shared" ca="1" si="194"/>
        <v>34727.039368005018</v>
      </c>
      <c r="DF48" s="106">
        <f t="shared" ca="1" si="194"/>
        <v>34727.039368005018</v>
      </c>
      <c r="DG48" s="106">
        <f t="shared" ca="1" si="194"/>
        <v>34727.039368005018</v>
      </c>
      <c r="DH48" s="106">
        <f t="shared" ref="DH48:EQ48" ca="1" si="195">DH35+DH43+DH46+DH37+DH44+DH45</f>
        <v>35768.850549045164</v>
      </c>
      <c r="DI48" s="106">
        <f t="shared" ca="1" si="195"/>
        <v>35768.850549045164</v>
      </c>
      <c r="DJ48" s="106">
        <f t="shared" ca="1" si="195"/>
        <v>4060.2691258878804</v>
      </c>
      <c r="DK48" s="106">
        <f t="shared" ca="1" si="195"/>
        <v>0</v>
      </c>
      <c r="DL48" s="106">
        <f t="shared" ca="1" si="195"/>
        <v>0</v>
      </c>
      <c r="DM48" s="106">
        <f t="shared" ca="1" si="195"/>
        <v>0</v>
      </c>
      <c r="DN48" s="106">
        <f t="shared" ca="1" si="195"/>
        <v>0</v>
      </c>
      <c r="DO48" s="106">
        <f t="shared" ca="1" si="195"/>
        <v>0</v>
      </c>
      <c r="DP48" s="106">
        <f t="shared" ca="1" si="195"/>
        <v>0</v>
      </c>
      <c r="DQ48" s="106">
        <f t="shared" ca="1" si="195"/>
        <v>0</v>
      </c>
      <c r="DR48" s="106">
        <f t="shared" ca="1" si="195"/>
        <v>0</v>
      </c>
      <c r="DS48" s="106">
        <f t="shared" ca="1" si="195"/>
        <v>0</v>
      </c>
      <c r="DT48" s="106">
        <f t="shared" ca="1" si="195"/>
        <v>0</v>
      </c>
      <c r="DU48" s="106">
        <f t="shared" ca="1" si="195"/>
        <v>0</v>
      </c>
      <c r="DV48" s="106">
        <f t="shared" ca="1" si="195"/>
        <v>0</v>
      </c>
      <c r="DW48" s="106">
        <f t="shared" ca="1" si="195"/>
        <v>0</v>
      </c>
      <c r="DX48" s="106">
        <f t="shared" ca="1" si="195"/>
        <v>0</v>
      </c>
      <c r="DY48" s="106">
        <f t="shared" ca="1" si="195"/>
        <v>0</v>
      </c>
      <c r="DZ48" s="106">
        <f t="shared" ca="1" si="195"/>
        <v>0</v>
      </c>
      <c r="EA48" s="106">
        <f t="shared" ca="1" si="195"/>
        <v>0</v>
      </c>
      <c r="EB48" s="106">
        <f t="shared" ca="1" si="195"/>
        <v>0</v>
      </c>
      <c r="EC48" s="106">
        <f t="shared" ca="1" si="195"/>
        <v>0</v>
      </c>
      <c r="ED48" s="106">
        <f t="shared" ca="1" si="195"/>
        <v>0</v>
      </c>
      <c r="EE48" s="106">
        <f t="shared" ca="1" si="195"/>
        <v>0</v>
      </c>
      <c r="EF48" s="106">
        <f t="shared" ca="1" si="195"/>
        <v>0</v>
      </c>
      <c r="EG48" s="106">
        <f t="shared" ca="1" si="195"/>
        <v>0</v>
      </c>
      <c r="EH48" s="106">
        <f t="shared" ca="1" si="195"/>
        <v>0</v>
      </c>
      <c r="EI48" s="106">
        <f t="shared" ca="1" si="195"/>
        <v>0</v>
      </c>
      <c r="EJ48" s="106">
        <f t="shared" ca="1" si="195"/>
        <v>0</v>
      </c>
      <c r="EK48" s="106">
        <f t="shared" ca="1" si="195"/>
        <v>0</v>
      </c>
      <c r="EL48" s="106">
        <f t="shared" ca="1" si="195"/>
        <v>0</v>
      </c>
      <c r="EM48" s="106">
        <f t="shared" ca="1" si="195"/>
        <v>0</v>
      </c>
      <c r="EN48" s="106">
        <f t="shared" ca="1" si="195"/>
        <v>0</v>
      </c>
      <c r="EO48" s="106">
        <f t="shared" ca="1" si="195"/>
        <v>0</v>
      </c>
      <c r="EP48" s="106">
        <f t="shared" ca="1" si="195"/>
        <v>0</v>
      </c>
      <c r="EQ48" s="106">
        <f t="shared" ca="1" si="195"/>
        <v>0</v>
      </c>
      <c r="ES48" s="421"/>
      <c r="ET48" s="63"/>
      <c r="EU48" s="98"/>
    </row>
    <row r="49" spans="7:151" ht="9" customHeight="1">
      <c r="G49" s="494"/>
      <c r="H49" s="482"/>
      <c r="I49" s="108"/>
      <c r="J49" s="218"/>
      <c r="K49" s="109"/>
      <c r="L49" s="108"/>
      <c r="M49" s="108"/>
      <c r="N49" s="218"/>
      <c r="O49" s="782"/>
      <c r="P49" s="106"/>
      <c r="Q49" s="106"/>
      <c r="R49" s="106"/>
      <c r="S49" s="110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S49" s="421"/>
      <c r="ET49" s="63"/>
      <c r="EU49" s="98"/>
    </row>
    <row r="50" spans="7:151" ht="15.75">
      <c r="G50" s="145"/>
      <c r="H50" s="482" t="s">
        <v>134</v>
      </c>
      <c r="I50" s="495"/>
      <c r="J50" s="496"/>
      <c r="K50" s="111"/>
      <c r="L50" s="112"/>
      <c r="M50" s="112"/>
      <c r="N50" s="219">
        <f>'Annual Cash Flow'!C24</f>
        <v>-12429</v>
      </c>
      <c r="O50" s="783"/>
      <c r="P50" s="106">
        <f ca="1">IF(P10&gt;Assumptions!$G$10+1,0,P48*-HLOOKUP(P11,Assumptions!$D$72:$O$75,4,FALSE))</f>
        <v>-969</v>
      </c>
      <c r="Q50" s="106">
        <f ca="1">IF(Q10&gt;Assumptions!$G$10+1,0,Q48*-HLOOKUP(Q11,Assumptions!$D$72:$O$75,4,FALSE))</f>
        <v>-936.70000000000016</v>
      </c>
      <c r="R50" s="106">
        <f ca="1">IF(R10&gt;Assumptions!$G$10+1,0,R48*-HLOOKUP(R11,Assumptions!$D$72:$O$75,4,FALSE))</f>
        <v>-807.50000000000011</v>
      </c>
      <c r="S50" s="106">
        <f ca="1">IF(S10&gt;Assumptions!$G$10+1,0,S48*-HLOOKUP(S11,Assumptions!$D$72:$O$75,4,FALSE))</f>
        <v>-646.00000000000011</v>
      </c>
      <c r="T50" s="106">
        <f ca="1">IF(T10&gt;Assumptions!$G$10+1,0,T48*-HLOOKUP(T11,Assumptions!$D$72:$O$75,4,FALSE))</f>
        <v>-682.30000000000018</v>
      </c>
      <c r="U50" s="106">
        <f ca="1">IF(U10&gt;Assumptions!$G$10+1,0,U48*-HLOOKUP(U11,Assumptions!$D$72:$O$75,4,FALSE))</f>
        <v>-827.50000000000011</v>
      </c>
      <c r="V50" s="106">
        <f ca="1">IF(V10&gt;Assumptions!$G$10+1,0,V48*-HLOOKUP(V11,Assumptions!$D$72:$O$75,4,FALSE))</f>
        <v>-1009.0000000000001</v>
      </c>
      <c r="W50" s="106">
        <f ca="1">IF(W10&gt;Assumptions!$G$10+1,0,W48*-HLOOKUP(W11,Assumptions!$D$72:$O$75,4,FALSE))</f>
        <v>-1009.0000000000001</v>
      </c>
      <c r="X50" s="106">
        <f ca="1">IF(X10&gt;Assumptions!$G$10+1,0,X48*-HLOOKUP(X11,Assumptions!$D$72:$O$75,4,FALSE))</f>
        <v>-1009.0000000000001</v>
      </c>
      <c r="Y50" s="106">
        <f ca="1">IF(Y10&gt;Assumptions!$G$10+1,0,Y48*-HLOOKUP(Y11,Assumptions!$D$72:$O$75,4,FALSE))</f>
        <v>-1009.0000000000001</v>
      </c>
      <c r="Z50" s="106">
        <f ca="1">IF(Z10&gt;Assumptions!$G$10+1,0,Z48*-HLOOKUP(Z11,Assumptions!$D$72:$O$75,4,FALSE))</f>
        <v>-1009.0000000000001</v>
      </c>
      <c r="AA50" s="106">
        <f ca="1">IF(AA10&gt;Assumptions!$G$10+1,0,AA48*-HLOOKUP(AA11,Assumptions!$D$72:$O$75,4,FALSE))</f>
        <v>-1009.0000000000001</v>
      </c>
      <c r="AB50" s="106">
        <f ca="1">IF(AB10&gt;Assumptions!$G$10+1,0,AB48*-HLOOKUP(AB11,Assumptions!$D$72:$O$75,4,FALSE))</f>
        <v>-888.75642000000005</v>
      </c>
      <c r="AC50" s="106">
        <f ca="1">IF(AC10&gt;Assumptions!$G$10+1,0,AC48*-HLOOKUP(AC11,Assumptions!$D$72:$O$75,4,FALSE))</f>
        <v>-719.66592000000003</v>
      </c>
      <c r="AD50" s="106">
        <f ca="1">IF(AD10&gt;Assumptions!$G$10+1,0,AD48*-HLOOKUP(AD11,Assumptions!$D$72:$O$75,4,FALSE))</f>
        <v>-719.66592000000003</v>
      </c>
      <c r="AE50" s="106">
        <f ca="1">IF(AE10&gt;Assumptions!$G$10+1,0,AE48*-HLOOKUP(AE11,Assumptions!$D$72:$O$75,4,FALSE))</f>
        <v>-741.31788000000006</v>
      </c>
      <c r="AF50" s="106">
        <f ca="1">IF(AF10&gt;Assumptions!$G$10+1,0,AF48*-HLOOKUP(AF11,Assumptions!$D$72:$O$75,4,FALSE))</f>
        <v>-932.06034</v>
      </c>
      <c r="AG50" s="106">
        <f ca="1">IF(AG10&gt;Assumptions!$G$10+1,0,AG48*-HLOOKUP(AG11,Assumptions!$D$72:$O$75,4,FALSE))</f>
        <v>-932.06034</v>
      </c>
      <c r="AH50" s="106">
        <f ca="1">IF(AH10&gt;Assumptions!$G$10+1,0,AH48*-HLOOKUP(AH11,Assumptions!$D$72:$O$75,4,FALSE))</f>
        <v>-1122.8027999999999</v>
      </c>
      <c r="AI50" s="106">
        <f ca="1">IF(AI10&gt;Assumptions!$G$10+1,0,AI48*-HLOOKUP(AI11,Assumptions!$D$72:$O$75,4,FALSE))</f>
        <v>-1122.8027999999999</v>
      </c>
      <c r="AJ50" s="106">
        <f ca="1">IF(AJ10&gt;Assumptions!$G$10+1,0,AJ48*-HLOOKUP(AJ11,Assumptions!$D$72:$O$75,4,FALSE))</f>
        <v>-1122.8027999999999</v>
      </c>
      <c r="AK50" s="106">
        <f ca="1">IF(AK10&gt;Assumptions!$G$10+1,0,AK48*-HLOOKUP(AK11,Assumptions!$D$72:$O$75,4,FALSE))</f>
        <v>-1122.8027999999999</v>
      </c>
      <c r="AL50" s="106">
        <f ca="1">IF(AL10&gt;Assumptions!$G$10+1,0,AL48*-HLOOKUP(AL11,Assumptions!$D$72:$O$75,4,FALSE))</f>
        <v>-1122.8027999999999</v>
      </c>
      <c r="AM50" s="106">
        <f ca="1">IF(AM10&gt;Assumptions!$G$10+1,0,AM48*-HLOOKUP(AM11,Assumptions!$D$72:$O$75,4,FALSE))</f>
        <v>-1122.8027999999999</v>
      </c>
      <c r="AN50" s="106">
        <f ca="1">IF(AN10&gt;Assumptions!$G$10+1,0,AN48*-HLOOKUP(AN11,Assumptions!$D$72:$O$75,4,FALSE))</f>
        <v>-1175.5745316</v>
      </c>
      <c r="AO50" s="106">
        <f ca="1">IF(AO10&gt;Assumptions!$G$10+1,0,AO48*-HLOOKUP(AO11,Assumptions!$D$72:$O$75,4,FALSE))</f>
        <v>-1175.5745316</v>
      </c>
      <c r="AP50" s="106">
        <f ca="1">IF(AP10&gt;Assumptions!$G$10+1,0,AP48*-HLOOKUP(AP11,Assumptions!$D$72:$O$75,4,FALSE))</f>
        <v>-1175.5745316</v>
      </c>
      <c r="AQ50" s="106">
        <f ca="1">IF(AQ10&gt;Assumptions!$G$10+1,0,AQ48*-HLOOKUP(AQ11,Assumptions!$D$72:$O$75,4,FALSE))</f>
        <v>-1033.9443288</v>
      </c>
      <c r="AR50" s="106">
        <f ca="1">IF(AR10&gt;Assumptions!$G$10+1,0,AR48*-HLOOKUP(AR11,Assumptions!$D$72:$O$75,4,FALSE))</f>
        <v>-1033.9443288</v>
      </c>
      <c r="AS50" s="106">
        <f ca="1">IF(AS10&gt;Assumptions!$G$10+1,0,AS48*-HLOOKUP(AS11,Assumptions!$D$72:$O$75,4,FALSE))</f>
        <v>-998.53677810000011</v>
      </c>
      <c r="AT50" s="106">
        <f ca="1">IF(AT10&gt;Assumptions!$G$10+1,0,AT48*-HLOOKUP(AT11,Assumptions!$D$72:$O$75,4,FALSE))</f>
        <v>-1158.3026625960001</v>
      </c>
      <c r="AU50" s="106">
        <f ca="1">IF(AU10&gt;Assumptions!$G$10+1,0,AU48*-HLOOKUP(AU11,Assumptions!$D$72:$O$75,4,FALSE))</f>
        <v>-1158.3026625960001</v>
      </c>
      <c r="AV50" s="106">
        <f ca="1">IF(AV10&gt;Assumptions!$G$10+1,0,AV48*-HLOOKUP(AV11,Assumptions!$D$72:$O$75,4,FALSE))</f>
        <v>-1198.24413372</v>
      </c>
      <c r="AW50" s="106">
        <f ca="1">IF(AW10&gt;Assumptions!$G$10+1,0,AW48*-HLOOKUP(AW11,Assumptions!$D$72:$O$75,4,FALSE))</f>
        <v>-1198.24413372</v>
      </c>
      <c r="AX50" s="106">
        <f ca="1">IF(AX10&gt;Assumptions!$G$10+1,0,AX48*-HLOOKUP(AX11,Assumptions!$D$72:$O$75,4,FALSE))</f>
        <v>-1198.24413372</v>
      </c>
      <c r="AY50" s="106">
        <f ca="1">IF(AY10&gt;Assumptions!$G$10+1,0,AY48*-HLOOKUP(AY11,Assumptions!$D$72:$O$75,4,FALSE))</f>
        <v>-1198.24413372</v>
      </c>
      <c r="AZ50" s="106">
        <f ca="1">IF(AZ10&gt;Assumptions!$G$10+1,0,AZ48*-HLOOKUP(AZ11,Assumptions!$D$72:$O$75,4,FALSE))</f>
        <v>-1237.7861901327599</v>
      </c>
      <c r="BA50" s="106">
        <f ca="1">IF(BA10&gt;Assumptions!$G$10+1,0,BA48*-HLOOKUP(BA11,Assumptions!$D$72:$O$75,4,FALSE))</f>
        <v>-1237.7861901327599</v>
      </c>
      <c r="BB50" s="106">
        <f ca="1">IF(BB10&gt;Assumptions!$G$10+1,0,BB48*-HLOOKUP(BB11,Assumptions!$D$72:$O$75,4,FALSE))</f>
        <v>-1237.7861901327599</v>
      </c>
      <c r="BC50" s="106">
        <f ca="1">IF(BC10&gt;Assumptions!$G$10+1,0,BC48*-HLOOKUP(BC11,Assumptions!$D$72:$O$75,4,FALSE))</f>
        <v>-1237.7861901327599</v>
      </c>
      <c r="BD50" s="106">
        <f ca="1">IF(BD10&gt;Assumptions!$G$10+1,0,BD48*-HLOOKUP(BD11,Assumptions!$D$72:$O$75,4,FALSE))</f>
        <v>-1237.7861901327599</v>
      </c>
      <c r="BE50" s="106">
        <f ca="1">IF(BE10&gt;Assumptions!$G$10+1,0,BE48*-HLOOKUP(BE11,Assumptions!$D$72:$O$75,4,FALSE))</f>
        <v>-1237.7861901327599</v>
      </c>
      <c r="BF50" s="106">
        <f ca="1">IF(BF10&gt;Assumptions!$G$10+1,0,BF48*-HLOOKUP(BF11,Assumptions!$D$72:$O$75,4,FALSE))</f>
        <v>-1237.7861901327599</v>
      </c>
      <c r="BG50" s="106">
        <f ca="1">IF(BG10&gt;Assumptions!$G$10+1,0,BG48*-HLOOKUP(BG11,Assumptions!$D$72:$O$75,4,FALSE))</f>
        <v>-1237.7861901327599</v>
      </c>
      <c r="BH50" s="106">
        <f ca="1">IF(BH10&gt;Assumptions!$G$10+1,0,BH48*-HLOOKUP(BH11,Assumptions!$D$72:$O$75,4,FALSE))</f>
        <v>-1237.7861901327599</v>
      </c>
      <c r="BI50" s="106">
        <f ca="1">IF(BI10&gt;Assumptions!$G$10+1,0,BI48*-HLOOKUP(BI11,Assumptions!$D$72:$O$75,4,FALSE))</f>
        <v>-1237.7861901327599</v>
      </c>
      <c r="BJ50" s="106">
        <f ca="1">IF(BJ10&gt;Assumptions!$G$10+1,0,BJ48*-HLOOKUP(BJ11,Assumptions!$D$72:$O$75,4,FALSE))</f>
        <v>-1237.7861901327599</v>
      </c>
      <c r="BK50" s="106">
        <f ca="1">IF(BK10&gt;Assumptions!$G$10+1,0,BK48*-HLOOKUP(BK11,Assumptions!$D$72:$O$75,4,FALSE))</f>
        <v>-1237.7861901327599</v>
      </c>
      <c r="BL50" s="106">
        <f ca="1">IF(BL10&gt;Assumptions!$G$10+1,0,BL48*-HLOOKUP(BL11,Assumptions!$D$72:$O$75,4,FALSE))</f>
        <v>-1271.2064172663443</v>
      </c>
      <c r="BM50" s="106">
        <f ca="1">IF(BM10&gt;Assumptions!$G$10+1,0,BM48*-HLOOKUP(BM11,Assumptions!$D$72:$O$75,4,FALSE))</f>
        <v>-1271.2064172663443</v>
      </c>
      <c r="BN50" s="106">
        <f ca="1">IF(BN10&gt;Assumptions!$G$10+1,0,BN48*-HLOOKUP(BN11,Assumptions!$D$72:$O$75,4,FALSE))</f>
        <v>-1271.2064172663443</v>
      </c>
      <c r="BO50" s="106">
        <f ca="1">IF(BO10&gt;Assumptions!$G$10+1,0,BO48*-HLOOKUP(BO11,Assumptions!$D$72:$O$75,4,FALSE))</f>
        <v>-1271.2064172663443</v>
      </c>
      <c r="BP50" s="106">
        <f ca="1">IF(BP10&gt;Assumptions!$G$10+1,0,BP48*-HLOOKUP(BP11,Assumptions!$D$72:$O$75,4,FALSE))</f>
        <v>-1271.2064172663443</v>
      </c>
      <c r="BQ50" s="106">
        <f ca="1">IF(BQ10&gt;Assumptions!$G$10+1,0,BQ48*-HLOOKUP(BQ11,Assumptions!$D$72:$O$75,4,FALSE))</f>
        <v>-1271.2064172663443</v>
      </c>
      <c r="BR50" s="106">
        <f ca="1">IF(BR10&gt;Assumptions!$G$10+1,0,BR48*-HLOOKUP(BR11,Assumptions!$D$72:$O$75,4,FALSE))</f>
        <v>-1271.2064172663443</v>
      </c>
      <c r="BS50" s="106">
        <f ca="1">IF(BS10&gt;Assumptions!$G$10+1,0,BS48*-HLOOKUP(BS11,Assumptions!$D$72:$O$75,4,FALSE))</f>
        <v>-1271.2064172663443</v>
      </c>
      <c r="BT50" s="106">
        <f ca="1">IF(BT10&gt;Assumptions!$G$10+1,0,BT48*-HLOOKUP(BT11,Assumptions!$D$72:$O$75,4,FALSE))</f>
        <v>-1271.2064172663443</v>
      </c>
      <c r="BU50" s="106">
        <f ca="1">IF(BU10&gt;Assumptions!$G$10+1,0,BU48*-HLOOKUP(BU11,Assumptions!$D$72:$O$75,4,FALSE))</f>
        <v>-1271.2064172663443</v>
      </c>
      <c r="BV50" s="106">
        <f ca="1">IF(BV10&gt;Assumptions!$G$10+1,0,BV48*-HLOOKUP(BV11,Assumptions!$D$72:$O$75,4,FALSE))</f>
        <v>-1271.2064172663443</v>
      </c>
      <c r="BW50" s="106">
        <f ca="1">IF(BW10&gt;Assumptions!$G$10+1,0,BW48*-HLOOKUP(BW11,Assumptions!$D$72:$O$75,4,FALSE))</f>
        <v>-1271.2064172663443</v>
      </c>
      <c r="BX50" s="106">
        <f ca="1">IF(BX10&gt;Assumptions!$G$10+1,0,BX48*-HLOOKUP(BX11,Assumptions!$D$72:$O$75,4,FALSE))</f>
        <v>-1309.3426097843346</v>
      </c>
      <c r="BY50" s="106">
        <f ca="1">IF(BY10&gt;Assumptions!$G$10+1,0,BY48*-HLOOKUP(BY11,Assumptions!$D$72:$O$75,4,FALSE))</f>
        <v>-1309.3426097843346</v>
      </c>
      <c r="BZ50" s="106">
        <f ca="1">IF(BZ10&gt;Assumptions!$G$10+1,0,BZ48*-HLOOKUP(BZ11,Assumptions!$D$72:$O$75,4,FALSE))</f>
        <v>-1309.3426097843346</v>
      </c>
      <c r="CA50" s="106">
        <f ca="1">IF(CA10&gt;Assumptions!$G$10+1,0,CA48*-HLOOKUP(CA11,Assumptions!$D$72:$O$75,4,FALSE))</f>
        <v>-1309.3426097843346</v>
      </c>
      <c r="CB50" s="106">
        <f ca="1">IF(CB10&gt;Assumptions!$G$10+1,0,CB48*-HLOOKUP(CB11,Assumptions!$D$72:$O$75,4,FALSE))</f>
        <v>-1309.3426097843346</v>
      </c>
      <c r="CC50" s="106">
        <f ca="1">IF(CC10&gt;Assumptions!$G$10+1,0,CC48*-HLOOKUP(CC11,Assumptions!$D$72:$O$75,4,FALSE))</f>
        <v>-1309.3426097843346</v>
      </c>
      <c r="CD50" s="106">
        <f ca="1">IF(CD10&gt;Assumptions!$G$10+1,0,CD48*-HLOOKUP(CD11,Assumptions!$D$72:$O$75,4,FALSE))</f>
        <v>-1309.3426097843346</v>
      </c>
      <c r="CE50" s="106">
        <f ca="1">IF(CE10&gt;Assumptions!$G$10+1,0,CE48*-HLOOKUP(CE11,Assumptions!$D$72:$O$75,4,FALSE))</f>
        <v>-1309.3426097843346</v>
      </c>
      <c r="CF50" s="106">
        <f ca="1">IF(CF10&gt;Assumptions!$G$10+1,0,CF48*-HLOOKUP(CF11,Assumptions!$D$72:$O$75,4,FALSE))</f>
        <v>-1309.3426097843346</v>
      </c>
      <c r="CG50" s="106">
        <f ca="1">IF(CG10&gt;Assumptions!$G$10+1,0,CG48*-HLOOKUP(CG11,Assumptions!$D$72:$O$75,4,FALSE))</f>
        <v>-1309.3426097843346</v>
      </c>
      <c r="CH50" s="106">
        <f ca="1">IF(CH10&gt;Assumptions!$G$10+1,0,CH48*-HLOOKUP(CH11,Assumptions!$D$72:$O$75,4,FALSE))</f>
        <v>-1309.3426097843346</v>
      </c>
      <c r="CI50" s="106">
        <f ca="1">IF(CI10&gt;Assumptions!$G$10+1,0,CI48*-HLOOKUP(CI11,Assumptions!$D$72:$O$75,4,FALSE))</f>
        <v>-1309.3426097843346</v>
      </c>
      <c r="CJ50" s="106">
        <f ca="1">IF(CJ10&gt;Assumptions!$G$10+1,0,CJ48*-HLOOKUP(CJ11,Assumptions!$D$72:$O$75,4,FALSE))</f>
        <v>-1348.6228880778649</v>
      </c>
      <c r="CK50" s="106">
        <f ca="1">IF(CK10&gt;Assumptions!$G$10+1,0,CK48*-HLOOKUP(CK11,Assumptions!$D$72:$O$75,4,FALSE))</f>
        <v>-1348.6228880778649</v>
      </c>
      <c r="CL50" s="106">
        <f ca="1">IF(CL10&gt;Assumptions!$G$10+1,0,CL48*-HLOOKUP(CL11,Assumptions!$D$72:$O$75,4,FALSE))</f>
        <v>-1348.6228880778649</v>
      </c>
      <c r="CM50" s="106">
        <f ca="1">IF(CM10&gt;Assumptions!$G$10+1,0,CM48*-HLOOKUP(CM11,Assumptions!$D$72:$O$75,4,FALSE))</f>
        <v>-1348.6228880778649</v>
      </c>
      <c r="CN50" s="106">
        <f ca="1">IF(CN10&gt;Assumptions!$G$10+1,0,CN48*-HLOOKUP(CN11,Assumptions!$D$72:$O$75,4,FALSE))</f>
        <v>-1348.6228880778649</v>
      </c>
      <c r="CO50" s="106">
        <f ca="1">IF(CO10&gt;Assumptions!$G$10+1,0,CO48*-HLOOKUP(CO11,Assumptions!$D$72:$O$75,4,FALSE))</f>
        <v>-1348.6228880778649</v>
      </c>
      <c r="CP50" s="106">
        <f ca="1">IF(CP10&gt;Assumptions!$G$10+1,0,CP48*-HLOOKUP(CP11,Assumptions!$D$72:$O$75,4,FALSE))</f>
        <v>-1348.6228880778649</v>
      </c>
      <c r="CQ50" s="106">
        <f ca="1">IF(CQ10&gt;Assumptions!$G$10+1,0,CQ48*-HLOOKUP(CQ11,Assumptions!$D$72:$O$75,4,FALSE))</f>
        <v>-1348.6228880778649</v>
      </c>
      <c r="CR50" s="106">
        <f ca="1">IF(CR10&gt;Assumptions!$G$10+1,0,CR48*-HLOOKUP(CR11,Assumptions!$D$72:$O$75,4,FALSE))</f>
        <v>-1348.6228880778649</v>
      </c>
      <c r="CS50" s="106">
        <f ca="1">IF(CS10&gt;Assumptions!$G$10+1,0,CS48*-HLOOKUP(CS11,Assumptions!$D$72:$O$75,4,FALSE))</f>
        <v>-1348.6228880778649</v>
      </c>
      <c r="CT50" s="106">
        <f ca="1">IF(CT10&gt;Assumptions!$G$10+1,0,CT48*-HLOOKUP(CT11,Assumptions!$D$72:$O$75,4,FALSE))</f>
        <v>-1348.6228880778649</v>
      </c>
      <c r="CU50" s="106">
        <f ca="1">IF(CU10&gt;Assumptions!$G$10+1,0,CU48*-HLOOKUP(CU11,Assumptions!$D$72:$O$75,4,FALSE))</f>
        <v>-1348.6228880778649</v>
      </c>
      <c r="CV50" s="106">
        <f ca="1">IF(CV10&gt;Assumptions!$G$10+1,0,CV48*-HLOOKUP(CV11,Assumptions!$D$72:$O$75,4,FALSE))</f>
        <v>-1389.0815747202007</v>
      </c>
      <c r="CW50" s="106">
        <f ca="1">IF(CW10&gt;Assumptions!$G$10+1,0,CW48*-HLOOKUP(CW11,Assumptions!$D$72:$O$75,4,FALSE))</f>
        <v>-1389.0815747202007</v>
      </c>
      <c r="CX50" s="106">
        <f ca="1">IF(CX10&gt;Assumptions!$G$10+1,0,CX48*-HLOOKUP(CX11,Assumptions!$D$72:$O$75,4,FALSE))</f>
        <v>-1389.0815747202007</v>
      </c>
      <c r="CY50" s="106">
        <f ca="1">IF(CY10&gt;Assumptions!$G$10+1,0,CY48*-HLOOKUP(CY11,Assumptions!$D$72:$O$75,4,FALSE))</f>
        <v>-1389.0815747202007</v>
      </c>
      <c r="CZ50" s="106">
        <f ca="1">IF(CZ10&gt;Assumptions!$G$10+1,0,CZ48*-HLOOKUP(CZ11,Assumptions!$D$72:$O$75,4,FALSE))</f>
        <v>-1389.0815747202007</v>
      </c>
      <c r="DA50" s="106">
        <f ca="1">IF(DA10&gt;Assumptions!$G$10+1,0,DA48*-HLOOKUP(DA11,Assumptions!$D$72:$O$75,4,FALSE))</f>
        <v>-1389.0815747202007</v>
      </c>
      <c r="DB50" s="106">
        <f ca="1">IF(DB10&gt;Assumptions!$G$10+1,0,DB48*-HLOOKUP(DB11,Assumptions!$D$72:$O$75,4,FALSE))</f>
        <v>-1389.0815747202007</v>
      </c>
      <c r="DC50" s="106">
        <f ca="1">IF(DC10&gt;Assumptions!$G$10+1,0,DC48*-HLOOKUP(DC11,Assumptions!$D$72:$O$75,4,FALSE))</f>
        <v>-1389.0815747202007</v>
      </c>
      <c r="DD50" s="106">
        <f ca="1">IF(DD10&gt;Assumptions!$G$10+1,0,DD48*-HLOOKUP(DD11,Assumptions!$D$72:$O$75,4,FALSE))</f>
        <v>-1389.0815747202007</v>
      </c>
      <c r="DE50" s="106">
        <f ca="1">IF(DE10&gt;Assumptions!$G$10+1,0,DE48*-HLOOKUP(DE11,Assumptions!$D$72:$O$75,4,FALSE))</f>
        <v>-1389.0815747202007</v>
      </c>
      <c r="DF50" s="106">
        <f ca="1">IF(DF10&gt;Assumptions!$G$10+1,0,DF48*-HLOOKUP(DF11,Assumptions!$D$72:$O$75,4,FALSE))</f>
        <v>-1389.0815747202007</v>
      </c>
      <c r="DG50" s="106">
        <f ca="1">IF(DG10&gt;Assumptions!$G$10+1,0,DG48*-HLOOKUP(DG11,Assumptions!$D$72:$O$75,4,FALSE))</f>
        <v>-1389.0815747202007</v>
      </c>
      <c r="DH50" s="106">
        <f ca="1">IF(DH10&gt;Assumptions!$G$10+1,0,DH48*-HLOOKUP(DH11,Assumptions!$D$72:$O$75,4,FALSE))</f>
        <v>-1430.7540219618065</v>
      </c>
      <c r="DI50" s="106">
        <f>IF(DI10&gt;Assumptions!$G$10+1,0,DI48*-HLOOKUP(DI11,Assumptions!$D$72:$O$75,4,FALSE))</f>
        <v>0</v>
      </c>
      <c r="DJ50" s="106">
        <f>IF(DJ10&gt;Assumptions!$G$10+1,0,DJ48*-HLOOKUP(DJ11,Assumptions!$D$72:$O$75,4,FALSE))</f>
        <v>0</v>
      </c>
      <c r="DK50" s="106">
        <f>IF(DK10&gt;Assumptions!$G$10+1,0,DK48*-HLOOKUP(DK11,Assumptions!$D$72:$O$75,4,FALSE))</f>
        <v>0</v>
      </c>
      <c r="DL50" s="106">
        <f>IF(DL10&gt;Assumptions!$G$10+1,0,DL48*-HLOOKUP(DL11,Assumptions!$D$72:$O$75,4,FALSE))</f>
        <v>0</v>
      </c>
      <c r="DM50" s="106">
        <f>IF(DM10&gt;Assumptions!$G$10+1,0,DM48*-HLOOKUP(DM11,Assumptions!$D$72:$O$75,4,FALSE))</f>
        <v>0</v>
      </c>
      <c r="DN50" s="106">
        <f>IF(DN10&gt;Assumptions!$G$10+1,0,DN48*-HLOOKUP(DN11,Assumptions!$D$72:$O$75,4,FALSE))</f>
        <v>0</v>
      </c>
      <c r="DO50" s="106">
        <f>IF(DO10&gt;Assumptions!$G$10+1,0,DO48*-HLOOKUP(DO11,Assumptions!$D$72:$O$75,4,FALSE))</f>
        <v>0</v>
      </c>
      <c r="DP50" s="106">
        <f>IF(DP10&gt;Assumptions!$G$10+1,0,DP48*-HLOOKUP(DP11,Assumptions!$D$72:$O$75,4,FALSE))</f>
        <v>0</v>
      </c>
      <c r="DQ50" s="106">
        <f>IF(DQ10&gt;Assumptions!$G$10+1,0,DQ48*-HLOOKUP(DQ11,Assumptions!$D$72:$O$75,4,FALSE))</f>
        <v>0</v>
      </c>
      <c r="DR50" s="106">
        <f>IF(DR10&gt;Assumptions!$G$10+1,0,DR48*-HLOOKUP(DR11,Assumptions!$D$72:$O$75,4,FALSE))</f>
        <v>0</v>
      </c>
      <c r="DS50" s="106">
        <f>IF(DS10&gt;Assumptions!$G$10+1,0,DS48*-HLOOKUP(DS11,Assumptions!$D$72:$O$75,4,FALSE))</f>
        <v>0</v>
      </c>
      <c r="DT50" s="106">
        <f>IF(DT10&gt;Assumptions!$G$10+1,0,DT48*-HLOOKUP(DT11,Assumptions!$D$72:$O$75,4,FALSE))</f>
        <v>0</v>
      </c>
      <c r="DU50" s="106">
        <f>IF(DU10&gt;Assumptions!$G$10+1,0,DU48*-HLOOKUP(DU11,Assumptions!$D$72:$O$75,4,FALSE))</f>
        <v>0</v>
      </c>
      <c r="DV50" s="106">
        <f>IF(DV10&gt;Assumptions!$G$10+1,0,DV48*-HLOOKUP(DV11,Assumptions!$D$72:$O$75,4,FALSE))</f>
        <v>0</v>
      </c>
      <c r="DW50" s="106">
        <f>IF(DW10&gt;Assumptions!$G$10+1,0,DW48*-HLOOKUP(DW11,Assumptions!$D$72:$O$75,4,FALSE))</f>
        <v>0</v>
      </c>
      <c r="DX50" s="106">
        <f>IF(DX10&gt;Assumptions!$G$10+1,0,DX48*-HLOOKUP(DX11,Assumptions!$D$72:$O$75,4,FALSE))</f>
        <v>0</v>
      </c>
      <c r="DY50" s="106">
        <f>IF(DY10&gt;Assumptions!$G$10+1,0,DY48*-HLOOKUP(DY11,Assumptions!$D$72:$O$75,4,FALSE))</f>
        <v>0</v>
      </c>
      <c r="DZ50" s="106">
        <f>IF(DZ10&gt;Assumptions!$G$10+1,0,DZ48*-HLOOKUP(DZ11,Assumptions!$D$72:$O$75,4,FALSE))</f>
        <v>0</v>
      </c>
      <c r="EA50" s="106">
        <f>IF(EA10&gt;Assumptions!$G$10+1,0,EA48*-HLOOKUP(EA11,Assumptions!$D$72:$O$75,4,FALSE))</f>
        <v>0</v>
      </c>
      <c r="EB50" s="106">
        <f>IF(EB10&gt;Assumptions!$G$10+1,0,EB48*-HLOOKUP(EB11,Assumptions!$D$72:$O$75,4,FALSE))</f>
        <v>0</v>
      </c>
      <c r="EC50" s="106">
        <f>IF(EC10&gt;Assumptions!$G$10+1,0,EC48*-HLOOKUP(EC11,Assumptions!$D$72:$O$75,4,FALSE))</f>
        <v>0</v>
      </c>
      <c r="ED50" s="106">
        <f>IF(ED10&gt;Assumptions!$G$10+1,0,ED48*-HLOOKUP(ED11,Assumptions!$D$72:$O$75,4,FALSE))</f>
        <v>0</v>
      </c>
      <c r="EE50" s="106">
        <f>IF(EE10&gt;Assumptions!$G$10+1,0,EE48*-HLOOKUP(EE11,Assumptions!$D$72:$O$75,4,FALSE))</f>
        <v>0</v>
      </c>
      <c r="EF50" s="106">
        <f>IF(EF10&gt;Assumptions!$G$10+1,0,EF48*-HLOOKUP(EF11,Assumptions!$D$72:$O$75,4,FALSE))</f>
        <v>0</v>
      </c>
      <c r="EG50" s="106">
        <f>IF(EG10&gt;Assumptions!$G$10+1,0,EG48*-HLOOKUP(EG11,Assumptions!$D$72:$O$75,4,FALSE))</f>
        <v>0</v>
      </c>
      <c r="EH50" s="106">
        <f>IF(EH10&gt;Assumptions!$G$10+1,0,EH48*-HLOOKUP(EH11,Assumptions!$D$72:$O$75,4,FALSE))</f>
        <v>0</v>
      </c>
      <c r="EI50" s="106">
        <f>IF(EI10&gt;Assumptions!$G$10+1,0,EI48*-HLOOKUP(EI11,Assumptions!$D$72:$O$75,4,FALSE))</f>
        <v>0</v>
      </c>
      <c r="EJ50" s="106">
        <f>IF(EJ10&gt;Assumptions!$G$10+1,0,EJ48*-HLOOKUP(EJ11,Assumptions!$D$72:$O$75,4,FALSE))</f>
        <v>0</v>
      </c>
      <c r="EK50" s="106">
        <f>IF(EK10&gt;Assumptions!$G$10+1,0,EK48*-HLOOKUP(EK11,Assumptions!$D$72:$O$75,4,FALSE))</f>
        <v>0</v>
      </c>
      <c r="EL50" s="106">
        <f>IF(EL10&gt;Assumptions!$G$10+1,0,EL48*-HLOOKUP(EL11,Assumptions!$D$72:$O$75,4,FALSE))</f>
        <v>0</v>
      </c>
      <c r="EM50" s="106">
        <f>IF(EM10&gt;Assumptions!$G$10+1,0,EM48*-HLOOKUP(EM11,Assumptions!$D$72:$O$75,4,FALSE))</f>
        <v>0</v>
      </c>
      <c r="EN50" s="106">
        <f>IF(EN10&gt;Assumptions!$G$10+1,0,EN48*-HLOOKUP(EN11,Assumptions!$D$72:$O$75,4,FALSE))</f>
        <v>0</v>
      </c>
      <c r="EO50" s="106">
        <f>IF(EO10&gt;Assumptions!$G$10+1,0,EO48*-HLOOKUP(EO11,Assumptions!$D$72:$O$75,4,FALSE))</f>
        <v>0</v>
      </c>
      <c r="EP50" s="106">
        <f>IF(EP10&gt;Assumptions!$G$10+1,0,EP48*-HLOOKUP(EP11,Assumptions!$D$72:$O$75,4,FALSE))</f>
        <v>0</v>
      </c>
      <c r="EQ50" s="106">
        <f>IF(EQ10&gt;Assumptions!$G$10+1,0,EQ48*-HLOOKUP(EQ11,Assumptions!$D$72:$O$75,4,FALSE))</f>
        <v>0</v>
      </c>
      <c r="ES50" s="421"/>
      <c r="ET50" s="63"/>
      <c r="EU50" s="98"/>
    </row>
    <row r="51" spans="7:151" ht="15.75">
      <c r="G51" s="145"/>
      <c r="H51" s="307" t="s">
        <v>118</v>
      </c>
      <c r="I51" s="495"/>
      <c r="J51" s="217"/>
      <c r="K51" s="111"/>
      <c r="L51" s="112"/>
      <c r="M51" s="112"/>
      <c r="N51" s="219">
        <f>'Annual Cash Flow'!C25</f>
        <v>0</v>
      </c>
      <c r="O51" s="783"/>
      <c r="P51" s="106">
        <f>Assumptions!$E$79*-P12*Assumptions!$D$28</f>
        <v>0</v>
      </c>
      <c r="Q51" s="106">
        <f ca="1">IF(P87=0,0,HLOOKUP(Q11,Assumptions!$D$72:$O$79,8,FALSE)*-Q12*Assumptions!$D$28)</f>
        <v>0</v>
      </c>
      <c r="R51" s="106">
        <f ca="1">IF(Q87=0,0,HLOOKUP(R11,Assumptions!$D$72:$O$79,8,FALSE)*-R12*Assumptions!$D$28)</f>
        <v>0</v>
      </c>
      <c r="S51" s="106">
        <f ca="1">IF(R87=0,0,HLOOKUP(S11,Assumptions!$D$72:$O$79,8,FALSE)*-S12*Assumptions!$D$28)</f>
        <v>0</v>
      </c>
      <c r="T51" s="106">
        <f ca="1">IF(S87=0,0,HLOOKUP(T11,Assumptions!$D$72:$O$79,8,FALSE)*-T12*Assumptions!$D$28)</f>
        <v>0</v>
      </c>
      <c r="U51" s="106">
        <f ca="1">IF(T87=0,0,HLOOKUP(U11,Assumptions!$D$72:$O$79,8,FALSE)*-U12*Assumptions!$D$28)</f>
        <v>0</v>
      </c>
      <c r="V51" s="106">
        <f ca="1">IF(U87=0,0,HLOOKUP(V11,Assumptions!$D$72:$O$79,8,FALSE)*-V12*Assumptions!$D$28)</f>
        <v>0</v>
      </c>
      <c r="W51" s="106">
        <f ca="1">IF(V87=0,0,HLOOKUP(W11,Assumptions!$D$72:$O$79,8,FALSE)*-W12*Assumptions!$D$28)</f>
        <v>0</v>
      </c>
      <c r="X51" s="106">
        <f ca="1">IF(W87=0,0,HLOOKUP(X11,Assumptions!$D$72:$O$79,8,FALSE)*-X12*Assumptions!$D$28)</f>
        <v>0</v>
      </c>
      <c r="Y51" s="106">
        <f ca="1">IF(X87=0,0,HLOOKUP(Y11,Assumptions!$D$72:$O$79,8,FALSE)*-Y12*Assumptions!$D$28)</f>
        <v>0</v>
      </c>
      <c r="Z51" s="106">
        <f ca="1">IF(Y87=0,0,HLOOKUP(Z11,Assumptions!$D$72:$O$79,8,FALSE)*-Z12*Assumptions!$D$28)</f>
        <v>0</v>
      </c>
      <c r="AA51" s="106">
        <f ca="1">IF(Z87=0,0,HLOOKUP(AA11,Assumptions!$D$72:$O$79,8,FALSE)*-AA12*Assumptions!$D$28)</f>
        <v>0</v>
      </c>
      <c r="AB51" s="106">
        <f ca="1">IF(AA87=0,0,HLOOKUP(AB11,Assumptions!$D$72:$O$79,8,FALSE)*-AB12*Assumptions!$D$28)</f>
        <v>0</v>
      </c>
      <c r="AC51" s="106">
        <f ca="1">IF(AB87=0,0,HLOOKUP(AC11,Assumptions!$D$72:$O$79,8,FALSE)*-AC12*Assumptions!$D$28)</f>
        <v>0</v>
      </c>
      <c r="AD51" s="106">
        <f ca="1">IF(AC87=0,0,HLOOKUP(AD11,Assumptions!$D$72:$O$79,8,FALSE)*-AD12*Assumptions!$D$28)</f>
        <v>0</v>
      </c>
      <c r="AE51" s="106">
        <f ca="1">IF(AD87=0,0,HLOOKUP(AE11,Assumptions!$D$72:$O$79,8,FALSE)*-AE12*Assumptions!$D$28)</f>
        <v>0</v>
      </c>
      <c r="AF51" s="106">
        <f ca="1">IF(AE87=0,0,HLOOKUP(AF11,Assumptions!$D$72:$O$79,8,FALSE)*-AF12*Assumptions!$D$28)</f>
        <v>0</v>
      </c>
      <c r="AG51" s="106">
        <f ca="1">IF(AF87=0,0,HLOOKUP(AG11,Assumptions!$D$72:$O$79,8,FALSE)*-AG12*Assumptions!$D$28)</f>
        <v>0</v>
      </c>
      <c r="AH51" s="106">
        <f ca="1">IF(AG87=0,0,HLOOKUP(AH11,Assumptions!$D$72:$O$79,8,FALSE)*-AH12*Assumptions!$D$28)</f>
        <v>0</v>
      </c>
      <c r="AI51" s="106">
        <f ca="1">IF(AH87=0,0,HLOOKUP(AI11,Assumptions!$D$72:$O$79,8,FALSE)*-AI12*Assumptions!$D$28)</f>
        <v>0</v>
      </c>
      <c r="AJ51" s="106">
        <f ca="1">IF(AI87=0,0,HLOOKUP(AJ11,Assumptions!$D$72:$O$79,8,FALSE)*-AJ12*Assumptions!$D$28)</f>
        <v>0</v>
      </c>
      <c r="AK51" s="106">
        <f ca="1">IF(AJ87=0,0,HLOOKUP(AK11,Assumptions!$D$72:$O$79,8,FALSE)*-AK12*Assumptions!$D$28)</f>
        <v>0</v>
      </c>
      <c r="AL51" s="106">
        <f ca="1">IF(AK87=0,0,HLOOKUP(AL11,Assumptions!$D$72:$O$79,8,FALSE)*-AL12*Assumptions!$D$28)</f>
        <v>0</v>
      </c>
      <c r="AM51" s="106">
        <f ca="1">IF(AL87=0,0,HLOOKUP(AM11,Assumptions!$D$72:$O$79,8,FALSE)*-AM12*Assumptions!$D$28)</f>
        <v>0</v>
      </c>
      <c r="AN51" s="106">
        <f ca="1">IF(AM87=0,0,HLOOKUP(AN11,Assumptions!$D$72:$O$79,8,FALSE)*-AN12*Assumptions!$D$28)</f>
        <v>0</v>
      </c>
      <c r="AO51" s="106">
        <f ca="1">IF(AN87=0,0,HLOOKUP(AO11,Assumptions!$D$72:$O$79,8,FALSE)*-AO12*Assumptions!$D$28)</f>
        <v>0</v>
      </c>
      <c r="AP51" s="106">
        <f ca="1">IF(AO87=0,0,HLOOKUP(AP11,Assumptions!$D$72:$O$79,8,FALSE)*-AP12*Assumptions!$D$28)</f>
        <v>0</v>
      </c>
      <c r="AQ51" s="106">
        <f ca="1">IF(AP87=0,0,HLOOKUP(AQ11,Assumptions!$D$72:$O$79,8,FALSE)*-AQ12*Assumptions!$D$28)</f>
        <v>0</v>
      </c>
      <c r="AR51" s="106">
        <f ca="1">IF(AQ87=0,0,HLOOKUP(AR11,Assumptions!$D$72:$O$79,8,FALSE)*-AR12*Assumptions!$D$28)</f>
        <v>0</v>
      </c>
      <c r="AS51" s="106">
        <f ca="1">IF(AR87=0,0,HLOOKUP(AS11,Assumptions!$D$72:$O$79,8,FALSE)*-AS12*Assumptions!$D$28)</f>
        <v>0</v>
      </c>
      <c r="AT51" s="106">
        <f ca="1">IF(AS87=0,0,HLOOKUP(AT11,Assumptions!$D$72:$O$79,8,FALSE)*-AT12*Assumptions!$D$28)</f>
        <v>0</v>
      </c>
      <c r="AU51" s="106">
        <f ca="1">IF(AT87=0,0,HLOOKUP(AU11,Assumptions!$D$72:$O$79,8,FALSE)*-AU12*Assumptions!$D$28)</f>
        <v>0</v>
      </c>
      <c r="AV51" s="106">
        <f ca="1">IF(AU87=0,0,HLOOKUP(AV11,Assumptions!$D$72:$O$79,8,FALSE)*-AV12*Assumptions!$D$28)</f>
        <v>0</v>
      </c>
      <c r="AW51" s="106">
        <f ca="1">IF(AV87=0,0,HLOOKUP(AW11,Assumptions!$D$72:$O$79,8,FALSE)*-AW12*Assumptions!$D$28)</f>
        <v>0</v>
      </c>
      <c r="AX51" s="106">
        <f ca="1">IF(AW87=0,0,HLOOKUP(AX11,Assumptions!$D$72:$O$79,8,FALSE)*-AX12*Assumptions!$D$28)</f>
        <v>0</v>
      </c>
      <c r="AY51" s="106">
        <f ca="1">IF(AX87=0,0,HLOOKUP(AY11,Assumptions!$D$72:$O$79,8,FALSE)*-AY12*Assumptions!$D$28)</f>
        <v>0</v>
      </c>
      <c r="AZ51" s="106">
        <f ca="1">IF(AY87=0,0,HLOOKUP(AZ11,Assumptions!$D$72:$O$79,8,FALSE)*-AZ12*Assumptions!$D$28)</f>
        <v>0</v>
      </c>
      <c r="BA51" s="106">
        <f ca="1">IF(AZ87=0,0,HLOOKUP(BA11,Assumptions!$D$72:$O$79,8,FALSE)*-BA12*Assumptions!$D$28)</f>
        <v>0</v>
      </c>
      <c r="BB51" s="106">
        <f ca="1">IF(BA87=0,0,HLOOKUP(BB11,Assumptions!$D$72:$O$79,8,FALSE)*-BB12*Assumptions!$D$28)</f>
        <v>0</v>
      </c>
      <c r="BC51" s="106">
        <f ca="1">IF(BB87=0,0,HLOOKUP(BC11,Assumptions!$D$72:$O$79,8,FALSE)*-BC12*Assumptions!$D$28)</f>
        <v>0</v>
      </c>
      <c r="BD51" s="106">
        <f ca="1">IF(BC87=0,0,HLOOKUP(BD11,Assumptions!$D$72:$O$79,8,FALSE)*-BD12*Assumptions!$D$28)</f>
        <v>0</v>
      </c>
      <c r="BE51" s="106">
        <f ca="1">IF(BD87=0,0,HLOOKUP(BE11,Assumptions!$D$72:$O$79,8,FALSE)*-BE12*Assumptions!$D$28)</f>
        <v>0</v>
      </c>
      <c r="BF51" s="106">
        <f ca="1">IF(BE87=0,0,HLOOKUP(BF11,Assumptions!$D$72:$O$79,8,FALSE)*-BF12*Assumptions!$D$28)</f>
        <v>0</v>
      </c>
      <c r="BG51" s="106">
        <f ca="1">IF(BF87=0,0,HLOOKUP(BG11,Assumptions!$D$72:$O$79,8,FALSE)*-BG12*Assumptions!$D$28)</f>
        <v>0</v>
      </c>
      <c r="BH51" s="106">
        <f ca="1">IF(BG87=0,0,HLOOKUP(BH11,Assumptions!$D$72:$O$79,8,FALSE)*-BH12*Assumptions!$D$28)</f>
        <v>0</v>
      </c>
      <c r="BI51" s="106">
        <f ca="1">IF(BH87=0,0,HLOOKUP(BI11,Assumptions!$D$72:$O$79,8,FALSE)*-BI12*Assumptions!$D$28)</f>
        <v>0</v>
      </c>
      <c r="BJ51" s="106">
        <f ca="1">IF(BI87=0,0,HLOOKUP(BJ11,Assumptions!$D$72:$O$79,8,FALSE)*-BJ12*Assumptions!$D$28)</f>
        <v>0</v>
      </c>
      <c r="BK51" s="106">
        <f ca="1">IF(BJ87=0,0,HLOOKUP(BK11,Assumptions!$D$72:$O$79,8,FALSE)*-BK12*Assumptions!$D$28)</f>
        <v>0</v>
      </c>
      <c r="BL51" s="106">
        <f ca="1">IF(BK87=0,0,HLOOKUP(BL11,Assumptions!$D$72:$O$79,8,FALSE)*-BL12*Assumptions!$D$28)</f>
        <v>0</v>
      </c>
      <c r="BM51" s="106">
        <f ca="1">IF(BL87=0,0,HLOOKUP(BM11,Assumptions!$D$72:$O$79,8,FALSE)*-BM12*Assumptions!$D$28)</f>
        <v>0</v>
      </c>
      <c r="BN51" s="106">
        <f ca="1">IF(BM87=0,0,HLOOKUP(BN11,Assumptions!$D$72:$O$79,8,FALSE)*-BN12*Assumptions!$D$28)</f>
        <v>0</v>
      </c>
      <c r="BO51" s="106">
        <f ca="1">IF(BN87=0,0,HLOOKUP(BO11,Assumptions!$D$72:$O$79,8,FALSE)*-BO12*Assumptions!$D$28)</f>
        <v>0</v>
      </c>
      <c r="BP51" s="106">
        <f ca="1">IF(BO87=0,0,HLOOKUP(BP11,Assumptions!$D$72:$O$79,8,FALSE)*-BP12*Assumptions!$D$28)</f>
        <v>0</v>
      </c>
      <c r="BQ51" s="106">
        <f ca="1">IF(BP87=0,0,HLOOKUP(BQ11,Assumptions!$D$72:$O$79,8,FALSE)*-BQ12*Assumptions!$D$28)</f>
        <v>0</v>
      </c>
      <c r="BR51" s="106">
        <f ca="1">IF(BQ87=0,0,HLOOKUP(BR11,Assumptions!$D$72:$O$79,8,FALSE)*-BR12*Assumptions!$D$28)</f>
        <v>0</v>
      </c>
      <c r="BS51" s="106">
        <f ca="1">IF(BR87=0,0,HLOOKUP(BS11,Assumptions!$D$72:$O$79,8,FALSE)*-BS12*Assumptions!$D$28)</f>
        <v>0</v>
      </c>
      <c r="BT51" s="106">
        <f ca="1">IF(BS87=0,0,HLOOKUP(BT11,Assumptions!$D$72:$O$79,8,FALSE)*-BT12*Assumptions!$D$28)</f>
        <v>0</v>
      </c>
      <c r="BU51" s="106">
        <f ca="1">IF(BT87=0,0,HLOOKUP(BU11,Assumptions!$D$72:$O$79,8,FALSE)*-BU12*Assumptions!$D$28)</f>
        <v>0</v>
      </c>
      <c r="BV51" s="106">
        <f ca="1">IF(BU87=0,0,HLOOKUP(BV11,Assumptions!$D$72:$O$79,8,FALSE)*-BV12*Assumptions!$D$28)</f>
        <v>0</v>
      </c>
      <c r="BW51" s="106">
        <f ca="1">IF(BV87=0,0,HLOOKUP(BW11,Assumptions!$D$72:$O$79,8,FALSE)*-BW12*Assumptions!$D$28)</f>
        <v>0</v>
      </c>
      <c r="BX51" s="106">
        <f ca="1">IF(BW87=0,0,HLOOKUP(BX11,Assumptions!$D$72:$O$79,8,FALSE)*-BX12*Assumptions!$D$28)</f>
        <v>0</v>
      </c>
      <c r="BY51" s="106">
        <f ca="1">IF(BX87=0,0,HLOOKUP(BY11,Assumptions!$D$72:$O$79,8,FALSE)*-BY12*Assumptions!$D$28)</f>
        <v>0</v>
      </c>
      <c r="BZ51" s="106">
        <f ca="1">IF(BY87=0,0,HLOOKUP(BZ11,Assumptions!$D$72:$O$79,8,FALSE)*-BZ12*Assumptions!$D$28)</f>
        <v>0</v>
      </c>
      <c r="CA51" s="106">
        <f ca="1">IF(BZ87=0,0,HLOOKUP(CA11,Assumptions!$D$72:$O$79,8,FALSE)*-CA12*Assumptions!$D$28)</f>
        <v>0</v>
      </c>
      <c r="CB51" s="106">
        <f ca="1">IF(CA87=0,0,HLOOKUP(CB11,Assumptions!$D$72:$O$79,8,FALSE)*-CB12*Assumptions!$D$28)</f>
        <v>0</v>
      </c>
      <c r="CC51" s="106">
        <f ca="1">IF(CB87=0,0,HLOOKUP(CC11,Assumptions!$D$72:$O$79,8,FALSE)*-CC12*Assumptions!$D$28)</f>
        <v>0</v>
      </c>
      <c r="CD51" s="106">
        <f ca="1">IF(CC87=0,0,HLOOKUP(CD11,Assumptions!$D$72:$O$79,8,FALSE)*-CD12*Assumptions!$D$28)</f>
        <v>0</v>
      </c>
      <c r="CE51" s="106">
        <f ca="1">IF(CD87=0,0,HLOOKUP(CE11,Assumptions!$D$72:$O$79,8,FALSE)*-CE12*Assumptions!$D$28)</f>
        <v>0</v>
      </c>
      <c r="CF51" s="106">
        <f ca="1">IF(CE87=0,0,HLOOKUP(CF11,Assumptions!$D$72:$O$79,8,FALSE)*-CF12*Assumptions!$D$28)</f>
        <v>0</v>
      </c>
      <c r="CG51" s="106">
        <f ca="1">IF(CF87=0,0,HLOOKUP(CG11,Assumptions!$D$72:$O$79,8,FALSE)*-CG12*Assumptions!$D$28)</f>
        <v>0</v>
      </c>
      <c r="CH51" s="106">
        <f ca="1">IF(CG87=0,0,HLOOKUP(CH11,Assumptions!$D$72:$O$79,8,FALSE)*-CH12*Assumptions!$D$28)</f>
        <v>0</v>
      </c>
      <c r="CI51" s="106">
        <f ca="1">IF(CH87=0,0,HLOOKUP(CI11,Assumptions!$D$72:$O$79,8,FALSE)*-CI12*Assumptions!$D$28)</f>
        <v>0</v>
      </c>
      <c r="CJ51" s="106">
        <f ca="1">IF(CI87=0,0,HLOOKUP(CJ11,Assumptions!$D$72:$O$79,8,FALSE)*-CJ12*Assumptions!$D$28)</f>
        <v>0</v>
      </c>
      <c r="CK51" s="106">
        <f ca="1">IF(CJ87=0,0,HLOOKUP(CK11,Assumptions!$D$72:$O$79,8,FALSE)*-CK12*Assumptions!$D$28)</f>
        <v>0</v>
      </c>
      <c r="CL51" s="106">
        <f ca="1">IF(CK87=0,0,HLOOKUP(CL11,Assumptions!$D$72:$O$79,8,FALSE)*-CL12*Assumptions!$D$28)</f>
        <v>0</v>
      </c>
      <c r="CM51" s="106">
        <f ca="1">IF(CL87=0,0,HLOOKUP(CM11,Assumptions!$D$72:$O$79,8,FALSE)*-CM12*Assumptions!$D$28)</f>
        <v>0</v>
      </c>
      <c r="CN51" s="106">
        <f ca="1">IF(CM87=0,0,HLOOKUP(CN11,Assumptions!$D$72:$O$79,8,FALSE)*-CN12*Assumptions!$D$28)</f>
        <v>0</v>
      </c>
      <c r="CO51" s="106">
        <f ca="1">IF(CN87=0,0,HLOOKUP(CO11,Assumptions!$D$72:$O$79,8,FALSE)*-CO12*Assumptions!$D$28)</f>
        <v>0</v>
      </c>
      <c r="CP51" s="106">
        <f ca="1">IF(CO87=0,0,HLOOKUP(CP11,Assumptions!$D$72:$O$79,8,FALSE)*-CP12*Assumptions!$D$28)</f>
        <v>0</v>
      </c>
      <c r="CQ51" s="106">
        <f ca="1">IF(CP87=0,0,HLOOKUP(CQ11,Assumptions!$D$72:$O$79,8,FALSE)*-CQ12*Assumptions!$D$28)</f>
        <v>0</v>
      </c>
      <c r="CR51" s="106">
        <f ca="1">IF(CQ87=0,0,HLOOKUP(CR11,Assumptions!$D$72:$O$79,8,FALSE)*-CR12*Assumptions!$D$28)</f>
        <v>0</v>
      </c>
      <c r="CS51" s="106">
        <f ca="1">IF(CR87=0,0,HLOOKUP(CS11,Assumptions!$D$72:$O$79,8,FALSE)*-CS12*Assumptions!$D$28)</f>
        <v>0</v>
      </c>
      <c r="CT51" s="106">
        <f ca="1">IF(CS87=0,0,HLOOKUP(CT11,Assumptions!$D$72:$O$79,8,FALSE)*-CT12*Assumptions!$D$28)</f>
        <v>0</v>
      </c>
      <c r="CU51" s="106">
        <f ca="1">IF(CT87=0,0,HLOOKUP(CU11,Assumptions!$D$72:$O$79,8,FALSE)*-CU12*Assumptions!$D$28)</f>
        <v>0</v>
      </c>
      <c r="CV51" s="106">
        <f ca="1">IF(CU87=0,0,HLOOKUP(CV11,Assumptions!$D$72:$O$79,8,FALSE)*-CV12*Assumptions!$D$28)</f>
        <v>0</v>
      </c>
      <c r="CW51" s="106">
        <f ca="1">IF(CV87=0,0,HLOOKUP(CW11,Assumptions!$D$72:$O$79,8,FALSE)*-CW12*Assumptions!$D$28)</f>
        <v>0</v>
      </c>
      <c r="CX51" s="106">
        <f ca="1">IF(CW87=0,0,HLOOKUP(CX11,Assumptions!$D$72:$O$79,8,FALSE)*-CX12*Assumptions!$D$28)</f>
        <v>0</v>
      </c>
      <c r="CY51" s="106">
        <f ca="1">IF(CX87=0,0,HLOOKUP(CY11,Assumptions!$D$72:$O$79,8,FALSE)*-CY12*Assumptions!$D$28)</f>
        <v>0</v>
      </c>
      <c r="CZ51" s="106">
        <f ca="1">IF(CY87=0,0,HLOOKUP(CZ11,Assumptions!$D$72:$O$79,8,FALSE)*-CZ12*Assumptions!$D$28)</f>
        <v>0</v>
      </c>
      <c r="DA51" s="106">
        <f ca="1">IF(CZ87=0,0,HLOOKUP(DA11,Assumptions!$D$72:$O$79,8,FALSE)*-DA12*Assumptions!$D$28)</f>
        <v>0</v>
      </c>
      <c r="DB51" s="106">
        <f ca="1">IF(DA87=0,0,HLOOKUP(DB11,Assumptions!$D$72:$O$79,8,FALSE)*-DB12*Assumptions!$D$28)</f>
        <v>0</v>
      </c>
      <c r="DC51" s="106">
        <f ca="1">IF(DB87=0,0,HLOOKUP(DC11,Assumptions!$D$72:$O$79,8,FALSE)*-DC12*Assumptions!$D$28)</f>
        <v>0</v>
      </c>
      <c r="DD51" s="106">
        <f ca="1">IF(DC87=0,0,HLOOKUP(DD11,Assumptions!$D$72:$O$79,8,FALSE)*-DD12*Assumptions!$D$28)</f>
        <v>0</v>
      </c>
      <c r="DE51" s="106">
        <f ca="1">IF(DD87=0,0,HLOOKUP(DE11,Assumptions!$D$72:$O$79,8,FALSE)*-DE12*Assumptions!$D$28)</f>
        <v>0</v>
      </c>
      <c r="DF51" s="106">
        <f ca="1">IF(DE87=0,0,HLOOKUP(DF11,Assumptions!$D$72:$O$79,8,FALSE)*-DF12*Assumptions!$D$28)</f>
        <v>0</v>
      </c>
      <c r="DG51" s="106">
        <f ca="1">IF(DF87=0,0,HLOOKUP(DG11,Assumptions!$D$72:$O$79,8,FALSE)*-DG12*Assumptions!$D$28)</f>
        <v>0</v>
      </c>
      <c r="DH51" s="106">
        <f ca="1">IF(DG87=0,0,HLOOKUP(DH11,Assumptions!$D$72:$O$79,8,FALSE)*-DH12*Assumptions!$D$28)</f>
        <v>0</v>
      </c>
      <c r="DI51" s="106">
        <f ca="1">IF(DH87=0,0,HLOOKUP(DI11,Assumptions!$D$72:$O$79,8,FALSE)*-DI12*Assumptions!$D$28)</f>
        <v>0</v>
      </c>
      <c r="DJ51" s="106">
        <f>IF(DI87=0,0,HLOOKUP(DJ11,Assumptions!$D$72:$O$79,8,FALSE)*-DJ12*Assumptions!$D$28)</f>
        <v>0</v>
      </c>
      <c r="DK51" s="106">
        <f>IF(DJ87=0,0,HLOOKUP(DK11,Assumptions!$D$72:$O$79,8,FALSE)*-DK12*Assumptions!$D$28)</f>
        <v>0</v>
      </c>
      <c r="DL51" s="106">
        <f>IF(DK87=0,0,HLOOKUP(DL11,Assumptions!$D$72:$O$79,8,FALSE)*-DL12*Assumptions!$D$28)</f>
        <v>0</v>
      </c>
      <c r="DM51" s="106">
        <f>IF(DL87=0,0,HLOOKUP(DM11,Assumptions!$D$72:$O$79,8,FALSE)*-DM12*Assumptions!$D$28)</f>
        <v>0</v>
      </c>
      <c r="DN51" s="106">
        <f>IF(DM87=0,0,HLOOKUP(DN11,Assumptions!$D$72:$O$79,8,FALSE)*-DN12*Assumptions!$D$28)</f>
        <v>0</v>
      </c>
      <c r="DO51" s="106">
        <f>IF(DN87=0,0,HLOOKUP(DO11,Assumptions!$D$72:$O$79,8,FALSE)*-DO12*Assumptions!$D$28)</f>
        <v>0</v>
      </c>
      <c r="DP51" s="106">
        <f>IF(DO87=0,0,HLOOKUP(DP11,Assumptions!$D$72:$O$79,8,FALSE)*-DP12*Assumptions!$D$28)</f>
        <v>0</v>
      </c>
      <c r="DQ51" s="106">
        <f>IF(DP87=0,0,HLOOKUP(DQ11,Assumptions!$D$72:$O$79,8,FALSE)*-DQ12*Assumptions!$D$28)</f>
        <v>0</v>
      </c>
      <c r="DR51" s="106">
        <f>IF(DQ87=0,0,HLOOKUP(DR11,Assumptions!$D$72:$O$79,8,FALSE)*-DR12*Assumptions!$D$28)</f>
        <v>0</v>
      </c>
      <c r="DS51" s="106">
        <f>IF(DR87=0,0,HLOOKUP(DS11,Assumptions!$D$72:$O$79,8,FALSE)*-DS12*Assumptions!$D$28)</f>
        <v>0</v>
      </c>
      <c r="DT51" s="106">
        <f>IF(DS87=0,0,HLOOKUP(DT11,Assumptions!$D$72:$O$79,8,FALSE)*-DT12*Assumptions!$D$28)</f>
        <v>0</v>
      </c>
      <c r="DU51" s="106">
        <f>IF(DT87=0,0,HLOOKUP(DU11,Assumptions!$D$72:$O$79,8,FALSE)*-DU12*Assumptions!$D$28)</f>
        <v>0</v>
      </c>
      <c r="DV51" s="106">
        <f>IF(DU87=0,0,HLOOKUP(DV11,Assumptions!$D$72:$O$79,8,FALSE)*-DV12*Assumptions!$D$28)</f>
        <v>0</v>
      </c>
      <c r="DW51" s="106">
        <f>IF(DV87=0,0,HLOOKUP(DW11,Assumptions!$D$72:$O$79,8,FALSE)*-DW12*Assumptions!$D$28)</f>
        <v>0</v>
      </c>
      <c r="DX51" s="106">
        <f>IF(DW87=0,0,HLOOKUP(DX11,Assumptions!$D$72:$O$79,8,FALSE)*-DX12*Assumptions!$D$28)</f>
        <v>0</v>
      </c>
      <c r="DY51" s="106">
        <f>IF(DX87=0,0,HLOOKUP(DY11,Assumptions!$D$72:$O$79,8,FALSE)*-DY12*Assumptions!$D$28)</f>
        <v>0</v>
      </c>
      <c r="DZ51" s="106">
        <f>IF(DY87=0,0,HLOOKUP(DZ11,Assumptions!$D$72:$O$79,8,FALSE)*-DZ12*Assumptions!$D$28)</f>
        <v>0</v>
      </c>
      <c r="EA51" s="106">
        <f>IF(DZ87=0,0,HLOOKUP(EA11,Assumptions!$D$72:$O$79,8,FALSE)*-EA12*Assumptions!$D$28)</f>
        <v>0</v>
      </c>
      <c r="EB51" s="106">
        <f>IF(EA87=0,0,HLOOKUP(EB11,Assumptions!$D$72:$O$79,8,FALSE)*-EB12*Assumptions!$D$28)</f>
        <v>0</v>
      </c>
      <c r="EC51" s="106">
        <f>IF(EB87=0,0,HLOOKUP(EC11,Assumptions!$D$72:$O$79,8,FALSE)*-EC12*Assumptions!$D$28)</f>
        <v>0</v>
      </c>
      <c r="ED51" s="106">
        <f>IF(EC87=0,0,HLOOKUP(ED11,Assumptions!$D$72:$O$79,8,FALSE)*-ED12*Assumptions!$D$28)</f>
        <v>0</v>
      </c>
      <c r="EE51" s="106">
        <f>IF(ED87=0,0,HLOOKUP(EE11,Assumptions!$D$72:$O$79,8,FALSE)*-EE12*Assumptions!$D$28)</f>
        <v>0</v>
      </c>
      <c r="EF51" s="106">
        <f>IF(EE87=0,0,HLOOKUP(EF11,Assumptions!$D$72:$O$79,8,FALSE)*-EF12*Assumptions!$D$28)</f>
        <v>0</v>
      </c>
      <c r="EG51" s="106">
        <f>IF(EF87=0,0,HLOOKUP(EG11,Assumptions!$D$72:$O$79,8,FALSE)*-EG12*Assumptions!$D$28)</f>
        <v>0</v>
      </c>
      <c r="EH51" s="106">
        <f>IF(EG87=0,0,HLOOKUP(EH11,Assumptions!$D$72:$O$79,8,FALSE)*-EH12*Assumptions!$D$28)</f>
        <v>0</v>
      </c>
      <c r="EI51" s="106">
        <f>IF(EH87=0,0,HLOOKUP(EI11,Assumptions!$D$72:$O$79,8,FALSE)*-EI12*Assumptions!$D$28)</f>
        <v>0</v>
      </c>
      <c r="EJ51" s="106">
        <f>IF(EI87=0,0,HLOOKUP(EJ11,Assumptions!$D$72:$O$79,8,FALSE)*-EJ12*Assumptions!$D$28)</f>
        <v>0</v>
      </c>
      <c r="EK51" s="106">
        <f>IF(EJ87=0,0,HLOOKUP(EK11,Assumptions!$D$72:$O$79,8,FALSE)*-EK12*Assumptions!$D$28)</f>
        <v>0</v>
      </c>
      <c r="EL51" s="106">
        <f>IF(EK87=0,0,HLOOKUP(EL11,Assumptions!$D$72:$O$79,8,FALSE)*-EL12*Assumptions!$D$28)</f>
        <v>0</v>
      </c>
      <c r="EM51" s="106">
        <f>IF(EL87=0,0,HLOOKUP(EM11,Assumptions!$D$72:$O$79,8,FALSE)*-EM12*Assumptions!$D$28)</f>
        <v>0</v>
      </c>
      <c r="EN51" s="106">
        <f>IF(EM87=0,0,HLOOKUP(EN11,Assumptions!$D$72:$O$79,8,FALSE)*-EN12*Assumptions!$D$28)</f>
        <v>0</v>
      </c>
      <c r="EO51" s="106">
        <f>IF(EN87=0,0,HLOOKUP(EO11,Assumptions!$D$72:$O$79,8,FALSE)*-EO12*Assumptions!$D$28)</f>
        <v>0</v>
      </c>
      <c r="EP51" s="106">
        <f>IF(EO87=0,0,HLOOKUP(EP11,Assumptions!$D$72:$O$79,8,FALSE)*-EP12*Assumptions!$D$28)</f>
        <v>0</v>
      </c>
      <c r="EQ51" s="106">
        <f>IF(EP87=0,0,HLOOKUP(EQ11,Assumptions!$D$72:$O$79,8,FALSE)*-EQ12*Assumptions!$D$28)</f>
        <v>0</v>
      </c>
      <c r="ES51" s="421"/>
      <c r="ET51" s="63"/>
      <c r="EU51" s="98"/>
    </row>
    <row r="52" spans="7:151" ht="15.75">
      <c r="G52" s="485"/>
      <c r="H52" s="113" t="s">
        <v>13</v>
      </c>
      <c r="I52" s="497"/>
      <c r="J52" s="217"/>
      <c r="K52" s="111"/>
      <c r="L52" s="112"/>
      <c r="M52" s="112"/>
      <c r="N52" s="219">
        <f>'Annual Cash Flow'!C29</f>
        <v>0</v>
      </c>
      <c r="O52" s="784"/>
      <c r="P52" s="106">
        <f>P35*-HLOOKUP(P11,Assumptions!$D$72:$O$76,5,FALSE)</f>
        <v>0</v>
      </c>
      <c r="Q52" s="114">
        <f ca="1">Q35*-HLOOKUP(Q11,Assumptions!$D$72:$O$76,5,FALSE)</f>
        <v>0</v>
      </c>
      <c r="R52" s="114">
        <f ca="1">R35*-HLOOKUP(R11,Assumptions!$D$72:$O$76,5,FALSE)</f>
        <v>0</v>
      </c>
      <c r="S52" s="114">
        <f ca="1">S35*-HLOOKUP(S11,Assumptions!$D$72:$O$76,5,FALSE)</f>
        <v>0</v>
      </c>
      <c r="T52" s="114">
        <f ca="1">T35*-HLOOKUP(T11,Assumptions!$D$72:$O$76,5,FALSE)</f>
        <v>0</v>
      </c>
      <c r="U52" s="114">
        <f ca="1">U35*-HLOOKUP(U11,Assumptions!$D$72:$O$76,5,FALSE)</f>
        <v>0</v>
      </c>
      <c r="V52" s="114">
        <f ca="1">V35*-HLOOKUP(V11,Assumptions!$D$72:$O$76,5,FALSE)</f>
        <v>0</v>
      </c>
      <c r="W52" s="114">
        <f ca="1">W35*-HLOOKUP(W11,Assumptions!$D$72:$O$76,5,FALSE)</f>
        <v>0</v>
      </c>
      <c r="X52" s="114">
        <f ca="1">X35*-HLOOKUP(X11,Assumptions!$D$72:$O$76,5,FALSE)</f>
        <v>0</v>
      </c>
      <c r="Y52" s="114">
        <f ca="1">Y35*-HLOOKUP(Y11,Assumptions!$D$72:$O$76,5,FALSE)</f>
        <v>0</v>
      </c>
      <c r="Z52" s="114">
        <f ca="1">Z35*-HLOOKUP(Z11,Assumptions!$D$72:$O$76,5,FALSE)</f>
        <v>0</v>
      </c>
      <c r="AA52" s="114">
        <f ca="1">AA35*-HLOOKUP(AA11,Assumptions!$D$72:$O$76,5,FALSE)</f>
        <v>0</v>
      </c>
      <c r="AB52" s="114">
        <f ca="1">AB35*-HLOOKUP(AB11,Assumptions!$D$72:$O$76,5,FALSE)</f>
        <v>0</v>
      </c>
      <c r="AC52" s="114">
        <f ca="1">AC35*-HLOOKUP(AC11,Assumptions!$D$72:$O$76,5,FALSE)</f>
        <v>0</v>
      </c>
      <c r="AD52" s="114">
        <f ca="1">AD35*-HLOOKUP(AD11,Assumptions!$D$72:$O$76,5,FALSE)</f>
        <v>0</v>
      </c>
      <c r="AE52" s="114">
        <f ca="1">AE35*-HLOOKUP(AE11,Assumptions!$D$72:$O$76,5,FALSE)</f>
        <v>0</v>
      </c>
      <c r="AF52" s="114">
        <f ca="1">AF35*-HLOOKUP(AF11,Assumptions!$D$72:$O$76,5,FALSE)</f>
        <v>0</v>
      </c>
      <c r="AG52" s="114">
        <f ca="1">AG35*-HLOOKUP(AG11,Assumptions!$D$72:$O$76,5,FALSE)</f>
        <v>0</v>
      </c>
      <c r="AH52" s="114">
        <f ca="1">AH35*-HLOOKUP(AH11,Assumptions!$D$72:$O$76,5,FALSE)</f>
        <v>0</v>
      </c>
      <c r="AI52" s="114">
        <f ca="1">AI35*-HLOOKUP(AI11,Assumptions!$D$72:$O$76,5,FALSE)</f>
        <v>0</v>
      </c>
      <c r="AJ52" s="114">
        <f ca="1">AJ35*-HLOOKUP(AJ11,Assumptions!$D$72:$O$76,5,FALSE)</f>
        <v>0</v>
      </c>
      <c r="AK52" s="114">
        <f ca="1">AK35*-HLOOKUP(AK11,Assumptions!$D$72:$O$76,5,FALSE)</f>
        <v>0</v>
      </c>
      <c r="AL52" s="114">
        <f ca="1">AL35*-HLOOKUP(AL11,Assumptions!$D$72:$O$76,5,FALSE)</f>
        <v>0</v>
      </c>
      <c r="AM52" s="114">
        <f ca="1">AM35*-HLOOKUP(AM11,Assumptions!$D$72:$O$76,5,FALSE)</f>
        <v>0</v>
      </c>
      <c r="AN52" s="114">
        <f ca="1">AN35*-HLOOKUP(AN11,Assumptions!$D$72:$O$76,5,FALSE)</f>
        <v>0</v>
      </c>
      <c r="AO52" s="114">
        <f ca="1">AO35*-HLOOKUP(AO11,Assumptions!$D$72:$O$76,5,FALSE)</f>
        <v>0</v>
      </c>
      <c r="AP52" s="114">
        <f ca="1">AP35*-HLOOKUP(AP11,Assumptions!$D$72:$O$76,5,FALSE)</f>
        <v>0</v>
      </c>
      <c r="AQ52" s="114">
        <f ca="1">AQ35*-HLOOKUP(AQ11,Assumptions!$D$72:$O$76,5,FALSE)</f>
        <v>0</v>
      </c>
      <c r="AR52" s="114">
        <f ca="1">AR35*-HLOOKUP(AR11,Assumptions!$D$72:$O$76,5,FALSE)</f>
        <v>0</v>
      </c>
      <c r="AS52" s="114">
        <f ca="1">AS35*-HLOOKUP(AS11,Assumptions!$D$72:$O$76,5,FALSE)</f>
        <v>0</v>
      </c>
      <c r="AT52" s="114">
        <f ca="1">AT35*-HLOOKUP(AT11,Assumptions!$D$72:$O$76,5,FALSE)</f>
        <v>0</v>
      </c>
      <c r="AU52" s="114">
        <f ca="1">AU35*-HLOOKUP(AU11,Assumptions!$D$72:$O$76,5,FALSE)</f>
        <v>0</v>
      </c>
      <c r="AV52" s="114">
        <f ca="1">AV35*-HLOOKUP(AV11,Assumptions!$D$72:$O$76,5,FALSE)</f>
        <v>0</v>
      </c>
      <c r="AW52" s="114">
        <f ca="1">AW35*-HLOOKUP(AW11,Assumptions!$D$72:$O$76,5,FALSE)</f>
        <v>0</v>
      </c>
      <c r="AX52" s="114">
        <f ca="1">AX35*-HLOOKUP(AX11,Assumptions!$D$72:$O$76,5,FALSE)</f>
        <v>0</v>
      </c>
      <c r="AY52" s="114">
        <f ca="1">AY35*-HLOOKUP(AY11,Assumptions!$D$72:$O$76,5,FALSE)</f>
        <v>0</v>
      </c>
      <c r="AZ52" s="114">
        <f ca="1">AZ35*-HLOOKUP(AZ11,Assumptions!$D$72:$O$76,5,FALSE)</f>
        <v>0</v>
      </c>
      <c r="BA52" s="114">
        <f ca="1">BA35*-HLOOKUP(BA11,Assumptions!$D$72:$O$76,5,FALSE)</f>
        <v>0</v>
      </c>
      <c r="BB52" s="114">
        <f ca="1">BB35*-HLOOKUP(BB11,Assumptions!$D$72:$O$76,5,FALSE)</f>
        <v>0</v>
      </c>
      <c r="BC52" s="114">
        <f ca="1">BC35*-HLOOKUP(BC11,Assumptions!$D$72:$O$76,5,FALSE)</f>
        <v>0</v>
      </c>
      <c r="BD52" s="114">
        <f ca="1">BD35*-HLOOKUP(BD11,Assumptions!$D$72:$O$76,5,FALSE)</f>
        <v>0</v>
      </c>
      <c r="BE52" s="114">
        <f ca="1">BE35*-HLOOKUP(BE11,Assumptions!$D$72:$O$76,5,FALSE)</f>
        <v>0</v>
      </c>
      <c r="BF52" s="114">
        <f ca="1">BF35*-HLOOKUP(BF11,Assumptions!$D$72:$O$76,5,FALSE)</f>
        <v>0</v>
      </c>
      <c r="BG52" s="114">
        <f ca="1">BG35*-HLOOKUP(BG11,Assumptions!$D$72:$O$76,5,FALSE)</f>
        <v>0</v>
      </c>
      <c r="BH52" s="114">
        <f ca="1">BH35*-HLOOKUP(BH11,Assumptions!$D$72:$O$76,5,FALSE)</f>
        <v>0</v>
      </c>
      <c r="BI52" s="114">
        <f ca="1">BI35*-HLOOKUP(BI11,Assumptions!$D$72:$O$76,5,FALSE)</f>
        <v>0</v>
      </c>
      <c r="BJ52" s="114">
        <f ca="1">BJ35*-HLOOKUP(BJ11,Assumptions!$D$72:$O$76,5,FALSE)</f>
        <v>0</v>
      </c>
      <c r="BK52" s="114">
        <f ca="1">BK35*-HLOOKUP(BK11,Assumptions!$D$72:$O$76,5,FALSE)</f>
        <v>0</v>
      </c>
      <c r="BL52" s="114">
        <f ca="1">BL35*-HLOOKUP(BL11,Assumptions!$D$72:$O$76,5,FALSE)</f>
        <v>0</v>
      </c>
      <c r="BM52" s="114">
        <f ca="1">BM35*-HLOOKUP(BM11,Assumptions!$D$72:$O$76,5,FALSE)</f>
        <v>0</v>
      </c>
      <c r="BN52" s="114">
        <f ca="1">BN35*-HLOOKUP(BN11,Assumptions!$D$72:$O$76,5,FALSE)</f>
        <v>0</v>
      </c>
      <c r="BO52" s="114">
        <f ca="1">BO35*-HLOOKUP(BO11,Assumptions!$D$72:$O$76,5,FALSE)</f>
        <v>0</v>
      </c>
      <c r="BP52" s="114">
        <f ca="1">BP35*-HLOOKUP(BP11,Assumptions!$D$72:$O$76,5,FALSE)</f>
        <v>0</v>
      </c>
      <c r="BQ52" s="114">
        <f ca="1">BQ35*-HLOOKUP(BQ11,Assumptions!$D$72:$O$76,5,FALSE)</f>
        <v>0</v>
      </c>
      <c r="BR52" s="114">
        <f ca="1">BR35*-HLOOKUP(BR11,Assumptions!$D$72:$O$76,5,FALSE)</f>
        <v>0</v>
      </c>
      <c r="BS52" s="114">
        <f ca="1">BS35*-HLOOKUP(BS11,Assumptions!$D$72:$O$76,5,FALSE)</f>
        <v>0</v>
      </c>
      <c r="BT52" s="114">
        <f ca="1">BT35*-HLOOKUP(BT11,Assumptions!$D$72:$O$76,5,FALSE)</f>
        <v>0</v>
      </c>
      <c r="BU52" s="114">
        <f ca="1">BU35*-HLOOKUP(BU11,Assumptions!$D$72:$O$76,5,FALSE)</f>
        <v>0</v>
      </c>
      <c r="BV52" s="114">
        <f ca="1">BV35*-HLOOKUP(BV11,Assumptions!$D$72:$O$76,5,FALSE)</f>
        <v>0</v>
      </c>
      <c r="BW52" s="114">
        <f ca="1">BW35*-HLOOKUP(BW11,Assumptions!$D$72:$O$76,5,FALSE)</f>
        <v>0</v>
      </c>
      <c r="BX52" s="114">
        <f ca="1">BX35*-HLOOKUP(BX11,Assumptions!$D$72:$O$76,5,FALSE)</f>
        <v>0</v>
      </c>
      <c r="BY52" s="114">
        <f ca="1">BY35*-HLOOKUP(BY11,Assumptions!$D$72:$O$76,5,FALSE)</f>
        <v>0</v>
      </c>
      <c r="BZ52" s="114">
        <f ca="1">BZ35*-HLOOKUP(BZ11,Assumptions!$D$72:$O$76,5,FALSE)</f>
        <v>0</v>
      </c>
      <c r="CA52" s="114">
        <f ca="1">CA35*-HLOOKUP(CA11,Assumptions!$D$72:$O$76,5,FALSE)</f>
        <v>0</v>
      </c>
      <c r="CB52" s="114">
        <f ca="1">CB35*-HLOOKUP(CB11,Assumptions!$D$72:$O$76,5,FALSE)</f>
        <v>0</v>
      </c>
      <c r="CC52" s="114">
        <f ca="1">CC35*-HLOOKUP(CC11,Assumptions!$D$72:$O$76,5,FALSE)</f>
        <v>0</v>
      </c>
      <c r="CD52" s="114">
        <f ca="1">CD35*-HLOOKUP(CD11,Assumptions!$D$72:$O$76,5,FALSE)</f>
        <v>0</v>
      </c>
      <c r="CE52" s="114">
        <f ca="1">CE35*-HLOOKUP(CE11,Assumptions!$D$72:$O$76,5,FALSE)</f>
        <v>0</v>
      </c>
      <c r="CF52" s="114">
        <f ca="1">CF35*-HLOOKUP(CF11,Assumptions!$D$72:$O$76,5,FALSE)</f>
        <v>0</v>
      </c>
      <c r="CG52" s="114">
        <f ca="1">CG35*-HLOOKUP(CG11,Assumptions!$D$72:$O$76,5,FALSE)</f>
        <v>0</v>
      </c>
      <c r="CH52" s="114">
        <f ca="1">CH35*-HLOOKUP(CH11,Assumptions!$D$72:$O$76,5,FALSE)</f>
        <v>0</v>
      </c>
      <c r="CI52" s="114">
        <f ca="1">CI35*-HLOOKUP(CI11,Assumptions!$D$72:$O$76,5,FALSE)</f>
        <v>0</v>
      </c>
      <c r="CJ52" s="114">
        <f ca="1">CJ35*-HLOOKUP(CJ11,Assumptions!$D$72:$O$76,5,FALSE)</f>
        <v>0</v>
      </c>
      <c r="CK52" s="114">
        <f ca="1">CK35*-HLOOKUP(CK11,Assumptions!$D$72:$O$76,5,FALSE)</f>
        <v>0</v>
      </c>
      <c r="CL52" s="114">
        <f ca="1">CL35*-HLOOKUP(CL11,Assumptions!$D$72:$O$76,5,FALSE)</f>
        <v>0</v>
      </c>
      <c r="CM52" s="114">
        <f ca="1">CM35*-HLOOKUP(CM11,Assumptions!$D$72:$O$76,5,FALSE)</f>
        <v>0</v>
      </c>
      <c r="CN52" s="114">
        <f ca="1">CN35*-HLOOKUP(CN11,Assumptions!$D$72:$O$76,5,FALSE)</f>
        <v>0</v>
      </c>
      <c r="CO52" s="114">
        <f ca="1">CO35*-HLOOKUP(CO11,Assumptions!$D$72:$O$76,5,FALSE)</f>
        <v>0</v>
      </c>
      <c r="CP52" s="114">
        <f ca="1">CP35*-HLOOKUP(CP11,Assumptions!$D$72:$O$76,5,FALSE)</f>
        <v>0</v>
      </c>
      <c r="CQ52" s="114">
        <f ca="1">CQ35*-HLOOKUP(CQ11,Assumptions!$D$72:$O$76,5,FALSE)</f>
        <v>0</v>
      </c>
      <c r="CR52" s="114">
        <f ca="1">CR35*-HLOOKUP(CR11,Assumptions!$D$72:$O$76,5,FALSE)</f>
        <v>0</v>
      </c>
      <c r="CS52" s="114">
        <f ca="1">CS35*-HLOOKUP(CS11,Assumptions!$D$72:$O$76,5,FALSE)</f>
        <v>0</v>
      </c>
      <c r="CT52" s="114">
        <f ca="1">CT35*-HLOOKUP(CT11,Assumptions!$D$72:$O$76,5,FALSE)</f>
        <v>0</v>
      </c>
      <c r="CU52" s="114">
        <f ca="1">CU35*-HLOOKUP(CU11,Assumptions!$D$72:$O$76,5,FALSE)</f>
        <v>0</v>
      </c>
      <c r="CV52" s="114">
        <f ca="1">CV35*-HLOOKUP(CV11,Assumptions!$D$72:$O$76,5,FALSE)</f>
        <v>0</v>
      </c>
      <c r="CW52" s="114">
        <f ca="1">CW35*-HLOOKUP(CW11,Assumptions!$D$72:$O$76,5,FALSE)</f>
        <v>0</v>
      </c>
      <c r="CX52" s="114">
        <f ca="1">CX35*-HLOOKUP(CX11,Assumptions!$D$72:$O$76,5,FALSE)</f>
        <v>0</v>
      </c>
      <c r="CY52" s="114">
        <f ca="1">CY35*-HLOOKUP(CY11,Assumptions!$D$72:$O$76,5,FALSE)</f>
        <v>0</v>
      </c>
      <c r="CZ52" s="114">
        <f ca="1">CZ35*-HLOOKUP(CZ11,Assumptions!$D$72:$O$76,5,FALSE)</f>
        <v>0</v>
      </c>
      <c r="DA52" s="114">
        <f ca="1">DA35*-HLOOKUP(DA11,Assumptions!$D$72:$O$76,5,FALSE)</f>
        <v>0</v>
      </c>
      <c r="DB52" s="114">
        <f ca="1">DB35*-HLOOKUP(DB11,Assumptions!$D$72:$O$76,5,FALSE)</f>
        <v>0</v>
      </c>
      <c r="DC52" s="114">
        <f ca="1">DC35*-HLOOKUP(DC11,Assumptions!$D$72:$O$76,5,FALSE)</f>
        <v>0</v>
      </c>
      <c r="DD52" s="114">
        <f ca="1">DD35*-HLOOKUP(DD11,Assumptions!$D$72:$O$76,5,FALSE)</f>
        <v>0</v>
      </c>
      <c r="DE52" s="114">
        <f ca="1">DE35*-HLOOKUP(DE11,Assumptions!$D$72:$O$76,5,FALSE)</f>
        <v>0</v>
      </c>
      <c r="DF52" s="114">
        <f ca="1">DF35*-HLOOKUP(DF11,Assumptions!$D$72:$O$76,5,FALSE)</f>
        <v>0</v>
      </c>
      <c r="DG52" s="114">
        <f ca="1">DG35*-HLOOKUP(DG11,Assumptions!$D$72:$O$76,5,FALSE)</f>
        <v>0</v>
      </c>
      <c r="DH52" s="114">
        <f ca="1">DH35*-HLOOKUP(DH11,Assumptions!$D$72:$O$76,5,FALSE)</f>
        <v>0</v>
      </c>
      <c r="DI52" s="114">
        <f ca="1">DI35*-HLOOKUP(DI11,Assumptions!$D$72:$O$76,5,FALSE)</f>
        <v>0</v>
      </c>
      <c r="DJ52" s="114">
        <f>DJ35*-HLOOKUP(DJ11,Assumptions!$D$72:$O$76,5,FALSE)</f>
        <v>0</v>
      </c>
      <c r="DK52" s="114">
        <f>DK35*-HLOOKUP(DK11,Assumptions!$D$72:$O$76,5,FALSE)</f>
        <v>0</v>
      </c>
      <c r="DL52" s="114">
        <f>DL35*-HLOOKUP(DL11,Assumptions!$D$72:$O$76,5,FALSE)</f>
        <v>0</v>
      </c>
      <c r="DM52" s="114">
        <f>DM35*-HLOOKUP(DM11,Assumptions!$D$72:$O$76,5,FALSE)</f>
        <v>0</v>
      </c>
      <c r="DN52" s="114">
        <f>DN35*-HLOOKUP(DN11,Assumptions!$D$72:$O$76,5,FALSE)</f>
        <v>0</v>
      </c>
      <c r="DO52" s="114">
        <f>DO35*-HLOOKUP(DO11,Assumptions!$D$72:$O$76,5,FALSE)</f>
        <v>0</v>
      </c>
      <c r="DP52" s="114">
        <f>DP35*-HLOOKUP(DP11,Assumptions!$D$72:$O$76,5,FALSE)</f>
        <v>0</v>
      </c>
      <c r="DQ52" s="114">
        <f>DQ35*-HLOOKUP(DQ11,Assumptions!$D$72:$O$76,5,FALSE)</f>
        <v>0</v>
      </c>
      <c r="DR52" s="114">
        <f>DR35*-HLOOKUP(DR11,Assumptions!$D$72:$O$76,5,FALSE)</f>
        <v>0</v>
      </c>
      <c r="DS52" s="114">
        <f>DS35*-HLOOKUP(DS11,Assumptions!$D$72:$O$76,5,FALSE)</f>
        <v>0</v>
      </c>
      <c r="DT52" s="114">
        <f>DT35*-HLOOKUP(DT11,Assumptions!$D$72:$O$76,5,FALSE)</f>
        <v>0</v>
      </c>
      <c r="DU52" s="114">
        <f>DU35*-HLOOKUP(DU11,Assumptions!$D$72:$O$76,5,FALSE)</f>
        <v>0</v>
      </c>
      <c r="DV52" s="114">
        <f>DV35*-HLOOKUP(DV11,Assumptions!$D$72:$O$76,5,FALSE)</f>
        <v>0</v>
      </c>
      <c r="DW52" s="114">
        <f>DW35*-HLOOKUP(DW11,Assumptions!$D$72:$O$76,5,FALSE)</f>
        <v>0</v>
      </c>
      <c r="DX52" s="114">
        <f>DX35*-HLOOKUP(DX11,Assumptions!$D$72:$O$76,5,FALSE)</f>
        <v>0</v>
      </c>
      <c r="DY52" s="114">
        <f>DY35*-HLOOKUP(DY11,Assumptions!$D$72:$O$76,5,FALSE)</f>
        <v>0</v>
      </c>
      <c r="DZ52" s="114">
        <f>DZ35*-HLOOKUP(DZ11,Assumptions!$D$72:$O$76,5,FALSE)</f>
        <v>0</v>
      </c>
      <c r="EA52" s="114">
        <f>EA35*-HLOOKUP(EA11,Assumptions!$D$72:$O$76,5,FALSE)</f>
        <v>0</v>
      </c>
      <c r="EB52" s="114">
        <f>EB35*-HLOOKUP(EB11,Assumptions!$D$72:$O$76,5,FALSE)</f>
        <v>0</v>
      </c>
      <c r="EC52" s="114">
        <f>EC35*-HLOOKUP(EC11,Assumptions!$D$72:$O$76,5,FALSE)</f>
        <v>0</v>
      </c>
      <c r="ED52" s="114">
        <f>ED35*-HLOOKUP(ED11,Assumptions!$D$72:$O$76,5,FALSE)</f>
        <v>0</v>
      </c>
      <c r="EE52" s="114">
        <f>EE35*-HLOOKUP(EE11,Assumptions!$D$72:$O$76,5,FALSE)</f>
        <v>0</v>
      </c>
      <c r="EF52" s="114">
        <f>EF35*-HLOOKUP(EF11,Assumptions!$D$72:$O$76,5,FALSE)</f>
        <v>0</v>
      </c>
      <c r="EG52" s="114">
        <f>EG35*-HLOOKUP(EG11,Assumptions!$D$72:$O$76,5,FALSE)</f>
        <v>0</v>
      </c>
      <c r="EH52" s="114">
        <f>EH35*-HLOOKUP(EH11,Assumptions!$D$72:$O$76,5,FALSE)</f>
        <v>0</v>
      </c>
      <c r="EI52" s="114">
        <f>EI35*-HLOOKUP(EI11,Assumptions!$D$72:$O$76,5,FALSE)</f>
        <v>0</v>
      </c>
      <c r="EJ52" s="114">
        <f>EJ35*-HLOOKUP(EJ11,Assumptions!$D$72:$O$76,5,FALSE)</f>
        <v>0</v>
      </c>
      <c r="EK52" s="114">
        <f>EK35*-HLOOKUP(EK11,Assumptions!$D$72:$O$76,5,FALSE)</f>
        <v>0</v>
      </c>
      <c r="EL52" s="114">
        <f>EL35*-HLOOKUP(EL11,Assumptions!$D$72:$O$76,5,FALSE)</f>
        <v>0</v>
      </c>
      <c r="EM52" s="114">
        <f>EM35*-HLOOKUP(EM11,Assumptions!$D$72:$O$76,5,FALSE)</f>
        <v>0</v>
      </c>
      <c r="EN52" s="114">
        <f>EN35*-HLOOKUP(EN11,Assumptions!$D$72:$O$76,5,FALSE)</f>
        <v>0</v>
      </c>
      <c r="EO52" s="114">
        <f>EO35*-HLOOKUP(EO11,Assumptions!$D$72:$O$76,5,FALSE)</f>
        <v>0</v>
      </c>
      <c r="EP52" s="114">
        <f>EP35*-HLOOKUP(EP11,Assumptions!$D$72:$O$76,5,FALSE)</f>
        <v>0</v>
      </c>
      <c r="EQ52" s="114">
        <f>EQ35*-HLOOKUP(EQ11,Assumptions!$D$72:$O$76,5,FALSE)</f>
        <v>0</v>
      </c>
      <c r="ES52" s="421"/>
      <c r="ET52" s="63"/>
      <c r="EU52" s="98"/>
    </row>
    <row r="53" spans="7:151" ht="6" customHeight="1">
      <c r="G53" s="485"/>
      <c r="H53" s="113"/>
      <c r="I53" s="497"/>
      <c r="J53" s="220"/>
      <c r="K53" s="116"/>
      <c r="L53" s="102"/>
      <c r="M53" s="102"/>
      <c r="N53" s="220"/>
      <c r="O53" s="780"/>
      <c r="P53" s="103"/>
      <c r="Q53" s="112"/>
      <c r="R53" s="112"/>
      <c r="S53" s="115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S53" s="421"/>
      <c r="ET53" s="63"/>
      <c r="EU53" s="98"/>
    </row>
    <row r="54" spans="7:151" ht="15.75">
      <c r="G54" s="485" t="s">
        <v>14</v>
      </c>
      <c r="H54" s="145"/>
      <c r="I54" s="497"/>
      <c r="J54" s="220"/>
      <c r="K54" s="116"/>
      <c r="L54" s="102"/>
      <c r="M54" s="102"/>
      <c r="N54" s="220">
        <f t="shared" ref="N54:W54" si="196">SUM(N48:N52)</f>
        <v>272811</v>
      </c>
      <c r="O54" s="780"/>
      <c r="P54" s="102">
        <f t="shared" ca="1" si="196"/>
        <v>23256</v>
      </c>
      <c r="Q54" s="104">
        <f t="shared" ca="1" si="196"/>
        <v>22480.800000000003</v>
      </c>
      <c r="R54" s="104">
        <f t="shared" ca="1" si="196"/>
        <v>19380.000000000004</v>
      </c>
      <c r="S54" s="105">
        <f t="shared" ca="1" si="196"/>
        <v>15504.000000000004</v>
      </c>
      <c r="T54" s="104">
        <f t="shared" ca="1" si="196"/>
        <v>16375.200000000004</v>
      </c>
      <c r="U54" s="104">
        <f t="shared" ca="1" si="196"/>
        <v>19860.000000000004</v>
      </c>
      <c r="V54" s="104">
        <f t="shared" ca="1" si="196"/>
        <v>24216.000000000004</v>
      </c>
      <c r="W54" s="104">
        <f t="shared" ca="1" si="196"/>
        <v>24216.000000000004</v>
      </c>
      <c r="X54" s="104">
        <f ca="1">SUM(X48:X52)</f>
        <v>24216.000000000004</v>
      </c>
      <c r="Y54" s="104">
        <f ca="1">SUM(Y48:Y52)</f>
        <v>24216.000000000004</v>
      </c>
      <c r="Z54" s="104">
        <f t="shared" ref="Z54:CK54" ca="1" si="197">SUM(Z48:Z52)</f>
        <v>24216.000000000004</v>
      </c>
      <c r="AA54" s="104">
        <f t="shared" ca="1" si="197"/>
        <v>24216.000000000004</v>
      </c>
      <c r="AB54" s="104">
        <f t="shared" ca="1" si="197"/>
        <v>21330.15408</v>
      </c>
      <c r="AC54" s="104">
        <f t="shared" ca="1" si="197"/>
        <v>17271.982080000002</v>
      </c>
      <c r="AD54" s="104">
        <f t="shared" ca="1" si="197"/>
        <v>17271.982080000002</v>
      </c>
      <c r="AE54" s="104">
        <f t="shared" ca="1" si="197"/>
        <v>17791.629120000001</v>
      </c>
      <c r="AF54" s="104">
        <f t="shared" ca="1" si="197"/>
        <v>22369.44816</v>
      </c>
      <c r="AG54" s="104">
        <f t="shared" ca="1" si="197"/>
        <v>22369.44816</v>
      </c>
      <c r="AH54" s="104">
        <f t="shared" ca="1" si="197"/>
        <v>26947.267199999998</v>
      </c>
      <c r="AI54" s="104">
        <f t="shared" ca="1" si="197"/>
        <v>26947.267199999998</v>
      </c>
      <c r="AJ54" s="104">
        <f t="shared" ca="1" si="197"/>
        <v>26947.267199999998</v>
      </c>
      <c r="AK54" s="104">
        <f t="shared" ca="1" si="197"/>
        <v>26947.267199999998</v>
      </c>
      <c r="AL54" s="104">
        <f t="shared" ca="1" si="197"/>
        <v>26947.267199999998</v>
      </c>
      <c r="AM54" s="104">
        <f t="shared" ca="1" si="197"/>
        <v>26947.267199999998</v>
      </c>
      <c r="AN54" s="104">
        <f t="shared" ca="1" si="197"/>
        <v>28213.788758400002</v>
      </c>
      <c r="AO54" s="104">
        <f t="shared" ca="1" si="197"/>
        <v>28213.788758400002</v>
      </c>
      <c r="AP54" s="104">
        <f t="shared" ca="1" si="197"/>
        <v>28213.788758400002</v>
      </c>
      <c r="AQ54" s="104">
        <f t="shared" ca="1" si="197"/>
        <v>24814.663891200002</v>
      </c>
      <c r="AR54" s="104">
        <f t="shared" ca="1" si="197"/>
        <v>24814.663891200002</v>
      </c>
      <c r="AS54" s="104">
        <f t="shared" ca="1" si="197"/>
        <v>23964.882674400003</v>
      </c>
      <c r="AT54" s="104">
        <f t="shared" ca="1" si="197"/>
        <v>27799.263902303999</v>
      </c>
      <c r="AU54" s="104">
        <f t="shared" ca="1" si="197"/>
        <v>27799.263902303999</v>
      </c>
      <c r="AV54" s="104">
        <f t="shared" ca="1" si="197"/>
        <v>28757.859209280003</v>
      </c>
      <c r="AW54" s="104">
        <f t="shared" ca="1" si="197"/>
        <v>28757.859209280003</v>
      </c>
      <c r="AX54" s="104">
        <f t="shared" ca="1" si="197"/>
        <v>28757.859209280003</v>
      </c>
      <c r="AY54" s="104">
        <f t="shared" ca="1" si="197"/>
        <v>28757.859209280003</v>
      </c>
      <c r="AZ54" s="104">
        <f t="shared" ca="1" si="197"/>
        <v>29706.868563186235</v>
      </c>
      <c r="BA54" s="104">
        <f t="shared" ca="1" si="197"/>
        <v>29706.868563186235</v>
      </c>
      <c r="BB54" s="104">
        <f t="shared" ca="1" si="197"/>
        <v>29706.868563186235</v>
      </c>
      <c r="BC54" s="104">
        <f t="shared" ca="1" si="197"/>
        <v>29706.868563186235</v>
      </c>
      <c r="BD54" s="104">
        <f t="shared" ca="1" si="197"/>
        <v>29706.868563186235</v>
      </c>
      <c r="BE54" s="104">
        <f t="shared" ca="1" si="197"/>
        <v>29706.868563186235</v>
      </c>
      <c r="BF54" s="104">
        <f t="shared" ca="1" si="197"/>
        <v>29706.868563186235</v>
      </c>
      <c r="BG54" s="104">
        <f t="shared" ca="1" si="197"/>
        <v>29706.868563186235</v>
      </c>
      <c r="BH54" s="104">
        <f t="shared" ca="1" si="197"/>
        <v>29706.868563186235</v>
      </c>
      <c r="BI54" s="104">
        <f t="shared" ca="1" si="197"/>
        <v>29706.868563186235</v>
      </c>
      <c r="BJ54" s="104">
        <f t="shared" ca="1" si="197"/>
        <v>29706.868563186235</v>
      </c>
      <c r="BK54" s="104">
        <f t="shared" ca="1" si="197"/>
        <v>29706.868563186235</v>
      </c>
      <c r="BL54" s="104">
        <f t="shared" ca="1" si="197"/>
        <v>30508.95401439226</v>
      </c>
      <c r="BM54" s="104">
        <f t="shared" ca="1" si="197"/>
        <v>30508.95401439226</v>
      </c>
      <c r="BN54" s="104">
        <f t="shared" ca="1" si="197"/>
        <v>30508.95401439226</v>
      </c>
      <c r="BO54" s="104">
        <f t="shared" ca="1" si="197"/>
        <v>30508.95401439226</v>
      </c>
      <c r="BP54" s="104">
        <f t="shared" ca="1" si="197"/>
        <v>30508.95401439226</v>
      </c>
      <c r="BQ54" s="104">
        <f t="shared" ca="1" si="197"/>
        <v>30508.95401439226</v>
      </c>
      <c r="BR54" s="104">
        <f t="shared" ca="1" si="197"/>
        <v>30508.95401439226</v>
      </c>
      <c r="BS54" s="104">
        <f t="shared" ca="1" si="197"/>
        <v>30508.95401439226</v>
      </c>
      <c r="BT54" s="104">
        <f t="shared" ca="1" si="197"/>
        <v>30508.95401439226</v>
      </c>
      <c r="BU54" s="104">
        <f t="shared" ca="1" si="197"/>
        <v>30508.95401439226</v>
      </c>
      <c r="BV54" s="104">
        <f t="shared" ca="1" si="197"/>
        <v>30508.95401439226</v>
      </c>
      <c r="BW54" s="104">
        <f t="shared" ca="1" si="197"/>
        <v>30508.95401439226</v>
      </c>
      <c r="BX54" s="104">
        <f t="shared" ca="1" si="197"/>
        <v>31424.222634824029</v>
      </c>
      <c r="BY54" s="104">
        <f t="shared" ca="1" si="197"/>
        <v>31424.222634824029</v>
      </c>
      <c r="BZ54" s="104">
        <f t="shared" ca="1" si="197"/>
        <v>31424.222634824029</v>
      </c>
      <c r="CA54" s="104">
        <f t="shared" ca="1" si="197"/>
        <v>31424.222634824029</v>
      </c>
      <c r="CB54" s="104">
        <f t="shared" ca="1" si="197"/>
        <v>31424.222634824029</v>
      </c>
      <c r="CC54" s="104">
        <f t="shared" ca="1" si="197"/>
        <v>31424.222634824029</v>
      </c>
      <c r="CD54" s="104">
        <f t="shared" ca="1" si="197"/>
        <v>31424.222634824029</v>
      </c>
      <c r="CE54" s="104">
        <f t="shared" ca="1" si="197"/>
        <v>31424.222634824029</v>
      </c>
      <c r="CF54" s="104">
        <f t="shared" ca="1" si="197"/>
        <v>31424.222634824029</v>
      </c>
      <c r="CG54" s="104">
        <f t="shared" ca="1" si="197"/>
        <v>31424.222634824029</v>
      </c>
      <c r="CH54" s="104">
        <f t="shared" ca="1" si="197"/>
        <v>31424.222634824029</v>
      </c>
      <c r="CI54" s="104">
        <f t="shared" ca="1" si="197"/>
        <v>31424.222634824029</v>
      </c>
      <c r="CJ54" s="104">
        <f t="shared" ca="1" si="197"/>
        <v>32366.949313868754</v>
      </c>
      <c r="CK54" s="104">
        <f t="shared" ca="1" si="197"/>
        <v>32366.949313868754</v>
      </c>
      <c r="CL54" s="104">
        <f t="shared" ref="CL54:EQ54" ca="1" si="198">SUM(CL48:CL52)</f>
        <v>32366.949313868754</v>
      </c>
      <c r="CM54" s="104">
        <f t="shared" ca="1" si="198"/>
        <v>32366.949313868754</v>
      </c>
      <c r="CN54" s="104">
        <f t="shared" ca="1" si="198"/>
        <v>32366.949313868754</v>
      </c>
      <c r="CO54" s="104">
        <f t="shared" ca="1" si="198"/>
        <v>32366.949313868754</v>
      </c>
      <c r="CP54" s="104">
        <f t="shared" ca="1" si="198"/>
        <v>32366.949313868754</v>
      </c>
      <c r="CQ54" s="104">
        <f t="shared" ca="1" si="198"/>
        <v>32366.949313868754</v>
      </c>
      <c r="CR54" s="104">
        <f t="shared" ca="1" si="198"/>
        <v>32366.949313868754</v>
      </c>
      <c r="CS54" s="104">
        <f t="shared" ca="1" si="198"/>
        <v>32366.949313868754</v>
      </c>
      <c r="CT54" s="104">
        <f t="shared" ca="1" si="198"/>
        <v>32366.949313868754</v>
      </c>
      <c r="CU54" s="104">
        <f t="shared" ca="1" si="198"/>
        <v>32366.949313868754</v>
      </c>
      <c r="CV54" s="104">
        <f t="shared" ca="1" si="198"/>
        <v>33337.957793284819</v>
      </c>
      <c r="CW54" s="104">
        <f t="shared" ca="1" si="198"/>
        <v>33337.957793284819</v>
      </c>
      <c r="CX54" s="104">
        <f t="shared" ca="1" si="198"/>
        <v>33337.957793284819</v>
      </c>
      <c r="CY54" s="104">
        <f t="shared" ca="1" si="198"/>
        <v>33337.957793284819</v>
      </c>
      <c r="CZ54" s="104">
        <f t="shared" ca="1" si="198"/>
        <v>33337.957793284819</v>
      </c>
      <c r="DA54" s="104">
        <f t="shared" ca="1" si="198"/>
        <v>33337.957793284819</v>
      </c>
      <c r="DB54" s="104">
        <f t="shared" ca="1" si="198"/>
        <v>33337.957793284819</v>
      </c>
      <c r="DC54" s="104">
        <f t="shared" ca="1" si="198"/>
        <v>33337.957793284819</v>
      </c>
      <c r="DD54" s="104">
        <f t="shared" ca="1" si="198"/>
        <v>33337.957793284819</v>
      </c>
      <c r="DE54" s="104">
        <f t="shared" ca="1" si="198"/>
        <v>33337.957793284819</v>
      </c>
      <c r="DF54" s="104">
        <f t="shared" ca="1" si="198"/>
        <v>33337.957793284819</v>
      </c>
      <c r="DG54" s="104">
        <f t="shared" ca="1" si="198"/>
        <v>33337.957793284819</v>
      </c>
      <c r="DH54" s="104">
        <f t="shared" ca="1" si="198"/>
        <v>34338.096527083355</v>
      </c>
      <c r="DI54" s="104">
        <f t="shared" ca="1" si="198"/>
        <v>35768.850549045164</v>
      </c>
      <c r="DJ54" s="104">
        <f t="shared" ca="1" si="198"/>
        <v>4060.2691258878804</v>
      </c>
      <c r="DK54" s="104">
        <f t="shared" ca="1" si="198"/>
        <v>0</v>
      </c>
      <c r="DL54" s="104">
        <f t="shared" ca="1" si="198"/>
        <v>0</v>
      </c>
      <c r="DM54" s="104">
        <f t="shared" ca="1" si="198"/>
        <v>0</v>
      </c>
      <c r="DN54" s="104">
        <f t="shared" ca="1" si="198"/>
        <v>0</v>
      </c>
      <c r="DO54" s="104">
        <f t="shared" ca="1" si="198"/>
        <v>0</v>
      </c>
      <c r="DP54" s="104">
        <f t="shared" ca="1" si="198"/>
        <v>0</v>
      </c>
      <c r="DQ54" s="104">
        <f t="shared" ca="1" si="198"/>
        <v>0</v>
      </c>
      <c r="DR54" s="104">
        <f t="shared" ca="1" si="198"/>
        <v>0</v>
      </c>
      <c r="DS54" s="104">
        <f t="shared" ca="1" si="198"/>
        <v>0</v>
      </c>
      <c r="DT54" s="104">
        <f t="shared" ca="1" si="198"/>
        <v>0</v>
      </c>
      <c r="DU54" s="104">
        <f t="shared" ca="1" si="198"/>
        <v>0</v>
      </c>
      <c r="DV54" s="104">
        <f t="shared" ca="1" si="198"/>
        <v>0</v>
      </c>
      <c r="DW54" s="104">
        <f t="shared" ca="1" si="198"/>
        <v>0</v>
      </c>
      <c r="DX54" s="104">
        <f t="shared" ca="1" si="198"/>
        <v>0</v>
      </c>
      <c r="DY54" s="104">
        <f t="shared" ca="1" si="198"/>
        <v>0</v>
      </c>
      <c r="DZ54" s="104">
        <f t="shared" ca="1" si="198"/>
        <v>0</v>
      </c>
      <c r="EA54" s="104">
        <f t="shared" ca="1" si="198"/>
        <v>0</v>
      </c>
      <c r="EB54" s="104">
        <f t="shared" ca="1" si="198"/>
        <v>0</v>
      </c>
      <c r="EC54" s="104">
        <f t="shared" ca="1" si="198"/>
        <v>0</v>
      </c>
      <c r="ED54" s="104">
        <f t="shared" ca="1" si="198"/>
        <v>0</v>
      </c>
      <c r="EE54" s="104">
        <f t="shared" ca="1" si="198"/>
        <v>0</v>
      </c>
      <c r="EF54" s="104">
        <f t="shared" ca="1" si="198"/>
        <v>0</v>
      </c>
      <c r="EG54" s="104">
        <f t="shared" ca="1" si="198"/>
        <v>0</v>
      </c>
      <c r="EH54" s="104">
        <f t="shared" ca="1" si="198"/>
        <v>0</v>
      </c>
      <c r="EI54" s="104">
        <f t="shared" ca="1" si="198"/>
        <v>0</v>
      </c>
      <c r="EJ54" s="104">
        <f t="shared" ca="1" si="198"/>
        <v>0</v>
      </c>
      <c r="EK54" s="104">
        <f t="shared" ca="1" si="198"/>
        <v>0</v>
      </c>
      <c r="EL54" s="104">
        <f t="shared" ca="1" si="198"/>
        <v>0</v>
      </c>
      <c r="EM54" s="104">
        <f t="shared" ca="1" si="198"/>
        <v>0</v>
      </c>
      <c r="EN54" s="104">
        <f t="shared" ca="1" si="198"/>
        <v>0</v>
      </c>
      <c r="EO54" s="104">
        <f t="shared" ca="1" si="198"/>
        <v>0</v>
      </c>
      <c r="EP54" s="104">
        <f t="shared" ca="1" si="198"/>
        <v>0</v>
      </c>
      <c r="EQ54" s="104">
        <f t="shared" ca="1" si="198"/>
        <v>0</v>
      </c>
      <c r="ES54" s="421"/>
      <c r="ET54" s="63"/>
      <c r="EU54" s="98"/>
    </row>
    <row r="55" spans="7:151" ht="9" customHeight="1">
      <c r="G55" s="494"/>
      <c r="H55" s="145"/>
      <c r="I55" s="108"/>
      <c r="J55" s="217"/>
      <c r="K55" s="107"/>
      <c r="L55" s="106"/>
      <c r="M55" s="106"/>
      <c r="N55" s="217"/>
      <c r="O55" s="781"/>
      <c r="P55" s="207"/>
      <c r="Q55" s="106"/>
      <c r="R55" s="106"/>
      <c r="S55" s="110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S55" s="421"/>
      <c r="ET55" s="63"/>
      <c r="EU55" s="98"/>
    </row>
    <row r="56" spans="7:151" ht="15.75">
      <c r="G56" s="145"/>
      <c r="H56" s="498" t="s">
        <v>0</v>
      </c>
      <c r="I56" s="184"/>
      <c r="J56" s="239"/>
      <c r="K56" s="443"/>
      <c r="L56" s="444"/>
      <c r="M56" s="444"/>
      <c r="N56" s="445">
        <f>'Annual Cash Flow'!C33</f>
        <v>2853</v>
      </c>
      <c r="O56" s="785"/>
      <c r="P56" s="102">
        <f>Assumptions!H44/12</f>
        <v>240.12750000000003</v>
      </c>
      <c r="Q56" s="115">
        <f t="shared" ref="Q56:AV56" ca="1" si="199">IF(P87=0,0,1)*IF(Q11=1,$P$56,($P$56*(1+Q33)))</f>
        <v>240.12750000000003</v>
      </c>
      <c r="R56" s="115">
        <f t="shared" ca="1" si="199"/>
        <v>240.12750000000003</v>
      </c>
      <c r="S56" s="115">
        <f t="shared" ca="1" si="199"/>
        <v>240.12750000000003</v>
      </c>
      <c r="T56" s="115">
        <f t="shared" ca="1" si="199"/>
        <v>240.12750000000003</v>
      </c>
      <c r="U56" s="115">
        <f t="shared" ca="1" si="199"/>
        <v>240.12750000000003</v>
      </c>
      <c r="V56" s="115">
        <f t="shared" ca="1" si="199"/>
        <v>240.12750000000003</v>
      </c>
      <c r="W56" s="115">
        <f t="shared" ca="1" si="199"/>
        <v>240.12750000000003</v>
      </c>
      <c r="X56" s="115">
        <f t="shared" ca="1" si="199"/>
        <v>240.12750000000003</v>
      </c>
      <c r="Y56" s="115">
        <f t="shared" ca="1" si="199"/>
        <v>240.12750000000003</v>
      </c>
      <c r="Z56" s="115">
        <f t="shared" ca="1" si="199"/>
        <v>240.12750000000003</v>
      </c>
      <c r="AA56" s="115">
        <f t="shared" ca="1" si="199"/>
        <v>240.12750000000003</v>
      </c>
      <c r="AB56" s="115">
        <f t="shared" ca="1" si="199"/>
        <v>259.96155124500001</v>
      </c>
      <c r="AC56" s="115">
        <f t="shared" ca="1" si="199"/>
        <v>259.96155124500001</v>
      </c>
      <c r="AD56" s="115">
        <f t="shared" ca="1" si="199"/>
        <v>259.96155124500001</v>
      </c>
      <c r="AE56" s="115">
        <f t="shared" ca="1" si="199"/>
        <v>259.96155124500001</v>
      </c>
      <c r="AF56" s="115">
        <f t="shared" ca="1" si="199"/>
        <v>259.96155124500001</v>
      </c>
      <c r="AG56" s="115">
        <f t="shared" ca="1" si="199"/>
        <v>259.96155124500001</v>
      </c>
      <c r="AH56" s="115">
        <f t="shared" ca="1" si="199"/>
        <v>259.96155124500001</v>
      </c>
      <c r="AI56" s="115">
        <f t="shared" ca="1" si="199"/>
        <v>259.96155124500001</v>
      </c>
      <c r="AJ56" s="115">
        <f t="shared" ca="1" si="199"/>
        <v>259.96155124500001</v>
      </c>
      <c r="AK56" s="115">
        <f t="shared" ca="1" si="199"/>
        <v>259.96155124500001</v>
      </c>
      <c r="AL56" s="115">
        <f t="shared" ca="1" si="199"/>
        <v>259.96155124500001</v>
      </c>
      <c r="AM56" s="115">
        <f t="shared" ca="1" si="199"/>
        <v>259.96155124500001</v>
      </c>
      <c r="AN56" s="115">
        <f t="shared" ca="1" si="199"/>
        <v>272.179744153515</v>
      </c>
      <c r="AO56" s="115">
        <f t="shared" ca="1" si="199"/>
        <v>272.179744153515</v>
      </c>
      <c r="AP56" s="115">
        <f t="shared" ca="1" si="199"/>
        <v>272.179744153515</v>
      </c>
      <c r="AQ56" s="115">
        <f t="shared" ca="1" si="199"/>
        <v>272.179744153515</v>
      </c>
      <c r="AR56" s="115">
        <f t="shared" ca="1" si="199"/>
        <v>272.179744153515</v>
      </c>
      <c r="AS56" s="115">
        <f t="shared" ca="1" si="199"/>
        <v>272.179744153515</v>
      </c>
      <c r="AT56" s="115">
        <f t="shared" ca="1" si="199"/>
        <v>272.179744153515</v>
      </c>
      <c r="AU56" s="115">
        <f t="shared" ca="1" si="199"/>
        <v>272.179744153515</v>
      </c>
      <c r="AV56" s="115">
        <f t="shared" ca="1" si="199"/>
        <v>272.179744153515</v>
      </c>
      <c r="AW56" s="115">
        <f t="shared" ref="AW56:CB56" ca="1" si="200">IF(AV87=0,0,1)*IF(AW11=1,$P$56,($P$56*(1+AW33)))</f>
        <v>272.179744153515</v>
      </c>
      <c r="AX56" s="115">
        <f t="shared" ca="1" si="200"/>
        <v>272.179744153515</v>
      </c>
      <c r="AY56" s="115">
        <f t="shared" ca="1" si="200"/>
        <v>272.179744153515</v>
      </c>
      <c r="AZ56" s="115">
        <f t="shared" ca="1" si="200"/>
        <v>281.16167571058099</v>
      </c>
      <c r="BA56" s="115">
        <f t="shared" ca="1" si="200"/>
        <v>281.16167571058099</v>
      </c>
      <c r="BB56" s="115">
        <f t="shared" ca="1" si="200"/>
        <v>281.16167571058099</v>
      </c>
      <c r="BC56" s="115">
        <f t="shared" ca="1" si="200"/>
        <v>281.16167571058099</v>
      </c>
      <c r="BD56" s="115">
        <f t="shared" ca="1" si="200"/>
        <v>281.16167571058099</v>
      </c>
      <c r="BE56" s="115">
        <f t="shared" ca="1" si="200"/>
        <v>281.16167571058099</v>
      </c>
      <c r="BF56" s="115">
        <f t="shared" ca="1" si="200"/>
        <v>281.16167571058099</v>
      </c>
      <c r="BG56" s="115">
        <f t="shared" ca="1" si="200"/>
        <v>281.16167571058099</v>
      </c>
      <c r="BH56" s="115">
        <f t="shared" ca="1" si="200"/>
        <v>281.16167571058099</v>
      </c>
      <c r="BI56" s="115">
        <f t="shared" ca="1" si="200"/>
        <v>281.16167571058099</v>
      </c>
      <c r="BJ56" s="115">
        <f t="shared" ca="1" si="200"/>
        <v>281.16167571058099</v>
      </c>
      <c r="BK56" s="115">
        <f t="shared" ca="1" si="200"/>
        <v>281.16167571058099</v>
      </c>
      <c r="BL56" s="115">
        <f t="shared" ca="1" si="200"/>
        <v>288.75304095476662</v>
      </c>
      <c r="BM56" s="115">
        <f t="shared" ca="1" si="200"/>
        <v>288.75304095476662</v>
      </c>
      <c r="BN56" s="115">
        <f t="shared" ca="1" si="200"/>
        <v>288.75304095476662</v>
      </c>
      <c r="BO56" s="115">
        <f t="shared" ca="1" si="200"/>
        <v>288.75304095476662</v>
      </c>
      <c r="BP56" s="115">
        <f t="shared" ca="1" si="200"/>
        <v>288.75304095476662</v>
      </c>
      <c r="BQ56" s="115">
        <f t="shared" ca="1" si="200"/>
        <v>288.75304095476662</v>
      </c>
      <c r="BR56" s="115">
        <f t="shared" ca="1" si="200"/>
        <v>288.75304095476662</v>
      </c>
      <c r="BS56" s="115">
        <f t="shared" ca="1" si="200"/>
        <v>288.75304095476662</v>
      </c>
      <c r="BT56" s="115">
        <f t="shared" ca="1" si="200"/>
        <v>288.75304095476662</v>
      </c>
      <c r="BU56" s="115">
        <f t="shared" ca="1" si="200"/>
        <v>288.75304095476662</v>
      </c>
      <c r="BV56" s="115">
        <f t="shared" ca="1" si="200"/>
        <v>288.75304095476662</v>
      </c>
      <c r="BW56" s="115">
        <f t="shared" ca="1" si="200"/>
        <v>288.75304095476662</v>
      </c>
      <c r="BX56" s="115">
        <f t="shared" ca="1" si="200"/>
        <v>297.41563218340963</v>
      </c>
      <c r="BY56" s="115">
        <f t="shared" ca="1" si="200"/>
        <v>297.41563218340963</v>
      </c>
      <c r="BZ56" s="115">
        <f t="shared" ca="1" si="200"/>
        <v>297.41563218340963</v>
      </c>
      <c r="CA56" s="115">
        <f t="shared" ca="1" si="200"/>
        <v>297.41563218340963</v>
      </c>
      <c r="CB56" s="115">
        <f t="shared" ca="1" si="200"/>
        <v>297.41563218340963</v>
      </c>
      <c r="CC56" s="115">
        <f t="shared" ref="CC56:DH56" ca="1" si="201">IF(CB87=0,0,1)*IF(CC11=1,$P$56,($P$56*(1+CC33)))</f>
        <v>297.41563218340963</v>
      </c>
      <c r="CD56" s="115">
        <f t="shared" ca="1" si="201"/>
        <v>297.41563218340963</v>
      </c>
      <c r="CE56" s="115">
        <f t="shared" ca="1" si="201"/>
        <v>297.41563218340963</v>
      </c>
      <c r="CF56" s="115">
        <f t="shared" ca="1" si="201"/>
        <v>297.41563218340963</v>
      </c>
      <c r="CG56" s="115">
        <f t="shared" ca="1" si="201"/>
        <v>297.41563218340963</v>
      </c>
      <c r="CH56" s="115">
        <f t="shared" ca="1" si="201"/>
        <v>297.41563218340963</v>
      </c>
      <c r="CI56" s="115">
        <f t="shared" ca="1" si="201"/>
        <v>297.41563218340963</v>
      </c>
      <c r="CJ56" s="115">
        <f t="shared" ca="1" si="201"/>
        <v>306.3381011489119</v>
      </c>
      <c r="CK56" s="115">
        <f t="shared" ca="1" si="201"/>
        <v>306.3381011489119</v>
      </c>
      <c r="CL56" s="115">
        <f t="shared" ca="1" si="201"/>
        <v>306.3381011489119</v>
      </c>
      <c r="CM56" s="115">
        <f t="shared" ca="1" si="201"/>
        <v>306.3381011489119</v>
      </c>
      <c r="CN56" s="115">
        <f t="shared" ca="1" si="201"/>
        <v>306.3381011489119</v>
      </c>
      <c r="CO56" s="115">
        <f t="shared" ca="1" si="201"/>
        <v>306.3381011489119</v>
      </c>
      <c r="CP56" s="115">
        <f t="shared" ca="1" si="201"/>
        <v>306.3381011489119</v>
      </c>
      <c r="CQ56" s="115">
        <f t="shared" ca="1" si="201"/>
        <v>306.3381011489119</v>
      </c>
      <c r="CR56" s="115">
        <f t="shared" ca="1" si="201"/>
        <v>306.3381011489119</v>
      </c>
      <c r="CS56" s="115">
        <f t="shared" ca="1" si="201"/>
        <v>306.3381011489119</v>
      </c>
      <c r="CT56" s="115">
        <f t="shared" ca="1" si="201"/>
        <v>306.3381011489119</v>
      </c>
      <c r="CU56" s="115">
        <f t="shared" ca="1" si="201"/>
        <v>306.3381011489119</v>
      </c>
      <c r="CV56" s="115">
        <f t="shared" ca="1" si="201"/>
        <v>315.52824418337929</v>
      </c>
      <c r="CW56" s="115">
        <f t="shared" ca="1" si="201"/>
        <v>315.52824418337929</v>
      </c>
      <c r="CX56" s="115">
        <f t="shared" ca="1" si="201"/>
        <v>315.52824418337929</v>
      </c>
      <c r="CY56" s="115">
        <f t="shared" ca="1" si="201"/>
        <v>315.52824418337929</v>
      </c>
      <c r="CZ56" s="115">
        <f t="shared" ca="1" si="201"/>
        <v>315.52824418337929</v>
      </c>
      <c r="DA56" s="115">
        <f t="shared" ca="1" si="201"/>
        <v>315.52824418337929</v>
      </c>
      <c r="DB56" s="115">
        <f t="shared" ca="1" si="201"/>
        <v>315.52824418337929</v>
      </c>
      <c r="DC56" s="115">
        <f t="shared" ca="1" si="201"/>
        <v>315.52824418337929</v>
      </c>
      <c r="DD56" s="115">
        <f t="shared" ca="1" si="201"/>
        <v>315.52824418337929</v>
      </c>
      <c r="DE56" s="115">
        <f t="shared" ca="1" si="201"/>
        <v>315.52824418337929</v>
      </c>
      <c r="DF56" s="115">
        <f t="shared" ca="1" si="201"/>
        <v>315.52824418337929</v>
      </c>
      <c r="DG56" s="115">
        <f t="shared" ca="1" si="201"/>
        <v>315.52824418337929</v>
      </c>
      <c r="DH56" s="115">
        <f t="shared" ca="1" si="201"/>
        <v>324.99409150888067</v>
      </c>
      <c r="DI56" s="115">
        <f t="shared" ref="DI56:EQ56" ca="1" si="202">IF(DH87=0,0,1)*IF(DI11=1,$P$56,($P$56*(1+DI33)))</f>
        <v>324.99409150888067</v>
      </c>
      <c r="DJ56" s="115">
        <f t="shared" si="202"/>
        <v>0</v>
      </c>
      <c r="DK56" s="115">
        <f t="shared" si="202"/>
        <v>0</v>
      </c>
      <c r="DL56" s="115">
        <f t="shared" si="202"/>
        <v>0</v>
      </c>
      <c r="DM56" s="115">
        <f t="shared" si="202"/>
        <v>0</v>
      </c>
      <c r="DN56" s="115">
        <f t="shared" si="202"/>
        <v>0</v>
      </c>
      <c r="DO56" s="115">
        <f t="shared" si="202"/>
        <v>0</v>
      </c>
      <c r="DP56" s="115">
        <f t="shared" si="202"/>
        <v>0</v>
      </c>
      <c r="DQ56" s="115">
        <f t="shared" si="202"/>
        <v>0</v>
      </c>
      <c r="DR56" s="115">
        <f t="shared" si="202"/>
        <v>0</v>
      </c>
      <c r="DS56" s="115">
        <f t="shared" si="202"/>
        <v>0</v>
      </c>
      <c r="DT56" s="115">
        <f t="shared" si="202"/>
        <v>0</v>
      </c>
      <c r="DU56" s="115">
        <f t="shared" si="202"/>
        <v>0</v>
      </c>
      <c r="DV56" s="115">
        <f t="shared" si="202"/>
        <v>0</v>
      </c>
      <c r="DW56" s="115">
        <f t="shared" si="202"/>
        <v>0</v>
      </c>
      <c r="DX56" s="115">
        <f t="shared" si="202"/>
        <v>0</v>
      </c>
      <c r="DY56" s="115">
        <f t="shared" si="202"/>
        <v>0</v>
      </c>
      <c r="DZ56" s="115">
        <f t="shared" si="202"/>
        <v>0</v>
      </c>
      <c r="EA56" s="115">
        <f t="shared" si="202"/>
        <v>0</v>
      </c>
      <c r="EB56" s="115">
        <f t="shared" si="202"/>
        <v>0</v>
      </c>
      <c r="EC56" s="115">
        <f t="shared" si="202"/>
        <v>0</v>
      </c>
      <c r="ED56" s="115">
        <f t="shared" si="202"/>
        <v>0</v>
      </c>
      <c r="EE56" s="115">
        <f t="shared" si="202"/>
        <v>0</v>
      </c>
      <c r="EF56" s="115">
        <f t="shared" si="202"/>
        <v>0</v>
      </c>
      <c r="EG56" s="115">
        <f t="shared" si="202"/>
        <v>0</v>
      </c>
      <c r="EH56" s="115">
        <f t="shared" si="202"/>
        <v>0</v>
      </c>
      <c r="EI56" s="115">
        <f t="shared" si="202"/>
        <v>0</v>
      </c>
      <c r="EJ56" s="115">
        <f t="shared" si="202"/>
        <v>0</v>
      </c>
      <c r="EK56" s="115">
        <f t="shared" si="202"/>
        <v>0</v>
      </c>
      <c r="EL56" s="115">
        <f t="shared" si="202"/>
        <v>0</v>
      </c>
      <c r="EM56" s="115">
        <f t="shared" si="202"/>
        <v>0</v>
      </c>
      <c r="EN56" s="115">
        <f t="shared" si="202"/>
        <v>0</v>
      </c>
      <c r="EO56" s="115">
        <f t="shared" si="202"/>
        <v>0</v>
      </c>
      <c r="EP56" s="115">
        <f t="shared" si="202"/>
        <v>0</v>
      </c>
      <c r="EQ56" s="115">
        <f t="shared" si="202"/>
        <v>0</v>
      </c>
      <c r="ES56" s="421"/>
      <c r="ET56" s="63"/>
      <c r="EU56" s="98"/>
    </row>
    <row r="57" spans="7:151" ht="15.75" hidden="1">
      <c r="G57" s="145"/>
      <c r="H57" s="499" t="s">
        <v>48</v>
      </c>
      <c r="I57" s="500"/>
      <c r="J57" s="501"/>
      <c r="K57" s="120"/>
      <c r="L57" s="121"/>
      <c r="M57" s="121"/>
      <c r="N57" s="222"/>
      <c r="O57" s="785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S57" s="421"/>
      <c r="ET57" s="63"/>
      <c r="EU57" s="98"/>
    </row>
    <row r="58" spans="7:151" ht="15.75">
      <c r="G58" s="145"/>
      <c r="H58" s="113" t="s">
        <v>129</v>
      </c>
      <c r="I58" s="495"/>
      <c r="J58" s="220"/>
      <c r="K58" s="118"/>
      <c r="L58" s="104"/>
      <c r="M58" s="104"/>
      <c r="N58" s="221">
        <f>'Annual Cash Flow'!C30</f>
        <v>0</v>
      </c>
      <c r="O58" s="785"/>
      <c r="P58" s="115">
        <f ca="1">P54*-HLOOKUP(P11,Assumptions!$D$72:$O$77,6,FALSE)</f>
        <v>0</v>
      </c>
      <c r="Q58" s="115">
        <f ca="1">Q54*-HLOOKUP(Q11,Assumptions!$D$72:$O$77,6,FALSE)</f>
        <v>0</v>
      </c>
      <c r="R58" s="115">
        <f ca="1">R54*-HLOOKUP(R11,Assumptions!$D$72:$O$77,6,FALSE)</f>
        <v>0</v>
      </c>
      <c r="S58" s="115">
        <f ca="1">S54*-HLOOKUP(S11,Assumptions!$D$72:$O$77,6,FALSE)</f>
        <v>0</v>
      </c>
      <c r="T58" s="115">
        <f ca="1">T54*-HLOOKUP(T11,Assumptions!$D$72:$O$77,6,FALSE)</f>
        <v>0</v>
      </c>
      <c r="U58" s="115">
        <f ca="1">U54*-HLOOKUP(U11,Assumptions!$D$72:$O$77,6,FALSE)</f>
        <v>0</v>
      </c>
      <c r="V58" s="115">
        <f ca="1">V54*-HLOOKUP(V11,Assumptions!$D$72:$O$77,6,FALSE)</f>
        <v>0</v>
      </c>
      <c r="W58" s="115">
        <f ca="1">W54*-HLOOKUP(W11,Assumptions!$D$72:$O$77,6,FALSE)</f>
        <v>0</v>
      </c>
      <c r="X58" s="115">
        <f ca="1">X54*-HLOOKUP(X11,Assumptions!$D$72:$O$77,6,FALSE)</f>
        <v>0</v>
      </c>
      <c r="Y58" s="115">
        <f ca="1">Y54*-HLOOKUP(Y11,Assumptions!$D$72:$O$77,6,FALSE)</f>
        <v>0</v>
      </c>
      <c r="Z58" s="115">
        <f ca="1">Z54*-HLOOKUP(Z11,Assumptions!$D$72:$O$77,6,FALSE)</f>
        <v>0</v>
      </c>
      <c r="AA58" s="115">
        <f ca="1">AA54*-HLOOKUP(AA11,Assumptions!$D$72:$O$77,6,FALSE)</f>
        <v>0</v>
      </c>
      <c r="AB58" s="115">
        <f ca="1">AB54*-HLOOKUP(AB11,Assumptions!$D$72:$O$77,6,FALSE)</f>
        <v>0</v>
      </c>
      <c r="AC58" s="115">
        <f ca="1">AC54*-HLOOKUP(AC11,Assumptions!$D$72:$O$77,6,FALSE)</f>
        <v>0</v>
      </c>
      <c r="AD58" s="115">
        <f ca="1">AD54*-HLOOKUP(AD11,Assumptions!$D$72:$O$77,6,FALSE)</f>
        <v>0</v>
      </c>
      <c r="AE58" s="115">
        <f ca="1">AE54*-HLOOKUP(AE11,Assumptions!$D$72:$O$77,6,FALSE)</f>
        <v>0</v>
      </c>
      <c r="AF58" s="115">
        <f ca="1">AF54*-HLOOKUP(AF11,Assumptions!$D$72:$O$77,6,FALSE)</f>
        <v>0</v>
      </c>
      <c r="AG58" s="115">
        <f ca="1">AG54*-HLOOKUP(AG11,Assumptions!$D$72:$O$77,6,FALSE)</f>
        <v>0</v>
      </c>
      <c r="AH58" s="115">
        <f ca="1">AH54*-HLOOKUP(AH11,Assumptions!$D$72:$O$77,6,FALSE)</f>
        <v>0</v>
      </c>
      <c r="AI58" s="115">
        <f ca="1">AI54*-HLOOKUP(AI11,Assumptions!$D$72:$O$77,6,FALSE)</f>
        <v>0</v>
      </c>
      <c r="AJ58" s="115">
        <f ca="1">AJ54*-HLOOKUP(AJ11,Assumptions!$D$72:$O$77,6,FALSE)</f>
        <v>0</v>
      </c>
      <c r="AK58" s="115">
        <f ca="1">AK54*-HLOOKUP(AK11,Assumptions!$D$72:$O$77,6,FALSE)</f>
        <v>0</v>
      </c>
      <c r="AL58" s="115">
        <f ca="1">AL54*-HLOOKUP(AL11,Assumptions!$D$72:$O$77,6,FALSE)</f>
        <v>0</v>
      </c>
      <c r="AM58" s="115">
        <f ca="1">AM54*-HLOOKUP(AM11,Assumptions!$D$72:$O$77,6,FALSE)</f>
        <v>0</v>
      </c>
      <c r="AN58" s="115">
        <f ca="1">AN54*-HLOOKUP(AN11,Assumptions!$D$72:$O$77,6,FALSE)</f>
        <v>0</v>
      </c>
      <c r="AO58" s="115">
        <f ca="1">AO54*-HLOOKUP(AO11,Assumptions!$D$72:$O$77,6,FALSE)</f>
        <v>0</v>
      </c>
      <c r="AP58" s="115">
        <f ca="1">AP54*-HLOOKUP(AP11,Assumptions!$D$72:$O$77,6,FALSE)</f>
        <v>0</v>
      </c>
      <c r="AQ58" s="115">
        <f ca="1">AQ54*-HLOOKUP(AQ11,Assumptions!$D$72:$O$77,6,FALSE)</f>
        <v>0</v>
      </c>
      <c r="AR58" s="115">
        <f ca="1">AR54*-HLOOKUP(AR11,Assumptions!$D$72:$O$77,6,FALSE)</f>
        <v>0</v>
      </c>
      <c r="AS58" s="115">
        <f ca="1">AS54*-HLOOKUP(AS11,Assumptions!$D$72:$O$77,6,FALSE)</f>
        <v>0</v>
      </c>
      <c r="AT58" s="115">
        <f ca="1">AT54*-HLOOKUP(AT11,Assumptions!$D$72:$O$77,6,FALSE)</f>
        <v>0</v>
      </c>
      <c r="AU58" s="115">
        <f ca="1">AU54*-HLOOKUP(AU11,Assumptions!$D$72:$O$77,6,FALSE)</f>
        <v>0</v>
      </c>
      <c r="AV58" s="115">
        <f ca="1">AV54*-HLOOKUP(AV11,Assumptions!$D$72:$O$77,6,FALSE)</f>
        <v>0</v>
      </c>
      <c r="AW58" s="115">
        <f ca="1">AW54*-HLOOKUP(AW11,Assumptions!$D$72:$O$77,6,FALSE)</f>
        <v>0</v>
      </c>
      <c r="AX58" s="115">
        <f ca="1">AX54*-HLOOKUP(AX11,Assumptions!$D$72:$O$77,6,FALSE)</f>
        <v>0</v>
      </c>
      <c r="AY58" s="115">
        <f ca="1">AY54*-HLOOKUP(AY11,Assumptions!$D$72:$O$77,6,FALSE)</f>
        <v>0</v>
      </c>
      <c r="AZ58" s="115">
        <f ca="1">AZ54*-HLOOKUP(AZ11,Assumptions!$D$72:$O$77,6,FALSE)</f>
        <v>0</v>
      </c>
      <c r="BA58" s="115">
        <f ca="1">BA54*-HLOOKUP(BA11,Assumptions!$D$72:$O$77,6,FALSE)</f>
        <v>0</v>
      </c>
      <c r="BB58" s="115">
        <f ca="1">BB54*-HLOOKUP(BB11,Assumptions!$D$72:$O$77,6,FALSE)</f>
        <v>0</v>
      </c>
      <c r="BC58" s="115">
        <f ca="1">BC54*-HLOOKUP(BC11,Assumptions!$D$72:$O$77,6,FALSE)</f>
        <v>0</v>
      </c>
      <c r="BD58" s="115">
        <f ca="1">BD54*-HLOOKUP(BD11,Assumptions!$D$72:$O$77,6,FALSE)</f>
        <v>0</v>
      </c>
      <c r="BE58" s="115">
        <f ca="1">BE54*-HLOOKUP(BE11,Assumptions!$D$72:$O$77,6,FALSE)</f>
        <v>0</v>
      </c>
      <c r="BF58" s="115">
        <f ca="1">BF54*-HLOOKUP(BF11,Assumptions!$D$72:$O$77,6,FALSE)</f>
        <v>0</v>
      </c>
      <c r="BG58" s="115">
        <f ca="1">BG54*-HLOOKUP(BG11,Assumptions!$D$72:$O$77,6,FALSE)</f>
        <v>0</v>
      </c>
      <c r="BH58" s="115">
        <f ca="1">BH54*-HLOOKUP(BH11,Assumptions!$D$72:$O$77,6,FALSE)</f>
        <v>0</v>
      </c>
      <c r="BI58" s="115">
        <f ca="1">BI54*-HLOOKUP(BI11,Assumptions!$D$72:$O$77,6,FALSE)</f>
        <v>0</v>
      </c>
      <c r="BJ58" s="115">
        <f ca="1">BJ54*-HLOOKUP(BJ11,Assumptions!$D$72:$O$77,6,FALSE)</f>
        <v>0</v>
      </c>
      <c r="BK58" s="115">
        <f ca="1">BK54*-HLOOKUP(BK11,Assumptions!$D$72:$O$77,6,FALSE)</f>
        <v>0</v>
      </c>
      <c r="BL58" s="115">
        <f ca="1">BL54*-HLOOKUP(BL11,Assumptions!$D$72:$O$77,6,FALSE)</f>
        <v>0</v>
      </c>
      <c r="BM58" s="115">
        <f ca="1">BM54*-HLOOKUP(BM11,Assumptions!$D$72:$O$77,6,FALSE)</f>
        <v>0</v>
      </c>
      <c r="BN58" s="115">
        <f ca="1">BN54*-HLOOKUP(BN11,Assumptions!$D$72:$O$77,6,FALSE)</f>
        <v>0</v>
      </c>
      <c r="BO58" s="115">
        <f ca="1">BO54*-HLOOKUP(BO11,Assumptions!$D$72:$O$77,6,FALSE)</f>
        <v>0</v>
      </c>
      <c r="BP58" s="115">
        <f ca="1">BP54*-HLOOKUP(BP11,Assumptions!$D$72:$O$77,6,FALSE)</f>
        <v>0</v>
      </c>
      <c r="BQ58" s="115">
        <f ca="1">BQ54*-HLOOKUP(BQ11,Assumptions!$D$72:$O$77,6,FALSE)</f>
        <v>0</v>
      </c>
      <c r="BR58" s="115">
        <f ca="1">BR54*-HLOOKUP(BR11,Assumptions!$D$72:$O$77,6,FALSE)</f>
        <v>0</v>
      </c>
      <c r="BS58" s="115">
        <f ca="1">BS54*-HLOOKUP(BS11,Assumptions!$D$72:$O$77,6,FALSE)</f>
        <v>0</v>
      </c>
      <c r="BT58" s="115">
        <f ca="1">BT54*-HLOOKUP(BT11,Assumptions!$D$72:$O$77,6,FALSE)</f>
        <v>0</v>
      </c>
      <c r="BU58" s="115">
        <f ca="1">BU54*-HLOOKUP(BU11,Assumptions!$D$72:$O$77,6,FALSE)</f>
        <v>0</v>
      </c>
      <c r="BV58" s="115">
        <f ca="1">BV54*-HLOOKUP(BV11,Assumptions!$D$72:$O$77,6,FALSE)</f>
        <v>0</v>
      </c>
      <c r="BW58" s="115">
        <f ca="1">BW54*-HLOOKUP(BW11,Assumptions!$D$72:$O$77,6,FALSE)</f>
        <v>0</v>
      </c>
      <c r="BX58" s="115">
        <f ca="1">BX54*-HLOOKUP(BX11,Assumptions!$D$72:$O$77,6,FALSE)</f>
        <v>0</v>
      </c>
      <c r="BY58" s="115">
        <f ca="1">BY54*-HLOOKUP(BY11,Assumptions!$D$72:$O$77,6,FALSE)</f>
        <v>0</v>
      </c>
      <c r="BZ58" s="115">
        <f ca="1">BZ54*-HLOOKUP(BZ11,Assumptions!$D$72:$O$77,6,FALSE)</f>
        <v>0</v>
      </c>
      <c r="CA58" s="115">
        <f ca="1">CA54*-HLOOKUP(CA11,Assumptions!$D$72:$O$77,6,FALSE)</f>
        <v>0</v>
      </c>
      <c r="CB58" s="115">
        <f ca="1">CB54*-HLOOKUP(CB11,Assumptions!$D$72:$O$77,6,FALSE)</f>
        <v>0</v>
      </c>
      <c r="CC58" s="115">
        <f ca="1">CC54*-HLOOKUP(CC11,Assumptions!$D$72:$O$77,6,FALSE)</f>
        <v>0</v>
      </c>
      <c r="CD58" s="115">
        <f ca="1">CD54*-HLOOKUP(CD11,Assumptions!$D$72:$O$77,6,FALSE)</f>
        <v>0</v>
      </c>
      <c r="CE58" s="115">
        <f ca="1">CE54*-HLOOKUP(CE11,Assumptions!$D$72:$O$77,6,FALSE)</f>
        <v>0</v>
      </c>
      <c r="CF58" s="115">
        <f ca="1">CF54*-HLOOKUP(CF11,Assumptions!$D$72:$O$77,6,FALSE)</f>
        <v>0</v>
      </c>
      <c r="CG58" s="115">
        <f ca="1">CG54*-HLOOKUP(CG11,Assumptions!$D$72:$O$77,6,FALSE)</f>
        <v>0</v>
      </c>
      <c r="CH58" s="115">
        <f ca="1">CH54*-HLOOKUP(CH11,Assumptions!$D$72:$O$77,6,FALSE)</f>
        <v>0</v>
      </c>
      <c r="CI58" s="115">
        <f ca="1">CI54*-HLOOKUP(CI11,Assumptions!$D$72:$O$77,6,FALSE)</f>
        <v>0</v>
      </c>
      <c r="CJ58" s="115">
        <f ca="1">CJ54*-HLOOKUP(CJ11,Assumptions!$D$72:$O$77,6,FALSE)</f>
        <v>0</v>
      </c>
      <c r="CK58" s="115">
        <f ca="1">CK54*-HLOOKUP(CK11,Assumptions!$D$72:$O$77,6,FALSE)</f>
        <v>0</v>
      </c>
      <c r="CL58" s="115">
        <f ca="1">CL54*-HLOOKUP(CL11,Assumptions!$D$72:$O$77,6,FALSE)</f>
        <v>0</v>
      </c>
      <c r="CM58" s="115">
        <f ca="1">CM54*-HLOOKUP(CM11,Assumptions!$D$72:$O$77,6,FALSE)</f>
        <v>0</v>
      </c>
      <c r="CN58" s="115">
        <f ca="1">CN54*-HLOOKUP(CN11,Assumptions!$D$72:$O$77,6,FALSE)</f>
        <v>0</v>
      </c>
      <c r="CO58" s="115">
        <f ca="1">CO54*-HLOOKUP(CO11,Assumptions!$D$72:$O$77,6,FALSE)</f>
        <v>0</v>
      </c>
      <c r="CP58" s="115">
        <f ca="1">CP54*-HLOOKUP(CP11,Assumptions!$D$72:$O$77,6,FALSE)</f>
        <v>0</v>
      </c>
      <c r="CQ58" s="115">
        <f ca="1">CQ54*-HLOOKUP(CQ11,Assumptions!$D$72:$O$77,6,FALSE)</f>
        <v>0</v>
      </c>
      <c r="CR58" s="115">
        <f ca="1">CR54*-HLOOKUP(CR11,Assumptions!$D$72:$O$77,6,FALSE)</f>
        <v>0</v>
      </c>
      <c r="CS58" s="115">
        <f ca="1">CS54*-HLOOKUP(CS11,Assumptions!$D$72:$O$77,6,FALSE)</f>
        <v>0</v>
      </c>
      <c r="CT58" s="115">
        <f ca="1">CT54*-HLOOKUP(CT11,Assumptions!$D$72:$O$77,6,FALSE)</f>
        <v>0</v>
      </c>
      <c r="CU58" s="115">
        <f ca="1">CU54*-HLOOKUP(CU11,Assumptions!$D$72:$O$77,6,FALSE)</f>
        <v>0</v>
      </c>
      <c r="CV58" s="115">
        <f ca="1">CV54*-HLOOKUP(CV11,Assumptions!$D$72:$O$77,6,FALSE)</f>
        <v>0</v>
      </c>
      <c r="CW58" s="115">
        <f ca="1">CW54*-HLOOKUP(CW11,Assumptions!$D$72:$O$77,6,FALSE)</f>
        <v>0</v>
      </c>
      <c r="CX58" s="115">
        <f ca="1">CX54*-HLOOKUP(CX11,Assumptions!$D$72:$O$77,6,FALSE)</f>
        <v>0</v>
      </c>
      <c r="CY58" s="115">
        <f ca="1">CY54*-HLOOKUP(CY11,Assumptions!$D$72:$O$77,6,FALSE)</f>
        <v>0</v>
      </c>
      <c r="CZ58" s="115">
        <f ca="1">CZ54*-HLOOKUP(CZ11,Assumptions!$D$72:$O$77,6,FALSE)</f>
        <v>0</v>
      </c>
      <c r="DA58" s="115">
        <f ca="1">DA54*-HLOOKUP(DA11,Assumptions!$D$72:$O$77,6,FALSE)</f>
        <v>0</v>
      </c>
      <c r="DB58" s="115">
        <f ca="1">DB54*-HLOOKUP(DB11,Assumptions!$D$72:$O$77,6,FALSE)</f>
        <v>0</v>
      </c>
      <c r="DC58" s="115">
        <f ca="1">DC54*-HLOOKUP(DC11,Assumptions!$D$72:$O$77,6,FALSE)</f>
        <v>0</v>
      </c>
      <c r="DD58" s="115">
        <f ca="1">DD54*-HLOOKUP(DD11,Assumptions!$D$72:$O$77,6,FALSE)</f>
        <v>0</v>
      </c>
      <c r="DE58" s="115">
        <f ca="1">DE54*-HLOOKUP(DE11,Assumptions!$D$72:$O$77,6,FALSE)</f>
        <v>0</v>
      </c>
      <c r="DF58" s="115">
        <f ca="1">DF54*-HLOOKUP(DF11,Assumptions!$D$72:$O$77,6,FALSE)</f>
        <v>0</v>
      </c>
      <c r="DG58" s="115">
        <f ca="1">DG54*-HLOOKUP(DG11,Assumptions!$D$72:$O$77,6,FALSE)</f>
        <v>0</v>
      </c>
      <c r="DH58" s="115">
        <f ca="1">DH54*-HLOOKUP(DH11,Assumptions!$D$72:$O$77,6,FALSE)</f>
        <v>0</v>
      </c>
      <c r="DI58" s="115">
        <f ca="1">DI54*-HLOOKUP(DI11,Assumptions!$D$72:$O$77,6,FALSE)</f>
        <v>0</v>
      </c>
      <c r="DJ58" s="115">
        <f ca="1">DJ54*-HLOOKUP(DJ11,Assumptions!$D$72:$O$77,6,FALSE)</f>
        <v>0</v>
      </c>
      <c r="DK58" s="115">
        <f ca="1">DK54*-HLOOKUP(DK11,Assumptions!$D$72:$O$77,6,FALSE)</f>
        <v>0</v>
      </c>
      <c r="DL58" s="115">
        <f ca="1">DL54*-HLOOKUP(DL11,Assumptions!$D$72:$O$77,6,FALSE)</f>
        <v>0</v>
      </c>
      <c r="DM58" s="115">
        <f ca="1">DM54*-HLOOKUP(DM11,Assumptions!$D$72:$O$77,6,FALSE)</f>
        <v>0</v>
      </c>
      <c r="DN58" s="115">
        <f ca="1">DN54*-HLOOKUP(DN11,Assumptions!$D$72:$O$77,6,FALSE)</f>
        <v>0</v>
      </c>
      <c r="DO58" s="115">
        <f ca="1">DO54*-HLOOKUP(DO11,Assumptions!$D$72:$O$77,6,FALSE)</f>
        <v>0</v>
      </c>
      <c r="DP58" s="115">
        <f ca="1">DP54*-HLOOKUP(DP11,Assumptions!$D$72:$O$77,6,FALSE)</f>
        <v>0</v>
      </c>
      <c r="DQ58" s="115">
        <f ca="1">DQ54*-HLOOKUP(DQ11,Assumptions!$D$72:$O$77,6,FALSE)</f>
        <v>0</v>
      </c>
      <c r="DR58" s="115">
        <f ca="1">DR54*-HLOOKUP(DR11,Assumptions!$D$72:$O$77,6,FALSE)</f>
        <v>0</v>
      </c>
      <c r="DS58" s="115">
        <f ca="1">DS54*-HLOOKUP(DS11,Assumptions!$D$72:$O$77,6,FALSE)</f>
        <v>0</v>
      </c>
      <c r="DT58" s="115">
        <f ca="1">DT54*-HLOOKUP(DT11,Assumptions!$D$72:$O$77,6,FALSE)</f>
        <v>0</v>
      </c>
      <c r="DU58" s="115">
        <f ca="1">DU54*-HLOOKUP(DU11,Assumptions!$D$72:$O$77,6,FALSE)</f>
        <v>0</v>
      </c>
      <c r="DV58" s="115">
        <f ca="1">DV54*-HLOOKUP(DV11,Assumptions!$D$72:$O$77,6,FALSE)</f>
        <v>0</v>
      </c>
      <c r="DW58" s="115">
        <f ca="1">DW54*-HLOOKUP(DW11,Assumptions!$D$72:$O$77,6,FALSE)</f>
        <v>0</v>
      </c>
      <c r="DX58" s="115">
        <f ca="1">DX54*-HLOOKUP(DX11,Assumptions!$D$72:$O$77,6,FALSE)</f>
        <v>0</v>
      </c>
      <c r="DY58" s="115">
        <f ca="1">DY54*-HLOOKUP(DY11,Assumptions!$D$72:$O$77,6,FALSE)</f>
        <v>0</v>
      </c>
      <c r="DZ58" s="115">
        <f ca="1">DZ54*-HLOOKUP(DZ11,Assumptions!$D$72:$O$77,6,FALSE)</f>
        <v>0</v>
      </c>
      <c r="EA58" s="115">
        <f ca="1">EA54*-HLOOKUP(EA11,Assumptions!$D$72:$O$77,6,FALSE)</f>
        <v>0</v>
      </c>
      <c r="EB58" s="115">
        <f ca="1">EB54*-HLOOKUP(EB11,Assumptions!$D$72:$O$77,6,FALSE)</f>
        <v>0</v>
      </c>
      <c r="EC58" s="115">
        <f ca="1">EC54*-HLOOKUP(EC11,Assumptions!$D$72:$O$77,6,FALSE)</f>
        <v>0</v>
      </c>
      <c r="ED58" s="115">
        <f ca="1">ED54*-HLOOKUP(ED11,Assumptions!$D$72:$O$77,6,FALSE)</f>
        <v>0</v>
      </c>
      <c r="EE58" s="115">
        <f ca="1">EE54*-HLOOKUP(EE11,Assumptions!$D$72:$O$77,6,FALSE)</f>
        <v>0</v>
      </c>
      <c r="EF58" s="115">
        <f ca="1">EF54*-HLOOKUP(EF11,Assumptions!$D$72:$O$77,6,FALSE)</f>
        <v>0</v>
      </c>
      <c r="EG58" s="115">
        <f ca="1">EG54*-HLOOKUP(EG11,Assumptions!$D$72:$O$77,6,FALSE)</f>
        <v>0</v>
      </c>
      <c r="EH58" s="115">
        <f ca="1">EH54*-HLOOKUP(EH11,Assumptions!$D$72:$O$77,6,FALSE)</f>
        <v>0</v>
      </c>
      <c r="EI58" s="115">
        <f ca="1">EI54*-HLOOKUP(EI11,Assumptions!$D$72:$O$77,6,FALSE)</f>
        <v>0</v>
      </c>
      <c r="EJ58" s="115">
        <f ca="1">EJ54*-HLOOKUP(EJ11,Assumptions!$D$72:$O$77,6,FALSE)</f>
        <v>0</v>
      </c>
      <c r="EK58" s="115">
        <f ca="1">EK54*-HLOOKUP(EK11,Assumptions!$D$72:$O$77,6,FALSE)</f>
        <v>0</v>
      </c>
      <c r="EL58" s="115">
        <f ca="1">EL54*-HLOOKUP(EL11,Assumptions!$D$72:$O$77,6,FALSE)</f>
        <v>0</v>
      </c>
      <c r="EM58" s="115">
        <f ca="1">EM54*-HLOOKUP(EM11,Assumptions!$D$72:$O$77,6,FALSE)</f>
        <v>0</v>
      </c>
      <c r="EN58" s="115">
        <f ca="1">EN54*-HLOOKUP(EN11,Assumptions!$D$72:$O$77,6,FALSE)</f>
        <v>0</v>
      </c>
      <c r="EO58" s="115">
        <f ca="1">EO54*-HLOOKUP(EO11,Assumptions!$D$72:$O$77,6,FALSE)</f>
        <v>0</v>
      </c>
      <c r="EP58" s="115">
        <f ca="1">EP54*-HLOOKUP(EP11,Assumptions!$D$72:$O$77,6,FALSE)</f>
        <v>0</v>
      </c>
      <c r="EQ58" s="115">
        <f ca="1">EQ54*-HLOOKUP(EQ11,Assumptions!$D$72:$O$77,6,FALSE)</f>
        <v>0</v>
      </c>
      <c r="ES58" s="421"/>
      <c r="ET58" s="63"/>
      <c r="EU58" s="98"/>
    </row>
    <row r="59" spans="7:151" ht="15.75">
      <c r="G59" s="145"/>
      <c r="H59" s="113" t="s">
        <v>127</v>
      </c>
      <c r="I59" s="495"/>
      <c r="J59" s="217"/>
      <c r="K59" s="107"/>
      <c r="L59" s="106"/>
      <c r="M59" s="106"/>
      <c r="N59" s="217">
        <f>'Annual Cash Flow'!C34</f>
        <v>0</v>
      </c>
      <c r="O59" s="786"/>
      <c r="P59" s="114">
        <f>Assumptions!H46/12</f>
        <v>0</v>
      </c>
      <c r="Q59" s="124">
        <f t="shared" ref="Q59:AV59" ca="1" si="203">IF(P87=0,0,1)*IF(Q11=1,$P$59,($P$59*(1+Q33)))</f>
        <v>0</v>
      </c>
      <c r="R59" s="124">
        <f t="shared" ca="1" si="203"/>
        <v>0</v>
      </c>
      <c r="S59" s="124">
        <f t="shared" ca="1" si="203"/>
        <v>0</v>
      </c>
      <c r="T59" s="124">
        <f t="shared" ca="1" si="203"/>
        <v>0</v>
      </c>
      <c r="U59" s="124">
        <f t="shared" ca="1" si="203"/>
        <v>0</v>
      </c>
      <c r="V59" s="124">
        <f t="shared" ca="1" si="203"/>
        <v>0</v>
      </c>
      <c r="W59" s="124">
        <f t="shared" ca="1" si="203"/>
        <v>0</v>
      </c>
      <c r="X59" s="124">
        <f t="shared" ca="1" si="203"/>
        <v>0</v>
      </c>
      <c r="Y59" s="124">
        <f t="shared" ca="1" si="203"/>
        <v>0</v>
      </c>
      <c r="Z59" s="124">
        <f t="shared" ca="1" si="203"/>
        <v>0</v>
      </c>
      <c r="AA59" s="124">
        <f t="shared" ca="1" si="203"/>
        <v>0</v>
      </c>
      <c r="AB59" s="124">
        <f t="shared" ca="1" si="203"/>
        <v>0</v>
      </c>
      <c r="AC59" s="124">
        <f t="shared" ca="1" si="203"/>
        <v>0</v>
      </c>
      <c r="AD59" s="124">
        <f t="shared" ca="1" si="203"/>
        <v>0</v>
      </c>
      <c r="AE59" s="124">
        <f t="shared" ca="1" si="203"/>
        <v>0</v>
      </c>
      <c r="AF59" s="124">
        <f t="shared" ca="1" si="203"/>
        <v>0</v>
      </c>
      <c r="AG59" s="124">
        <f t="shared" ca="1" si="203"/>
        <v>0</v>
      </c>
      <c r="AH59" s="124">
        <f t="shared" ca="1" si="203"/>
        <v>0</v>
      </c>
      <c r="AI59" s="124">
        <f t="shared" ca="1" si="203"/>
        <v>0</v>
      </c>
      <c r="AJ59" s="124">
        <f t="shared" ca="1" si="203"/>
        <v>0</v>
      </c>
      <c r="AK59" s="124">
        <f t="shared" ca="1" si="203"/>
        <v>0</v>
      </c>
      <c r="AL59" s="124">
        <f t="shared" ca="1" si="203"/>
        <v>0</v>
      </c>
      <c r="AM59" s="124">
        <f t="shared" ca="1" si="203"/>
        <v>0</v>
      </c>
      <c r="AN59" s="124">
        <f t="shared" ca="1" si="203"/>
        <v>0</v>
      </c>
      <c r="AO59" s="124">
        <f t="shared" ca="1" si="203"/>
        <v>0</v>
      </c>
      <c r="AP59" s="124">
        <f t="shared" ca="1" si="203"/>
        <v>0</v>
      </c>
      <c r="AQ59" s="124">
        <f t="shared" ca="1" si="203"/>
        <v>0</v>
      </c>
      <c r="AR59" s="124">
        <f t="shared" ca="1" si="203"/>
        <v>0</v>
      </c>
      <c r="AS59" s="124">
        <f t="shared" ca="1" si="203"/>
        <v>0</v>
      </c>
      <c r="AT59" s="124">
        <f t="shared" ca="1" si="203"/>
        <v>0</v>
      </c>
      <c r="AU59" s="124">
        <f t="shared" ca="1" si="203"/>
        <v>0</v>
      </c>
      <c r="AV59" s="124">
        <f t="shared" ca="1" si="203"/>
        <v>0</v>
      </c>
      <c r="AW59" s="124">
        <f t="shared" ref="AW59:CB59" ca="1" si="204">IF(AV87=0,0,1)*IF(AW11=1,$P$59,($P$59*(1+AW33)))</f>
        <v>0</v>
      </c>
      <c r="AX59" s="124">
        <f t="shared" ca="1" si="204"/>
        <v>0</v>
      </c>
      <c r="AY59" s="124">
        <f t="shared" ca="1" si="204"/>
        <v>0</v>
      </c>
      <c r="AZ59" s="124">
        <f t="shared" ca="1" si="204"/>
        <v>0</v>
      </c>
      <c r="BA59" s="124">
        <f t="shared" ca="1" si="204"/>
        <v>0</v>
      </c>
      <c r="BB59" s="124">
        <f t="shared" ca="1" si="204"/>
        <v>0</v>
      </c>
      <c r="BC59" s="124">
        <f t="shared" ca="1" si="204"/>
        <v>0</v>
      </c>
      <c r="BD59" s="124">
        <f t="shared" ca="1" si="204"/>
        <v>0</v>
      </c>
      <c r="BE59" s="124">
        <f t="shared" ca="1" si="204"/>
        <v>0</v>
      </c>
      <c r="BF59" s="124">
        <f t="shared" ca="1" si="204"/>
        <v>0</v>
      </c>
      <c r="BG59" s="124">
        <f t="shared" ca="1" si="204"/>
        <v>0</v>
      </c>
      <c r="BH59" s="124">
        <f t="shared" ca="1" si="204"/>
        <v>0</v>
      </c>
      <c r="BI59" s="124">
        <f t="shared" ca="1" si="204"/>
        <v>0</v>
      </c>
      <c r="BJ59" s="124">
        <f t="shared" ca="1" si="204"/>
        <v>0</v>
      </c>
      <c r="BK59" s="124">
        <f t="shared" ca="1" si="204"/>
        <v>0</v>
      </c>
      <c r="BL59" s="124">
        <f t="shared" ca="1" si="204"/>
        <v>0</v>
      </c>
      <c r="BM59" s="124">
        <f t="shared" ca="1" si="204"/>
        <v>0</v>
      </c>
      <c r="BN59" s="124">
        <f t="shared" ca="1" si="204"/>
        <v>0</v>
      </c>
      <c r="BO59" s="124">
        <f t="shared" ca="1" si="204"/>
        <v>0</v>
      </c>
      <c r="BP59" s="124">
        <f t="shared" ca="1" si="204"/>
        <v>0</v>
      </c>
      <c r="BQ59" s="124">
        <f t="shared" ca="1" si="204"/>
        <v>0</v>
      </c>
      <c r="BR59" s="124">
        <f t="shared" ca="1" si="204"/>
        <v>0</v>
      </c>
      <c r="BS59" s="124">
        <f t="shared" ca="1" si="204"/>
        <v>0</v>
      </c>
      <c r="BT59" s="124">
        <f t="shared" ca="1" si="204"/>
        <v>0</v>
      </c>
      <c r="BU59" s="124">
        <f t="shared" ca="1" si="204"/>
        <v>0</v>
      </c>
      <c r="BV59" s="124">
        <f t="shared" ca="1" si="204"/>
        <v>0</v>
      </c>
      <c r="BW59" s="124">
        <f t="shared" ca="1" si="204"/>
        <v>0</v>
      </c>
      <c r="BX59" s="124">
        <f t="shared" ca="1" si="204"/>
        <v>0</v>
      </c>
      <c r="BY59" s="124">
        <f t="shared" ca="1" si="204"/>
        <v>0</v>
      </c>
      <c r="BZ59" s="124">
        <f t="shared" ca="1" si="204"/>
        <v>0</v>
      </c>
      <c r="CA59" s="124">
        <f t="shared" ca="1" si="204"/>
        <v>0</v>
      </c>
      <c r="CB59" s="124">
        <f t="shared" ca="1" si="204"/>
        <v>0</v>
      </c>
      <c r="CC59" s="124">
        <f t="shared" ref="CC59:DH59" ca="1" si="205">IF(CB87=0,0,1)*IF(CC11=1,$P$59,($P$59*(1+CC33)))</f>
        <v>0</v>
      </c>
      <c r="CD59" s="124">
        <f t="shared" ca="1" si="205"/>
        <v>0</v>
      </c>
      <c r="CE59" s="124">
        <f t="shared" ca="1" si="205"/>
        <v>0</v>
      </c>
      <c r="CF59" s="124">
        <f t="shared" ca="1" si="205"/>
        <v>0</v>
      </c>
      <c r="CG59" s="124">
        <f t="shared" ca="1" si="205"/>
        <v>0</v>
      </c>
      <c r="CH59" s="124">
        <f t="shared" ca="1" si="205"/>
        <v>0</v>
      </c>
      <c r="CI59" s="124">
        <f t="shared" ca="1" si="205"/>
        <v>0</v>
      </c>
      <c r="CJ59" s="124">
        <f t="shared" ca="1" si="205"/>
        <v>0</v>
      </c>
      <c r="CK59" s="124">
        <f t="shared" ca="1" si="205"/>
        <v>0</v>
      </c>
      <c r="CL59" s="124">
        <f t="shared" ca="1" si="205"/>
        <v>0</v>
      </c>
      <c r="CM59" s="124">
        <f t="shared" ca="1" si="205"/>
        <v>0</v>
      </c>
      <c r="CN59" s="124">
        <f t="shared" ca="1" si="205"/>
        <v>0</v>
      </c>
      <c r="CO59" s="124">
        <f t="shared" ca="1" si="205"/>
        <v>0</v>
      </c>
      <c r="CP59" s="124">
        <f t="shared" ca="1" si="205"/>
        <v>0</v>
      </c>
      <c r="CQ59" s="124">
        <f t="shared" ca="1" si="205"/>
        <v>0</v>
      </c>
      <c r="CR59" s="124">
        <f t="shared" ca="1" si="205"/>
        <v>0</v>
      </c>
      <c r="CS59" s="124">
        <f t="shared" ca="1" si="205"/>
        <v>0</v>
      </c>
      <c r="CT59" s="124">
        <f t="shared" ca="1" si="205"/>
        <v>0</v>
      </c>
      <c r="CU59" s="124">
        <f t="shared" ca="1" si="205"/>
        <v>0</v>
      </c>
      <c r="CV59" s="124">
        <f t="shared" ca="1" si="205"/>
        <v>0</v>
      </c>
      <c r="CW59" s="124">
        <f t="shared" ca="1" si="205"/>
        <v>0</v>
      </c>
      <c r="CX59" s="124">
        <f t="shared" ca="1" si="205"/>
        <v>0</v>
      </c>
      <c r="CY59" s="124">
        <f t="shared" ca="1" si="205"/>
        <v>0</v>
      </c>
      <c r="CZ59" s="124">
        <f t="shared" ca="1" si="205"/>
        <v>0</v>
      </c>
      <c r="DA59" s="124">
        <f t="shared" ca="1" si="205"/>
        <v>0</v>
      </c>
      <c r="DB59" s="124">
        <f t="shared" ca="1" si="205"/>
        <v>0</v>
      </c>
      <c r="DC59" s="124">
        <f t="shared" ca="1" si="205"/>
        <v>0</v>
      </c>
      <c r="DD59" s="124">
        <f t="shared" ca="1" si="205"/>
        <v>0</v>
      </c>
      <c r="DE59" s="124">
        <f t="shared" ca="1" si="205"/>
        <v>0</v>
      </c>
      <c r="DF59" s="124">
        <f t="shared" ca="1" si="205"/>
        <v>0</v>
      </c>
      <c r="DG59" s="124">
        <f t="shared" ca="1" si="205"/>
        <v>0</v>
      </c>
      <c r="DH59" s="124">
        <f t="shared" ca="1" si="205"/>
        <v>0</v>
      </c>
      <c r="DI59" s="124">
        <f t="shared" ref="DI59:EQ59" ca="1" si="206">IF(DH87=0,0,1)*IF(DI11=1,$P$59,($P$59*(1+DI33)))</f>
        <v>0</v>
      </c>
      <c r="DJ59" s="124">
        <f t="shared" si="206"/>
        <v>0</v>
      </c>
      <c r="DK59" s="124">
        <f t="shared" si="206"/>
        <v>0</v>
      </c>
      <c r="DL59" s="124">
        <f t="shared" si="206"/>
        <v>0</v>
      </c>
      <c r="DM59" s="124">
        <f t="shared" si="206"/>
        <v>0</v>
      </c>
      <c r="DN59" s="124">
        <f t="shared" si="206"/>
        <v>0</v>
      </c>
      <c r="DO59" s="124">
        <f t="shared" si="206"/>
        <v>0</v>
      </c>
      <c r="DP59" s="124">
        <f t="shared" si="206"/>
        <v>0</v>
      </c>
      <c r="DQ59" s="124">
        <f t="shared" si="206"/>
        <v>0</v>
      </c>
      <c r="DR59" s="124">
        <f t="shared" si="206"/>
        <v>0</v>
      </c>
      <c r="DS59" s="124">
        <f t="shared" si="206"/>
        <v>0</v>
      </c>
      <c r="DT59" s="124">
        <f t="shared" si="206"/>
        <v>0</v>
      </c>
      <c r="DU59" s="124">
        <f t="shared" si="206"/>
        <v>0</v>
      </c>
      <c r="DV59" s="124">
        <f t="shared" si="206"/>
        <v>0</v>
      </c>
      <c r="DW59" s="124">
        <f t="shared" si="206"/>
        <v>0</v>
      </c>
      <c r="DX59" s="124">
        <f t="shared" si="206"/>
        <v>0</v>
      </c>
      <c r="DY59" s="124">
        <f t="shared" si="206"/>
        <v>0</v>
      </c>
      <c r="DZ59" s="124">
        <f t="shared" si="206"/>
        <v>0</v>
      </c>
      <c r="EA59" s="124">
        <f t="shared" si="206"/>
        <v>0</v>
      </c>
      <c r="EB59" s="124">
        <f t="shared" si="206"/>
        <v>0</v>
      </c>
      <c r="EC59" s="124">
        <f t="shared" si="206"/>
        <v>0</v>
      </c>
      <c r="ED59" s="124">
        <f t="shared" si="206"/>
        <v>0</v>
      </c>
      <c r="EE59" s="124">
        <f t="shared" si="206"/>
        <v>0</v>
      </c>
      <c r="EF59" s="124">
        <f t="shared" si="206"/>
        <v>0</v>
      </c>
      <c r="EG59" s="124">
        <f t="shared" si="206"/>
        <v>0</v>
      </c>
      <c r="EH59" s="124">
        <f t="shared" si="206"/>
        <v>0</v>
      </c>
      <c r="EI59" s="124">
        <f t="shared" si="206"/>
        <v>0</v>
      </c>
      <c r="EJ59" s="124">
        <f t="shared" si="206"/>
        <v>0</v>
      </c>
      <c r="EK59" s="124">
        <f t="shared" si="206"/>
        <v>0</v>
      </c>
      <c r="EL59" s="124">
        <f t="shared" si="206"/>
        <v>0</v>
      </c>
      <c r="EM59" s="124">
        <f t="shared" si="206"/>
        <v>0</v>
      </c>
      <c r="EN59" s="124">
        <f t="shared" si="206"/>
        <v>0</v>
      </c>
      <c r="EO59" s="124">
        <f t="shared" si="206"/>
        <v>0</v>
      </c>
      <c r="EP59" s="124">
        <f t="shared" si="206"/>
        <v>0</v>
      </c>
      <c r="EQ59" s="124">
        <f t="shared" si="206"/>
        <v>0</v>
      </c>
      <c r="ES59" s="421"/>
      <c r="ET59" s="63"/>
      <c r="EU59" s="98"/>
    </row>
    <row r="60" spans="7:151" ht="15.75">
      <c r="G60" s="485" t="s">
        <v>15</v>
      </c>
      <c r="H60" s="145"/>
      <c r="I60" s="108"/>
      <c r="J60" s="217"/>
      <c r="K60" s="107"/>
      <c r="L60" s="106"/>
      <c r="M60" s="106"/>
      <c r="N60" s="217">
        <f t="shared" ref="N60:W60" si="207">SUM(N54:N59)</f>
        <v>275664</v>
      </c>
      <c r="O60" s="781"/>
      <c r="P60" s="106">
        <f t="shared" ca="1" si="207"/>
        <v>23496.127499999999</v>
      </c>
      <c r="Q60" s="106">
        <f t="shared" ca="1" si="207"/>
        <v>22720.927500000002</v>
      </c>
      <c r="R60" s="106">
        <f t="shared" ca="1" si="207"/>
        <v>19620.127500000002</v>
      </c>
      <c r="S60" s="110">
        <f t="shared" ca="1" si="207"/>
        <v>15744.127500000004</v>
      </c>
      <c r="T60" s="106">
        <f t="shared" ca="1" si="207"/>
        <v>16615.327500000003</v>
      </c>
      <c r="U60" s="106">
        <f t="shared" ca="1" si="207"/>
        <v>20100.127500000002</v>
      </c>
      <c r="V60" s="106">
        <f t="shared" ca="1" si="207"/>
        <v>24456.127500000002</v>
      </c>
      <c r="W60" s="106">
        <f t="shared" ca="1" si="207"/>
        <v>24456.127500000002</v>
      </c>
      <c r="X60" s="106">
        <f ca="1">SUM(X54:X59)</f>
        <v>24456.127500000002</v>
      </c>
      <c r="Y60" s="106">
        <f ca="1">SUM(Y54:Y59)</f>
        <v>24456.127500000002</v>
      </c>
      <c r="Z60" s="106">
        <f t="shared" ref="Z60:CK60" ca="1" si="208">SUM(Z54:Z59)</f>
        <v>24456.127500000002</v>
      </c>
      <c r="AA60" s="106">
        <f t="shared" ca="1" si="208"/>
        <v>24456.127500000002</v>
      </c>
      <c r="AB60" s="106">
        <f t="shared" ca="1" si="208"/>
        <v>21590.115631245</v>
      </c>
      <c r="AC60" s="106">
        <f t="shared" ca="1" si="208"/>
        <v>17531.943631245002</v>
      </c>
      <c r="AD60" s="106">
        <f t="shared" ca="1" si="208"/>
        <v>17531.943631245002</v>
      </c>
      <c r="AE60" s="106">
        <f t="shared" ca="1" si="208"/>
        <v>18051.590671245001</v>
      </c>
      <c r="AF60" s="106">
        <f t="shared" ca="1" si="208"/>
        <v>22629.409711245</v>
      </c>
      <c r="AG60" s="106">
        <f t="shared" ca="1" si="208"/>
        <v>22629.409711245</v>
      </c>
      <c r="AH60" s="106">
        <f t="shared" ca="1" si="208"/>
        <v>27207.228751244998</v>
      </c>
      <c r="AI60" s="106">
        <f t="shared" ca="1" si="208"/>
        <v>27207.228751244998</v>
      </c>
      <c r="AJ60" s="106">
        <f t="shared" ca="1" si="208"/>
        <v>27207.228751244998</v>
      </c>
      <c r="AK60" s="106">
        <f t="shared" ca="1" si="208"/>
        <v>27207.228751244998</v>
      </c>
      <c r="AL60" s="106">
        <f t="shared" ca="1" si="208"/>
        <v>27207.228751244998</v>
      </c>
      <c r="AM60" s="106">
        <f t="shared" ca="1" si="208"/>
        <v>27207.228751244998</v>
      </c>
      <c r="AN60" s="106">
        <f t="shared" ca="1" si="208"/>
        <v>28485.968502553518</v>
      </c>
      <c r="AO60" s="106">
        <f t="shared" ca="1" si="208"/>
        <v>28485.968502553518</v>
      </c>
      <c r="AP60" s="106">
        <f t="shared" ca="1" si="208"/>
        <v>28485.968502553518</v>
      </c>
      <c r="AQ60" s="106">
        <f t="shared" ca="1" si="208"/>
        <v>25086.843635353518</v>
      </c>
      <c r="AR60" s="106">
        <f t="shared" ca="1" si="208"/>
        <v>25086.843635353518</v>
      </c>
      <c r="AS60" s="106">
        <f t="shared" ca="1" si="208"/>
        <v>24237.06241855352</v>
      </c>
      <c r="AT60" s="106">
        <f t="shared" ca="1" si="208"/>
        <v>28071.443646457516</v>
      </c>
      <c r="AU60" s="106">
        <f t="shared" ca="1" si="208"/>
        <v>28071.443646457516</v>
      </c>
      <c r="AV60" s="106">
        <f t="shared" ca="1" si="208"/>
        <v>29030.038953433519</v>
      </c>
      <c r="AW60" s="106">
        <f t="shared" ca="1" si="208"/>
        <v>29030.038953433519</v>
      </c>
      <c r="AX60" s="106">
        <f t="shared" ca="1" si="208"/>
        <v>29030.038953433519</v>
      </c>
      <c r="AY60" s="106">
        <f t="shared" ca="1" si="208"/>
        <v>29030.038953433519</v>
      </c>
      <c r="AZ60" s="106">
        <f t="shared" ca="1" si="208"/>
        <v>29988.030238896816</v>
      </c>
      <c r="BA60" s="106">
        <f t="shared" ca="1" si="208"/>
        <v>29988.030238896816</v>
      </c>
      <c r="BB60" s="106">
        <f t="shared" ca="1" si="208"/>
        <v>29988.030238896816</v>
      </c>
      <c r="BC60" s="106">
        <f t="shared" ca="1" si="208"/>
        <v>29988.030238896816</v>
      </c>
      <c r="BD60" s="106">
        <f t="shared" ca="1" si="208"/>
        <v>29988.030238896816</v>
      </c>
      <c r="BE60" s="106">
        <f t="shared" ca="1" si="208"/>
        <v>29988.030238896816</v>
      </c>
      <c r="BF60" s="106">
        <f t="shared" ca="1" si="208"/>
        <v>29988.030238896816</v>
      </c>
      <c r="BG60" s="106">
        <f t="shared" ca="1" si="208"/>
        <v>29988.030238896816</v>
      </c>
      <c r="BH60" s="106">
        <f t="shared" ca="1" si="208"/>
        <v>29988.030238896816</v>
      </c>
      <c r="BI60" s="106">
        <f t="shared" ca="1" si="208"/>
        <v>29988.030238896816</v>
      </c>
      <c r="BJ60" s="106">
        <f t="shared" ca="1" si="208"/>
        <v>29988.030238896816</v>
      </c>
      <c r="BK60" s="106">
        <f t="shared" ca="1" si="208"/>
        <v>29988.030238896816</v>
      </c>
      <c r="BL60" s="106">
        <f t="shared" ca="1" si="208"/>
        <v>30797.707055347026</v>
      </c>
      <c r="BM60" s="106">
        <f t="shared" ca="1" si="208"/>
        <v>30797.707055347026</v>
      </c>
      <c r="BN60" s="106">
        <f t="shared" ca="1" si="208"/>
        <v>30797.707055347026</v>
      </c>
      <c r="BO60" s="106">
        <f t="shared" ca="1" si="208"/>
        <v>30797.707055347026</v>
      </c>
      <c r="BP60" s="106">
        <f t="shared" ca="1" si="208"/>
        <v>30797.707055347026</v>
      </c>
      <c r="BQ60" s="106">
        <f t="shared" ca="1" si="208"/>
        <v>30797.707055347026</v>
      </c>
      <c r="BR60" s="106">
        <f t="shared" ca="1" si="208"/>
        <v>30797.707055347026</v>
      </c>
      <c r="BS60" s="106">
        <f t="shared" ca="1" si="208"/>
        <v>30797.707055347026</v>
      </c>
      <c r="BT60" s="106">
        <f t="shared" ca="1" si="208"/>
        <v>30797.707055347026</v>
      </c>
      <c r="BU60" s="106">
        <f t="shared" ca="1" si="208"/>
        <v>30797.707055347026</v>
      </c>
      <c r="BV60" s="106">
        <f t="shared" ca="1" si="208"/>
        <v>30797.707055347026</v>
      </c>
      <c r="BW60" s="106">
        <f t="shared" ca="1" si="208"/>
        <v>30797.707055347026</v>
      </c>
      <c r="BX60" s="106">
        <f t="shared" ca="1" si="208"/>
        <v>31721.638267007438</v>
      </c>
      <c r="BY60" s="106">
        <f t="shared" ca="1" si="208"/>
        <v>31721.638267007438</v>
      </c>
      <c r="BZ60" s="106">
        <f t="shared" ca="1" si="208"/>
        <v>31721.638267007438</v>
      </c>
      <c r="CA60" s="106">
        <f t="shared" ca="1" si="208"/>
        <v>31721.638267007438</v>
      </c>
      <c r="CB60" s="106">
        <f t="shared" ca="1" si="208"/>
        <v>31721.638267007438</v>
      </c>
      <c r="CC60" s="106">
        <f t="shared" ca="1" si="208"/>
        <v>31721.638267007438</v>
      </c>
      <c r="CD60" s="106">
        <f t="shared" ca="1" si="208"/>
        <v>31721.638267007438</v>
      </c>
      <c r="CE60" s="106">
        <f t="shared" ca="1" si="208"/>
        <v>31721.638267007438</v>
      </c>
      <c r="CF60" s="106">
        <f t="shared" ca="1" si="208"/>
        <v>31721.638267007438</v>
      </c>
      <c r="CG60" s="106">
        <f t="shared" ca="1" si="208"/>
        <v>31721.638267007438</v>
      </c>
      <c r="CH60" s="106">
        <f t="shared" ca="1" si="208"/>
        <v>31721.638267007438</v>
      </c>
      <c r="CI60" s="106">
        <f t="shared" ca="1" si="208"/>
        <v>31721.638267007438</v>
      </c>
      <c r="CJ60" s="106">
        <f t="shared" ca="1" si="208"/>
        <v>32673.287415017665</v>
      </c>
      <c r="CK60" s="106">
        <f t="shared" ca="1" si="208"/>
        <v>32673.287415017665</v>
      </c>
      <c r="CL60" s="106">
        <f t="shared" ref="CL60:EQ60" ca="1" si="209">SUM(CL54:CL59)</f>
        <v>32673.287415017665</v>
      </c>
      <c r="CM60" s="106">
        <f t="shared" ca="1" si="209"/>
        <v>32673.287415017665</v>
      </c>
      <c r="CN60" s="106">
        <f t="shared" ca="1" si="209"/>
        <v>32673.287415017665</v>
      </c>
      <c r="CO60" s="106">
        <f t="shared" ca="1" si="209"/>
        <v>32673.287415017665</v>
      </c>
      <c r="CP60" s="106">
        <f t="shared" ca="1" si="209"/>
        <v>32673.287415017665</v>
      </c>
      <c r="CQ60" s="106">
        <f t="shared" ca="1" si="209"/>
        <v>32673.287415017665</v>
      </c>
      <c r="CR60" s="106">
        <f t="shared" ca="1" si="209"/>
        <v>32673.287415017665</v>
      </c>
      <c r="CS60" s="106">
        <f t="shared" ca="1" si="209"/>
        <v>32673.287415017665</v>
      </c>
      <c r="CT60" s="106">
        <f t="shared" ca="1" si="209"/>
        <v>32673.287415017665</v>
      </c>
      <c r="CU60" s="106">
        <f t="shared" ca="1" si="209"/>
        <v>32673.287415017665</v>
      </c>
      <c r="CV60" s="106">
        <f t="shared" ca="1" si="209"/>
        <v>33653.486037468196</v>
      </c>
      <c r="CW60" s="106">
        <f t="shared" ca="1" si="209"/>
        <v>33653.486037468196</v>
      </c>
      <c r="CX60" s="106">
        <f t="shared" ca="1" si="209"/>
        <v>33653.486037468196</v>
      </c>
      <c r="CY60" s="106">
        <f t="shared" ca="1" si="209"/>
        <v>33653.486037468196</v>
      </c>
      <c r="CZ60" s="106">
        <f t="shared" ca="1" si="209"/>
        <v>33653.486037468196</v>
      </c>
      <c r="DA60" s="106">
        <f t="shared" ca="1" si="209"/>
        <v>33653.486037468196</v>
      </c>
      <c r="DB60" s="106">
        <f t="shared" ca="1" si="209"/>
        <v>33653.486037468196</v>
      </c>
      <c r="DC60" s="106">
        <f t="shared" ca="1" si="209"/>
        <v>33653.486037468196</v>
      </c>
      <c r="DD60" s="106">
        <f t="shared" ca="1" si="209"/>
        <v>33653.486037468196</v>
      </c>
      <c r="DE60" s="106">
        <f t="shared" ca="1" si="209"/>
        <v>33653.486037468196</v>
      </c>
      <c r="DF60" s="106">
        <f t="shared" ca="1" si="209"/>
        <v>33653.486037468196</v>
      </c>
      <c r="DG60" s="106">
        <f t="shared" ca="1" si="209"/>
        <v>33653.486037468196</v>
      </c>
      <c r="DH60" s="106">
        <f t="shared" ca="1" si="209"/>
        <v>34663.090618592236</v>
      </c>
      <c r="DI60" s="106">
        <f t="shared" ca="1" si="209"/>
        <v>36093.844640554045</v>
      </c>
      <c r="DJ60" s="106">
        <f t="shared" ca="1" si="209"/>
        <v>4060.2691258878804</v>
      </c>
      <c r="DK60" s="106">
        <f t="shared" ca="1" si="209"/>
        <v>0</v>
      </c>
      <c r="DL60" s="106">
        <f t="shared" ca="1" si="209"/>
        <v>0</v>
      </c>
      <c r="DM60" s="106">
        <f t="shared" ca="1" si="209"/>
        <v>0</v>
      </c>
      <c r="DN60" s="106">
        <f t="shared" ca="1" si="209"/>
        <v>0</v>
      </c>
      <c r="DO60" s="106">
        <f t="shared" ca="1" si="209"/>
        <v>0</v>
      </c>
      <c r="DP60" s="106">
        <f t="shared" ca="1" si="209"/>
        <v>0</v>
      </c>
      <c r="DQ60" s="106">
        <f t="shared" ca="1" si="209"/>
        <v>0</v>
      </c>
      <c r="DR60" s="106">
        <f t="shared" ca="1" si="209"/>
        <v>0</v>
      </c>
      <c r="DS60" s="106">
        <f t="shared" ca="1" si="209"/>
        <v>0</v>
      </c>
      <c r="DT60" s="106">
        <f t="shared" ca="1" si="209"/>
        <v>0</v>
      </c>
      <c r="DU60" s="106">
        <f t="shared" ca="1" si="209"/>
        <v>0</v>
      </c>
      <c r="DV60" s="106">
        <f t="shared" ca="1" si="209"/>
        <v>0</v>
      </c>
      <c r="DW60" s="106">
        <f t="shared" ca="1" si="209"/>
        <v>0</v>
      </c>
      <c r="DX60" s="106">
        <f t="shared" ca="1" si="209"/>
        <v>0</v>
      </c>
      <c r="DY60" s="106">
        <f t="shared" ca="1" si="209"/>
        <v>0</v>
      </c>
      <c r="DZ60" s="106">
        <f t="shared" ca="1" si="209"/>
        <v>0</v>
      </c>
      <c r="EA60" s="106">
        <f t="shared" ca="1" si="209"/>
        <v>0</v>
      </c>
      <c r="EB60" s="106">
        <f t="shared" ca="1" si="209"/>
        <v>0</v>
      </c>
      <c r="EC60" s="106">
        <f t="shared" ca="1" si="209"/>
        <v>0</v>
      </c>
      <c r="ED60" s="106">
        <f t="shared" ca="1" si="209"/>
        <v>0</v>
      </c>
      <c r="EE60" s="106">
        <f t="shared" ca="1" si="209"/>
        <v>0</v>
      </c>
      <c r="EF60" s="106">
        <f t="shared" ca="1" si="209"/>
        <v>0</v>
      </c>
      <c r="EG60" s="106">
        <f t="shared" ca="1" si="209"/>
        <v>0</v>
      </c>
      <c r="EH60" s="106">
        <f t="shared" ca="1" si="209"/>
        <v>0</v>
      </c>
      <c r="EI60" s="106">
        <f t="shared" ca="1" si="209"/>
        <v>0</v>
      </c>
      <c r="EJ60" s="106">
        <f t="shared" ca="1" si="209"/>
        <v>0</v>
      </c>
      <c r="EK60" s="106">
        <f t="shared" ca="1" si="209"/>
        <v>0</v>
      </c>
      <c r="EL60" s="106">
        <f t="shared" ca="1" si="209"/>
        <v>0</v>
      </c>
      <c r="EM60" s="106">
        <f t="shared" ca="1" si="209"/>
        <v>0</v>
      </c>
      <c r="EN60" s="106">
        <f t="shared" ca="1" si="209"/>
        <v>0</v>
      </c>
      <c r="EO60" s="106">
        <f t="shared" ca="1" si="209"/>
        <v>0</v>
      </c>
      <c r="EP60" s="106">
        <f t="shared" ca="1" si="209"/>
        <v>0</v>
      </c>
      <c r="EQ60" s="106">
        <f t="shared" ca="1" si="209"/>
        <v>0</v>
      </c>
      <c r="ES60" s="421"/>
      <c r="ET60" s="63"/>
      <c r="EU60" s="98"/>
    </row>
    <row r="61" spans="7:151" ht="9" customHeight="1">
      <c r="G61" s="145"/>
      <c r="H61" s="145"/>
      <c r="I61" s="108"/>
      <c r="J61" s="217"/>
      <c r="K61" s="107"/>
      <c r="L61" s="106"/>
      <c r="M61" s="106"/>
      <c r="N61" s="217"/>
      <c r="O61" s="781"/>
      <c r="P61" s="106"/>
      <c r="Q61" s="125"/>
      <c r="R61" s="125"/>
      <c r="S61" s="110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  <c r="EC61" s="125"/>
      <c r="ED61" s="125"/>
      <c r="EE61" s="125"/>
      <c r="EF61" s="125"/>
      <c r="EG61" s="125"/>
      <c r="EH61" s="125"/>
      <c r="EI61" s="125"/>
      <c r="EJ61" s="125"/>
      <c r="EK61" s="125"/>
      <c r="EL61" s="125"/>
      <c r="EM61" s="125"/>
      <c r="EN61" s="125"/>
      <c r="EO61" s="125"/>
      <c r="EP61" s="125"/>
      <c r="EQ61" s="125"/>
      <c r="ES61" s="421"/>
      <c r="ET61" s="63"/>
      <c r="EU61" s="98"/>
    </row>
    <row r="62" spans="7:151" ht="15.75">
      <c r="G62" s="485" t="s">
        <v>136</v>
      </c>
      <c r="H62" s="145"/>
      <c r="I62" s="97"/>
      <c r="J62" s="220"/>
      <c r="K62" s="116"/>
      <c r="L62" s="102"/>
      <c r="M62" s="102"/>
      <c r="N62" s="220"/>
      <c r="O62" s="780"/>
      <c r="P62" s="102"/>
      <c r="Q62" s="126"/>
      <c r="R62" s="126"/>
      <c r="S62" s="12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S62" s="421"/>
      <c r="ET62" s="63"/>
      <c r="EU62" s="98"/>
    </row>
    <row r="63" spans="7:151" s="65" customFormat="1" ht="15.75">
      <c r="G63" s="482"/>
      <c r="H63" s="198" t="s">
        <v>24</v>
      </c>
      <c r="I63" s="502"/>
      <c r="J63" s="503"/>
      <c r="K63" s="199"/>
      <c r="L63" s="200"/>
      <c r="M63" s="200"/>
      <c r="N63" s="224">
        <f>'Annual Cash Flow'!C38</f>
        <v>-20421</v>
      </c>
      <c r="O63" s="787"/>
      <c r="P63" s="140">
        <f>-Assumptions!F52/12</f>
        <v>-1701.75</v>
      </c>
      <c r="Q63" s="141">
        <f ca="1">IF(P87=0,0,1)*($P$63*(1+Assumptions!$H$69)^(Q11-1))</f>
        <v>-1701.75</v>
      </c>
      <c r="R63" s="141">
        <f ca="1">IF(Q87=0,0,1)*IF(R11=1,$P$63,$P$63*(1+Assumptions!$H$69)^(R11-1))</f>
        <v>-1701.75</v>
      </c>
      <c r="S63" s="141">
        <f ca="1">IF(R87=0,0,1)*IF(S11=1,$P$63,$P$63*(1+Assumptions!$H$69)^(S11-1))</f>
        <v>-1701.75</v>
      </c>
      <c r="T63" s="141">
        <f ca="1">IF(S87=0,0,1)*IF(T11=1,$P$63,$P$63*(1+Assumptions!$H$69)^(T11-1))</f>
        <v>-1701.75</v>
      </c>
      <c r="U63" s="141">
        <f ca="1">IF(T87=0,0,1)*IF(U11=1,$P$63,$P$63*(1+Assumptions!$H$69)^(U11-1))</f>
        <v>-1701.75</v>
      </c>
      <c r="V63" s="141">
        <f ca="1">IF(U87=0,0,1)*IF(V11=1,$P$63,$P$63*(1+Assumptions!$H$69)^(V11-1))</f>
        <v>-1701.75</v>
      </c>
      <c r="W63" s="141">
        <f ca="1">IF(V87=0,0,1)*IF(W11=1,$P$63,$P$63*(1+Assumptions!$H$69)^(W11-1))</f>
        <v>-1701.75</v>
      </c>
      <c r="X63" s="141">
        <f ca="1">IF(W87=0,0,1)*IF(X11=1,$P$63,$P$63*(1+Assumptions!$H$69)^(X11-1))</f>
        <v>-1701.75</v>
      </c>
      <c r="Y63" s="141">
        <f ca="1">IF(X87=0,0,1)*IF(Y11=1,$P$63,$P$63*(1+Assumptions!$H$69)^(Y11-1))</f>
        <v>-1701.75</v>
      </c>
      <c r="Z63" s="141">
        <f ca="1">IF(Y87=0,0,1)*IF(Z11=1,$P$63,$P$63*(1+Assumptions!$H$69)^(Z11-1))</f>
        <v>-1701.75</v>
      </c>
      <c r="AA63" s="141">
        <f ca="1">IF(Z87=0,0,1)*IF(AA11=1,$P$63,$P$63*(1+Assumptions!$H$69)^(AA11-1))</f>
        <v>-1701.75</v>
      </c>
      <c r="AB63" s="141">
        <f ca="1">IF(AA87=0,0,1)*IF(AB11=1,$P$63,$P$63*(1+Assumptions!$H$69)^(AB11-1))</f>
        <v>-1752.8025</v>
      </c>
      <c r="AC63" s="141">
        <f ca="1">IF(AB87=0,0,1)*IF(AC11=1,$P$63,$P$63*(1+Assumptions!$H$69)^(AC11-1))</f>
        <v>-1752.8025</v>
      </c>
      <c r="AD63" s="141">
        <f ca="1">IF(AC87=0,0,1)*IF(AD11=1,$P$63,$P$63*(1+Assumptions!$H$69)^(AD11-1))</f>
        <v>-1752.8025</v>
      </c>
      <c r="AE63" s="141">
        <f ca="1">IF(AD87=0,0,1)*IF(AE11=1,$P$63,$P$63*(1+Assumptions!$H$69)^(AE11-1))</f>
        <v>-1752.8025</v>
      </c>
      <c r="AF63" s="141">
        <f ca="1">IF(AE87=0,0,1)*IF(AF11=1,$P$63,$P$63*(1+Assumptions!$H$69)^(AF11-1))</f>
        <v>-1752.8025</v>
      </c>
      <c r="AG63" s="141">
        <f ca="1">IF(AF87=0,0,1)*IF(AG11=1,$P$63,$P$63*(1+Assumptions!$H$69)^(AG11-1))</f>
        <v>-1752.8025</v>
      </c>
      <c r="AH63" s="141">
        <f ca="1">IF(AG87=0,0,1)*IF(AH11=1,$P$63,$P$63*(1+Assumptions!$H$69)^(AH11-1))</f>
        <v>-1752.8025</v>
      </c>
      <c r="AI63" s="141">
        <f ca="1">IF(AH87=0,0,1)*IF(AI11=1,$P$63,$P$63*(1+Assumptions!$H$69)^(AI11-1))</f>
        <v>-1752.8025</v>
      </c>
      <c r="AJ63" s="141">
        <f ca="1">IF(AI87=0,0,1)*IF(AJ11=1,$P$63,$P$63*(1+Assumptions!$H$69)^(AJ11-1))</f>
        <v>-1752.8025</v>
      </c>
      <c r="AK63" s="141">
        <f ca="1">IF(AJ87=0,0,1)*IF(AK11=1,$P$63,$P$63*(1+Assumptions!$H$69)^(AK11-1))</f>
        <v>-1752.8025</v>
      </c>
      <c r="AL63" s="141">
        <f ca="1">IF(AK87=0,0,1)*IF(AL11=1,$P$63,$P$63*(1+Assumptions!$H$69)^(AL11-1))</f>
        <v>-1752.8025</v>
      </c>
      <c r="AM63" s="141">
        <f ca="1">IF(AL87=0,0,1)*IF(AM11=1,$P$63,$P$63*(1+Assumptions!$H$69)^(AM11-1))</f>
        <v>-1752.8025</v>
      </c>
      <c r="AN63" s="141">
        <f ca="1">IF(AM87=0,0,1)*IF(AN11=1,$P$63,$P$63*(1+Assumptions!$H$69)^(AN11-1))</f>
        <v>-1805.386575</v>
      </c>
      <c r="AO63" s="141">
        <f ca="1">IF(AN87=0,0,1)*IF(AO11=1,$P$63,$P$63*(1+Assumptions!$H$69)^(AO11-1))</f>
        <v>-1805.386575</v>
      </c>
      <c r="AP63" s="141">
        <f ca="1">IF(AO87=0,0,1)*IF(AP11=1,$P$63,$P$63*(1+Assumptions!$H$69)^(AP11-1))</f>
        <v>-1805.386575</v>
      </c>
      <c r="AQ63" s="141">
        <f ca="1">IF(AP87=0,0,1)*IF(AQ11=1,$P$63,$P$63*(1+Assumptions!$H$69)^(AQ11-1))</f>
        <v>-1805.386575</v>
      </c>
      <c r="AR63" s="141">
        <f ca="1">IF(AQ87=0,0,1)*IF(AR11=1,$P$63,$P$63*(1+Assumptions!$H$69)^(AR11-1))</f>
        <v>-1805.386575</v>
      </c>
      <c r="AS63" s="141">
        <f ca="1">IF(AR87=0,0,1)*IF(AS11=1,$P$63,$P$63*(1+Assumptions!$H$69)^(AS11-1))</f>
        <v>-1805.386575</v>
      </c>
      <c r="AT63" s="141">
        <f ca="1">IF(AS87=0,0,1)*IF(AT11=1,$P$63,$P$63*(1+Assumptions!$H$69)^(AT11-1))</f>
        <v>-1805.386575</v>
      </c>
      <c r="AU63" s="141">
        <f ca="1">IF(AT87=0,0,1)*IF(AU11=1,$P$63,$P$63*(1+Assumptions!$H$69)^(AU11-1))</f>
        <v>-1805.386575</v>
      </c>
      <c r="AV63" s="141">
        <f ca="1">IF(AU87=0,0,1)*IF(AV11=1,$P$63,$P$63*(1+Assumptions!$H$69)^(AV11-1))</f>
        <v>-1805.386575</v>
      </c>
      <c r="AW63" s="141">
        <f ca="1">IF(AV87=0,0,1)*IF(AW11=1,$P$63,$P$63*(1+Assumptions!$H$69)^(AW11-1))</f>
        <v>-1805.386575</v>
      </c>
      <c r="AX63" s="141">
        <f ca="1">IF(AW87=0,0,1)*IF(AX11=1,$P$63,$P$63*(1+Assumptions!$H$69)^(AX11-1))</f>
        <v>-1805.386575</v>
      </c>
      <c r="AY63" s="141">
        <f ca="1">IF(AX87=0,0,1)*IF(AY11=1,$P$63,$P$63*(1+Assumptions!$H$69)^(AY11-1))</f>
        <v>-1805.386575</v>
      </c>
      <c r="AZ63" s="141">
        <f ca="1">IF(AY87=0,0,1)*IF(AZ11=1,$P$63,$P$63*(1+Assumptions!$H$69)^(AZ11-1))</f>
        <v>-1859.5481722500001</v>
      </c>
      <c r="BA63" s="141">
        <f ca="1">IF(AZ87=0,0,1)*IF(BA11=1,$P$63,$P$63*(1+Assumptions!$H$69)^(BA11-1))</f>
        <v>-1859.5481722500001</v>
      </c>
      <c r="BB63" s="141">
        <f ca="1">IF(BA87=0,0,1)*IF(BB11=1,$P$63,$P$63*(1+Assumptions!$H$69)^(BB11-1))</f>
        <v>-1859.5481722500001</v>
      </c>
      <c r="BC63" s="141">
        <f ca="1">IF(BB87=0,0,1)*IF(BC11=1,$P$63,$P$63*(1+Assumptions!$H$69)^(BC11-1))</f>
        <v>-1859.5481722500001</v>
      </c>
      <c r="BD63" s="141">
        <f ca="1">IF(BC87=0,0,1)*IF(BD11=1,$P$63,$P$63*(1+Assumptions!$H$69)^(BD11-1))</f>
        <v>-1859.5481722500001</v>
      </c>
      <c r="BE63" s="141">
        <f ca="1">IF(BD87=0,0,1)*IF(BE11=1,$P$63,$P$63*(1+Assumptions!$H$69)^(BE11-1))</f>
        <v>-1859.5481722500001</v>
      </c>
      <c r="BF63" s="141">
        <f ca="1">IF(BE87=0,0,1)*IF(BF11=1,$P$63,$P$63*(1+Assumptions!$H$69)^(BF11-1))</f>
        <v>-1859.5481722500001</v>
      </c>
      <c r="BG63" s="141">
        <f ca="1">IF(BF87=0,0,1)*IF(BG11=1,$P$63,$P$63*(1+Assumptions!$H$69)^(BG11-1))</f>
        <v>-1859.5481722500001</v>
      </c>
      <c r="BH63" s="141">
        <f ca="1">IF(BG87=0,0,1)*IF(BH11=1,$P$63,$P$63*(1+Assumptions!$H$69)^(BH11-1))</f>
        <v>-1859.5481722500001</v>
      </c>
      <c r="BI63" s="141">
        <f ca="1">IF(BH87=0,0,1)*IF(BI11=1,$P$63,$P$63*(1+Assumptions!$H$69)^(BI11-1))</f>
        <v>-1859.5481722500001</v>
      </c>
      <c r="BJ63" s="141">
        <f ca="1">IF(BI87=0,0,1)*IF(BJ11=1,$P$63,$P$63*(1+Assumptions!$H$69)^(BJ11-1))</f>
        <v>-1859.5481722500001</v>
      </c>
      <c r="BK63" s="141">
        <f ca="1">IF(BJ87=0,0,1)*IF(BK11=1,$P$63,$P$63*(1+Assumptions!$H$69)^(BK11-1))</f>
        <v>-1859.5481722500001</v>
      </c>
      <c r="BL63" s="141">
        <f ca="1">IF(BK87=0,0,1)*IF(BL11=1,$P$63,$P$63*(1+Assumptions!$H$69)^(BL11-1))</f>
        <v>-1915.3346174174999</v>
      </c>
      <c r="BM63" s="141">
        <f ca="1">IF(BL87=0,0,1)*IF(BM11=1,$P$63,$P$63*(1+Assumptions!$H$69)^(BM11-1))</f>
        <v>-1915.3346174174999</v>
      </c>
      <c r="BN63" s="141">
        <f ca="1">IF(BM87=0,0,1)*IF(BN11=1,$P$63,$P$63*(1+Assumptions!$H$69)^(BN11-1))</f>
        <v>-1915.3346174174999</v>
      </c>
      <c r="BO63" s="141">
        <f ca="1">IF(BN87=0,0,1)*IF(BO11=1,$P$63,$P$63*(1+Assumptions!$H$69)^(BO11-1))</f>
        <v>-1915.3346174174999</v>
      </c>
      <c r="BP63" s="141">
        <f ca="1">IF(BO87=0,0,1)*IF(BP11=1,$P$63,$P$63*(1+Assumptions!$H$69)^(BP11-1))</f>
        <v>-1915.3346174174999</v>
      </c>
      <c r="BQ63" s="141">
        <f ca="1">IF(BP87=0,0,1)*IF(BQ11=1,$P$63,$P$63*(1+Assumptions!$H$69)^(BQ11-1))</f>
        <v>-1915.3346174174999</v>
      </c>
      <c r="BR63" s="141">
        <f ca="1">IF(BQ87=0,0,1)*IF(BR11=1,$P$63,$P$63*(1+Assumptions!$H$69)^(BR11-1))</f>
        <v>-1915.3346174174999</v>
      </c>
      <c r="BS63" s="141">
        <f ca="1">IF(BR87=0,0,1)*IF(BS11=1,$P$63,$P$63*(1+Assumptions!$H$69)^(BS11-1))</f>
        <v>-1915.3346174174999</v>
      </c>
      <c r="BT63" s="141">
        <f ca="1">IF(BS87=0,0,1)*IF(BT11=1,$P$63,$P$63*(1+Assumptions!$H$69)^(BT11-1))</f>
        <v>-1915.3346174174999</v>
      </c>
      <c r="BU63" s="141">
        <f ca="1">IF(BT87=0,0,1)*IF(BU11=1,$P$63,$P$63*(1+Assumptions!$H$69)^(BU11-1))</f>
        <v>-1915.3346174174999</v>
      </c>
      <c r="BV63" s="141">
        <f ca="1">IF(BU87=0,0,1)*IF(BV11=1,$P$63,$P$63*(1+Assumptions!$H$69)^(BV11-1))</f>
        <v>-1915.3346174174999</v>
      </c>
      <c r="BW63" s="141">
        <f ca="1">IF(BV87=0,0,1)*IF(BW11=1,$P$63,$P$63*(1+Assumptions!$H$69)^(BW11-1))</f>
        <v>-1915.3346174174999</v>
      </c>
      <c r="BX63" s="141">
        <f ca="1">IF(BW87=0,0,1)*IF(BX11=1,$P$63,$P$63*(1+Assumptions!$H$69)^(BX11-1))</f>
        <v>-1972.7946559400248</v>
      </c>
      <c r="BY63" s="141">
        <f ca="1">IF(BX87=0,0,1)*IF(BY11=1,$P$63,$P$63*(1+Assumptions!$H$69)^(BY11-1))</f>
        <v>-1972.7946559400248</v>
      </c>
      <c r="BZ63" s="141">
        <f ca="1">IF(BY87=0,0,1)*IF(BZ11=1,$P$63,$P$63*(1+Assumptions!$H$69)^(BZ11-1))</f>
        <v>-1972.7946559400248</v>
      </c>
      <c r="CA63" s="141">
        <f ca="1">IF(BZ87=0,0,1)*IF(CA11=1,$P$63,$P$63*(1+Assumptions!$H$69)^(CA11-1))</f>
        <v>-1972.7946559400248</v>
      </c>
      <c r="CB63" s="141">
        <f ca="1">IF(CA87=0,0,1)*IF(CB11=1,$P$63,$P$63*(1+Assumptions!$H$69)^(CB11-1))</f>
        <v>-1972.7946559400248</v>
      </c>
      <c r="CC63" s="141">
        <f ca="1">IF(CB87=0,0,1)*IF(CC11=1,$P$63,$P$63*(1+Assumptions!$H$69)^(CC11-1))</f>
        <v>-1972.7946559400248</v>
      </c>
      <c r="CD63" s="141">
        <f ca="1">IF(CC87=0,0,1)*IF(CD11=1,$P$63,$P$63*(1+Assumptions!$H$69)^(CD11-1))</f>
        <v>-1972.7946559400248</v>
      </c>
      <c r="CE63" s="141">
        <f ca="1">IF(CD87=0,0,1)*IF(CE11=1,$P$63,$P$63*(1+Assumptions!$H$69)^(CE11-1))</f>
        <v>-1972.7946559400248</v>
      </c>
      <c r="CF63" s="141">
        <f ca="1">IF(CE87=0,0,1)*IF(CF11=1,$P$63,$P$63*(1+Assumptions!$H$69)^(CF11-1))</f>
        <v>-1972.7946559400248</v>
      </c>
      <c r="CG63" s="141">
        <f ca="1">IF(CF87=0,0,1)*IF(CG11=1,$P$63,$P$63*(1+Assumptions!$H$69)^(CG11-1))</f>
        <v>-1972.7946559400248</v>
      </c>
      <c r="CH63" s="141">
        <f ca="1">IF(CG87=0,0,1)*IF(CH11=1,$P$63,$P$63*(1+Assumptions!$H$69)^(CH11-1))</f>
        <v>-1972.7946559400248</v>
      </c>
      <c r="CI63" s="141">
        <f ca="1">IF(CH87=0,0,1)*IF(CI11=1,$P$63,$P$63*(1+Assumptions!$H$69)^(CI11-1))</f>
        <v>-1972.7946559400248</v>
      </c>
      <c r="CJ63" s="141">
        <f ca="1">IF(CI87=0,0,1)*IF(CJ11=1,$P$63,$P$63*(1+Assumptions!$H$69)^(CJ11-1))</f>
        <v>-2031.9784956182257</v>
      </c>
      <c r="CK63" s="141">
        <f ca="1">IF(CJ87=0,0,1)*IF(CK11=1,$P$63,$P$63*(1+Assumptions!$H$69)^(CK11-1))</f>
        <v>-2031.9784956182257</v>
      </c>
      <c r="CL63" s="141">
        <f ca="1">IF(CK87=0,0,1)*IF(CL11=1,$P$63,$P$63*(1+Assumptions!$H$69)^(CL11-1))</f>
        <v>-2031.9784956182257</v>
      </c>
      <c r="CM63" s="141">
        <f ca="1">IF(CL87=0,0,1)*IF(CM11=1,$P$63,$P$63*(1+Assumptions!$H$69)^(CM11-1))</f>
        <v>-2031.9784956182257</v>
      </c>
      <c r="CN63" s="141">
        <f ca="1">IF(CM87=0,0,1)*IF(CN11=1,$P$63,$P$63*(1+Assumptions!$H$69)^(CN11-1))</f>
        <v>-2031.9784956182257</v>
      </c>
      <c r="CO63" s="141">
        <f ca="1">IF(CN87=0,0,1)*IF(CO11=1,$P$63,$P$63*(1+Assumptions!$H$69)^(CO11-1))</f>
        <v>-2031.9784956182257</v>
      </c>
      <c r="CP63" s="141">
        <f ca="1">IF(CO87=0,0,1)*IF(CP11=1,$P$63,$P$63*(1+Assumptions!$H$69)^(CP11-1))</f>
        <v>-2031.9784956182257</v>
      </c>
      <c r="CQ63" s="141">
        <f ca="1">IF(CP87=0,0,1)*IF(CQ11=1,$P$63,$P$63*(1+Assumptions!$H$69)^(CQ11-1))</f>
        <v>-2031.9784956182257</v>
      </c>
      <c r="CR63" s="141">
        <f ca="1">IF(CQ87=0,0,1)*IF(CR11=1,$P$63,$P$63*(1+Assumptions!$H$69)^(CR11-1))</f>
        <v>-2031.9784956182257</v>
      </c>
      <c r="CS63" s="141">
        <f ca="1">IF(CR87=0,0,1)*IF(CS11=1,$P$63,$P$63*(1+Assumptions!$H$69)^(CS11-1))</f>
        <v>-2031.9784956182257</v>
      </c>
      <c r="CT63" s="141">
        <f ca="1">IF(CS87=0,0,1)*IF(CT11=1,$P$63,$P$63*(1+Assumptions!$H$69)^(CT11-1))</f>
        <v>-2031.9784956182257</v>
      </c>
      <c r="CU63" s="141">
        <f ca="1">IF(CT87=0,0,1)*IF(CU11=1,$P$63,$P$63*(1+Assumptions!$H$69)^(CU11-1))</f>
        <v>-2031.9784956182257</v>
      </c>
      <c r="CV63" s="141">
        <f ca="1">IF(CU87=0,0,1)*IF(CV11=1,$P$63,$P$63*(1+Assumptions!$H$69)^(CV11-1))</f>
        <v>-2092.9378504867723</v>
      </c>
      <c r="CW63" s="141">
        <f ca="1">IF(CV87=0,0,1)*IF(CW11=1,$P$63,$P$63*(1+Assumptions!$H$69)^(CW11-1))</f>
        <v>-2092.9378504867723</v>
      </c>
      <c r="CX63" s="141">
        <f ca="1">IF(CW87=0,0,1)*IF(CX11=1,$P$63,$P$63*(1+Assumptions!$H$69)^(CX11-1))</f>
        <v>-2092.9378504867723</v>
      </c>
      <c r="CY63" s="141">
        <f ca="1">IF(CX87=0,0,1)*IF(CY11=1,$P$63,$P$63*(1+Assumptions!$H$69)^(CY11-1))</f>
        <v>-2092.9378504867723</v>
      </c>
      <c r="CZ63" s="141">
        <f ca="1">IF(CY87=0,0,1)*IF(CZ11=1,$P$63,$P$63*(1+Assumptions!$H$69)^(CZ11-1))</f>
        <v>-2092.9378504867723</v>
      </c>
      <c r="DA63" s="141">
        <f ca="1">IF(CZ87=0,0,1)*IF(DA11=1,$P$63,$P$63*(1+Assumptions!$H$69)^(DA11-1))</f>
        <v>-2092.9378504867723</v>
      </c>
      <c r="DB63" s="141">
        <f ca="1">IF(DA87=0,0,1)*IF(DB11=1,$P$63,$P$63*(1+Assumptions!$H$69)^(DB11-1))</f>
        <v>-2092.9378504867723</v>
      </c>
      <c r="DC63" s="141">
        <f ca="1">IF(DB87=0,0,1)*IF(DC11=1,$P$63,$P$63*(1+Assumptions!$H$69)^(DC11-1))</f>
        <v>-2092.9378504867723</v>
      </c>
      <c r="DD63" s="141">
        <f ca="1">IF(DC87=0,0,1)*IF(DD11=1,$P$63,$P$63*(1+Assumptions!$H$69)^(DD11-1))</f>
        <v>-2092.9378504867723</v>
      </c>
      <c r="DE63" s="141">
        <f ca="1">IF(DD87=0,0,1)*IF(DE11=1,$P$63,$P$63*(1+Assumptions!$H$69)^(DE11-1))</f>
        <v>-2092.9378504867723</v>
      </c>
      <c r="DF63" s="141">
        <f ca="1">IF(DE87=0,0,1)*IF(DF11=1,$P$63,$P$63*(1+Assumptions!$H$69)^(DF11-1))</f>
        <v>-2092.9378504867723</v>
      </c>
      <c r="DG63" s="141">
        <f ca="1">IF(DF87=0,0,1)*IF(DG11=1,$P$63,$P$63*(1+Assumptions!$H$69)^(DG11-1))</f>
        <v>-2092.9378504867723</v>
      </c>
      <c r="DH63" s="141">
        <f ca="1">IF(DG87=0,0,1)*IF(DH11=1,$P$63,$P$63*(1+Assumptions!$H$69)^(DH11-1))</f>
        <v>-2155.7259860013755</v>
      </c>
      <c r="DI63" s="141">
        <f ca="1">IF(DH87=0,0,1)*IF(DI11=1,$P$63,$P$63*(1+Assumptions!$H$69)^(DI11-1))</f>
        <v>-2155.7259860013755</v>
      </c>
      <c r="DJ63" s="141">
        <f>IF(DI87=0,0,1)*IF(DJ11=1,$P$63,$P$63*(1+Assumptions!$H$69)^(DJ11-1))</f>
        <v>0</v>
      </c>
      <c r="DK63" s="141">
        <f>IF(DJ87=0,0,1)*IF(DK11=1,$P$63,$P$63*(1+Assumptions!$H$69)^(DK11-1))</f>
        <v>0</v>
      </c>
      <c r="DL63" s="141">
        <f>IF(DK87=0,0,1)*IF(DL11=1,$P$63,$P$63*(1+Assumptions!$H$69)^(DL11-1))</f>
        <v>0</v>
      </c>
      <c r="DM63" s="141">
        <f>IF(DL87=0,0,1)*IF(DM11=1,$P$63,$P$63*(1+Assumptions!$H$69)^(DM11-1))</f>
        <v>0</v>
      </c>
      <c r="DN63" s="141">
        <f>IF(DM87=0,0,1)*IF(DN11=1,$P$63,$P$63*(1+Assumptions!$H$69)^(DN11-1))</f>
        <v>0</v>
      </c>
      <c r="DO63" s="141">
        <f>IF(DN87=0,0,1)*IF(DO11=1,$P$63,$P$63*(1+Assumptions!$H$69)^(DO11-1))</f>
        <v>0</v>
      </c>
      <c r="DP63" s="141">
        <f>IF(DO87=0,0,1)*IF(DP11=1,$P$63,$P$63*(1+Assumptions!$H$69)^(DP11-1))</f>
        <v>0</v>
      </c>
      <c r="DQ63" s="141">
        <f>IF(DP87=0,0,1)*IF(DQ11=1,$P$63,$P$63*(1+Assumptions!$H$69)^(DQ11-1))</f>
        <v>0</v>
      </c>
      <c r="DR63" s="141">
        <f>IF(DQ87=0,0,1)*IF(DR11=1,$P$63,$P$63*(1+Assumptions!$H$69)^(DR11-1))</f>
        <v>0</v>
      </c>
      <c r="DS63" s="141">
        <f>IF(DR87=0,0,1)*IF(DS11=1,$P$63,$P$63*(1+Assumptions!$H$69)^(DS11-1))</f>
        <v>0</v>
      </c>
      <c r="DT63" s="141">
        <f>IF(DS87=0,0,1)*IF(DT11=1,$P$63,$P$63*(1+Assumptions!$H$69)^(DT11-1))</f>
        <v>0</v>
      </c>
      <c r="DU63" s="141">
        <f>IF(DT87=0,0,1)*IF(DU11=1,$P$63,$P$63*(1+Assumptions!$H$69)^(DU11-1))</f>
        <v>0</v>
      </c>
      <c r="DV63" s="141">
        <f>IF(DU87=0,0,1)*IF(DV11=1,$P$63,$P$63*(1+Assumptions!$H$69)^(DV11-1))</f>
        <v>0</v>
      </c>
      <c r="DW63" s="141">
        <f>IF(DV87=0,0,1)*IF(DW11=1,$P$63,$P$63*(1+Assumptions!$H$69)^(DW11-1))</f>
        <v>0</v>
      </c>
      <c r="DX63" s="141">
        <f>IF(DW87=0,0,1)*IF(DX11=1,$P$63,$P$63*(1+Assumptions!$H$69)^(DX11-1))</f>
        <v>0</v>
      </c>
      <c r="DY63" s="141">
        <f>IF(DX87=0,0,1)*IF(DY11=1,$P$63,$P$63*(1+Assumptions!$H$69)^(DY11-1))</f>
        <v>0</v>
      </c>
      <c r="DZ63" s="141">
        <f>IF(DY87=0,0,1)*IF(DZ11=1,$P$63,$P$63*(1+Assumptions!$H$69)^(DZ11-1))</f>
        <v>0</v>
      </c>
      <c r="EA63" s="141">
        <f>IF(DZ87=0,0,1)*IF(EA11=1,$P$63,$P$63*(1+Assumptions!$H$69)^(EA11-1))</f>
        <v>0</v>
      </c>
      <c r="EB63" s="141">
        <f>IF(EA87=0,0,1)*IF(EB11=1,$P$63,$P$63*(1+Assumptions!$H$69)^(EB11-1))</f>
        <v>0</v>
      </c>
      <c r="EC63" s="141">
        <f>IF(EB87=0,0,1)*IF(EC11=1,$P$63,$P$63*(1+Assumptions!$H$69)^(EC11-1))</f>
        <v>0</v>
      </c>
      <c r="ED63" s="141">
        <f>IF(EC87=0,0,1)*IF(ED11=1,$P$63,$P$63*(1+Assumptions!$H$69)^(ED11-1))</f>
        <v>0</v>
      </c>
      <c r="EE63" s="141">
        <f>IF(ED87=0,0,1)*IF(EE11=1,$P$63,$P$63*(1+Assumptions!$H$69)^(EE11-1))</f>
        <v>0</v>
      </c>
      <c r="EF63" s="141">
        <f>IF(EE87=0,0,1)*IF(EF11=1,$P$63,$P$63*(1+Assumptions!$H$69)^(EF11-1))</f>
        <v>0</v>
      </c>
      <c r="EG63" s="141">
        <f>IF(EF87=0,0,1)*IF(EG11=1,$P$63,$P$63*(1+Assumptions!$H$69)^(EG11-1))</f>
        <v>0</v>
      </c>
      <c r="EH63" s="141">
        <f>IF(EG87=0,0,1)*IF(EH11=1,$P$63,$P$63*(1+Assumptions!$H$69)^(EH11-1))</f>
        <v>0</v>
      </c>
      <c r="EI63" s="141">
        <f>IF(EH87=0,0,1)*IF(EI11=1,$P$63,$P$63*(1+Assumptions!$H$69)^(EI11-1))</f>
        <v>0</v>
      </c>
      <c r="EJ63" s="141">
        <f>IF(EI87=0,0,1)*IF(EJ11=1,$P$63,$P$63*(1+Assumptions!$H$69)^(EJ11-1))</f>
        <v>0</v>
      </c>
      <c r="EK63" s="141">
        <f>IF(EJ87=0,0,1)*IF(EK11=1,$P$63,$P$63*(1+Assumptions!$H$69)^(EK11-1))</f>
        <v>0</v>
      </c>
      <c r="EL63" s="141">
        <f>IF(EK87=0,0,1)*IF(EL11=1,$P$63,$P$63*(1+Assumptions!$H$69)^(EL11-1))</f>
        <v>0</v>
      </c>
      <c r="EM63" s="141">
        <f>IF(EL87=0,0,1)*IF(EM11=1,$P$63,$P$63*(1+Assumptions!$H$69)^(EM11-1))</f>
        <v>0</v>
      </c>
      <c r="EN63" s="141">
        <f>IF(EM87=0,0,1)*IF(EN11=1,$P$63,$P$63*(1+Assumptions!$H$69)^(EN11-1))</f>
        <v>0</v>
      </c>
      <c r="EO63" s="141">
        <f>IF(EN87=0,0,1)*IF(EO11=1,$P$63,$P$63*(1+Assumptions!$H$69)^(EO11-1))</f>
        <v>0</v>
      </c>
      <c r="EP63" s="141">
        <f>IF(EO87=0,0,1)*IF(EP11=1,$P$63,$P$63*(1+Assumptions!$H$69)^(EP11-1))</f>
        <v>0</v>
      </c>
      <c r="EQ63" s="141">
        <f>IF(EP87=0,0,1)*IF(EQ11=1,$P$63,$P$63*(1+Assumptions!$H$69)^(EQ11-1))</f>
        <v>0</v>
      </c>
      <c r="ES63" s="421"/>
      <c r="ET63" s="67"/>
      <c r="EU63" s="195"/>
    </row>
    <row r="64" spans="7:151" s="65" customFormat="1" ht="15.75">
      <c r="G64" s="482"/>
      <c r="H64" s="274" t="s">
        <v>114</v>
      </c>
      <c r="I64" s="502"/>
      <c r="J64" s="503"/>
      <c r="K64" s="199"/>
      <c r="L64" s="200"/>
      <c r="M64" s="200"/>
      <c r="N64" s="224"/>
      <c r="O64" s="787"/>
      <c r="P64" s="141">
        <f ca="1">-(P63/unit)*Assumptions!$H$16*(SUM($O$36:OFFSET(O36,0,-$C$37+1)))</f>
        <v>0</v>
      </c>
      <c r="Q64" s="141">
        <f ca="1">-(Q63/unit)*Assumptions!$H$16*(SUM($O$36:OFFSET(P36,0,-$C$37+1)))</f>
        <v>0</v>
      </c>
      <c r="R64" s="141">
        <f ca="1">-(R63/unit)*Assumptions!$H$16*(SUM($O$36:OFFSET(Q36,0,-$C$37+1)))</f>
        <v>0</v>
      </c>
      <c r="S64" s="141">
        <f ca="1">-(S63/unit)*Assumptions!$H$16*(SUM($O$36:OFFSET(R36,0,-$C$37+1)))</f>
        <v>0</v>
      </c>
      <c r="T64" s="141">
        <f ca="1">-(T63/unit)*Assumptions!$H$16*(SUM($O$36:OFFSET(S36,0,-$C$37+1)))</f>
        <v>5.6725000000000003</v>
      </c>
      <c r="U64" s="141">
        <f ca="1">-(U63/unit)*Assumptions!$H$16*(SUM($O$36:OFFSET(T36,0,-$C$37+1)))</f>
        <v>28.362500000000001</v>
      </c>
      <c r="V64" s="141">
        <f ca="1">-(V63/unit)*Assumptions!$H$16*(SUM($O$36:OFFSET(U36,0,-$C$37+1)))</f>
        <v>56.725000000000001</v>
      </c>
      <c r="W64" s="141">
        <f ca="1">-(W63/unit)*Assumptions!$H$16*(SUM($O$36:OFFSET(V36,0,-$C$37+1)))</f>
        <v>56.725000000000001</v>
      </c>
      <c r="X64" s="141">
        <f ca="1">-(X63/unit)*Assumptions!$H$16*(SUM($O$36:OFFSET(W36,0,-$C$37+1)))</f>
        <v>56.725000000000001</v>
      </c>
      <c r="Y64" s="141">
        <f ca="1">-(Y63/unit)*Assumptions!$H$16*(SUM($O$36:OFFSET(X36,0,-$C$37+1)))</f>
        <v>56.725000000000001</v>
      </c>
      <c r="Z64" s="141">
        <f ca="1">-(Z63/unit)*Assumptions!$H$16*(SUM($O$36:OFFSET(Y36,0,-$C$37+1)))</f>
        <v>56.725000000000001</v>
      </c>
      <c r="AA64" s="141">
        <f ca="1">-(AA63/unit)*Assumptions!$H$16*(SUM($O$36:OFFSET(Z36,0,-$C$37+1)))</f>
        <v>56.725000000000001</v>
      </c>
      <c r="AB64" s="141">
        <f ca="1">-(AB63/unit)*Assumptions!$H$16*(SUM($O$36:OFFSET(AA36,0,-$C$37+1)))</f>
        <v>58.426749999999998</v>
      </c>
      <c r="AC64" s="141">
        <f ca="1">-(AC63/unit)*Assumptions!$H$16*(SUM($O$36:OFFSET(AB36,0,-$C$37+1)))</f>
        <v>58.426749999999998</v>
      </c>
      <c r="AD64" s="141">
        <f ca="1">-(AD63/unit)*Assumptions!$H$16*(SUM($O$36:OFFSET(AC36,0,-$C$37+1)))</f>
        <v>58.426749999999998</v>
      </c>
      <c r="AE64" s="141">
        <f ca="1">-(AE63/unit)*Assumptions!$H$16*(SUM($O$36:OFFSET(AD36,0,-$C$37+1)))</f>
        <v>87.640124999999998</v>
      </c>
      <c r="AF64" s="141">
        <f ca="1">-(AF63/unit)*Assumptions!$H$16*(SUM($O$36:OFFSET(AE36,0,-$C$37+1)))</f>
        <v>116.8535</v>
      </c>
      <c r="AG64" s="141">
        <f ca="1">-(AG63/unit)*Assumptions!$H$16*(SUM($O$36:OFFSET(AF36,0,-$C$37+1)))</f>
        <v>116.8535</v>
      </c>
      <c r="AH64" s="141">
        <f ca="1">-(AH63/unit)*Assumptions!$H$16*(SUM($O$36:OFFSET(AG36,0,-$C$37+1)))</f>
        <v>146.06687499999998</v>
      </c>
      <c r="AI64" s="141">
        <f ca="1">-(AI63/unit)*Assumptions!$H$16*(SUM($O$36:OFFSET(AH36,0,-$C$37+1)))</f>
        <v>146.06687499999998</v>
      </c>
      <c r="AJ64" s="141">
        <f ca="1">-(AJ63/unit)*Assumptions!$H$16*(SUM($O$36:OFFSET(AI36,0,-$C$37+1)))</f>
        <v>146.06687499999998</v>
      </c>
      <c r="AK64" s="141">
        <f ca="1">-(AK63/unit)*Assumptions!$H$16*(SUM($O$36:OFFSET(AJ36,0,-$C$37+1)))</f>
        <v>146.06687499999998</v>
      </c>
      <c r="AL64" s="141">
        <f ca="1">-(AL63/unit)*Assumptions!$H$16*(SUM($O$36:OFFSET(AK36,0,-$C$37+1)))</f>
        <v>146.06687499999998</v>
      </c>
      <c r="AM64" s="141">
        <f ca="1">-(AM63/unit)*Assumptions!$H$16*(SUM($O$36:OFFSET(AL36,0,-$C$37+1)))</f>
        <v>146.06687499999998</v>
      </c>
      <c r="AN64" s="141">
        <f ca="1">-(AN63/unit)*Assumptions!$H$16*(SUM($O$36:OFFSET(AM36,0,-$C$37+1)))</f>
        <v>150.44888125</v>
      </c>
      <c r="AO64" s="141">
        <f ca="1">-(AO63/unit)*Assumptions!$H$16*(SUM($O$36:OFFSET(AN36,0,-$C$37+1)))</f>
        <v>150.44888125</v>
      </c>
      <c r="AP64" s="141">
        <f ca="1">-(AP63/unit)*Assumptions!$H$16*(SUM($O$36:OFFSET(AO36,0,-$C$37+1)))</f>
        <v>150.44888125</v>
      </c>
      <c r="AQ64" s="141">
        <f ca="1">-(AQ63/unit)*Assumptions!$H$16*(SUM($O$36:OFFSET(AP36,0,-$C$37+1)))</f>
        <v>150.44888125</v>
      </c>
      <c r="AR64" s="141">
        <f ca="1">-(AR63/unit)*Assumptions!$H$16*(SUM($O$36:OFFSET(AQ36,0,-$C$37+1)))</f>
        <v>150.44888125</v>
      </c>
      <c r="AS64" s="141">
        <f ca="1">-(AS63/unit)*Assumptions!$H$16*(SUM($O$36:OFFSET(AR36,0,-$C$37+1)))</f>
        <v>150.44888125</v>
      </c>
      <c r="AT64" s="141">
        <f ca="1">-(AT63/unit)*Assumptions!$H$16*(SUM($O$36:OFFSET(AS36,0,-$C$37+1)))</f>
        <v>174.52070225</v>
      </c>
      <c r="AU64" s="141">
        <f ca="1">-(AU63/unit)*Assumptions!$H$16*(SUM($O$36:OFFSET(AT36,0,-$C$37+1)))</f>
        <v>174.52070225</v>
      </c>
      <c r="AV64" s="141">
        <f ca="1">-(AV63/unit)*Assumptions!$H$16*(SUM($O$36:OFFSET(AU36,0,-$C$37+1)))</f>
        <v>180.5386575</v>
      </c>
      <c r="AW64" s="141">
        <f ca="1">-(AW63/unit)*Assumptions!$H$16*(SUM($O$36:OFFSET(AV36,0,-$C$37+1)))</f>
        <v>180.5386575</v>
      </c>
      <c r="AX64" s="141">
        <f ca="1">-(AX63/unit)*Assumptions!$H$16*(SUM($O$36:OFFSET(AW36,0,-$C$37+1)))</f>
        <v>180.5386575</v>
      </c>
      <c r="AY64" s="141">
        <f ca="1">-(AY63/unit)*Assumptions!$H$16*(SUM($O$36:OFFSET(AX36,0,-$C$37+1)))</f>
        <v>180.5386575</v>
      </c>
      <c r="AZ64" s="141">
        <f ca="1">-(AZ63/unit)*Assumptions!$H$16*(SUM($O$36:OFFSET(AY36,0,-$C$37+1)))</f>
        <v>185.95481722500006</v>
      </c>
      <c r="BA64" s="141">
        <f ca="1">-(BA63/unit)*Assumptions!$H$16*(SUM($O$36:OFFSET(AZ36,0,-$C$37+1)))</f>
        <v>185.95481722500006</v>
      </c>
      <c r="BB64" s="141">
        <f ca="1">-(BB63/unit)*Assumptions!$H$16*(SUM($O$36:OFFSET(BA36,0,-$C$37+1)))</f>
        <v>185.95481722500006</v>
      </c>
      <c r="BC64" s="141">
        <f ca="1">-(BC63/unit)*Assumptions!$H$16*(SUM($O$36:OFFSET(BB36,0,-$C$37+1)))</f>
        <v>185.95481722500006</v>
      </c>
      <c r="BD64" s="141">
        <f ca="1">-(BD63/unit)*Assumptions!$H$16*(SUM($O$36:OFFSET(BC36,0,-$C$37+1)))</f>
        <v>185.95481722500006</v>
      </c>
      <c r="BE64" s="141">
        <f ca="1">-(BE63/unit)*Assumptions!$H$16*(SUM($O$36:OFFSET(BD36,0,-$C$37+1)))</f>
        <v>185.95481722500006</v>
      </c>
      <c r="BF64" s="141">
        <f ca="1">-(BF63/unit)*Assumptions!$H$16*(SUM($O$36:OFFSET(BE36,0,-$C$37+1)))</f>
        <v>185.95481722500006</v>
      </c>
      <c r="BG64" s="141">
        <f ca="1">-(BG63/unit)*Assumptions!$H$16*(SUM($O$36:OFFSET(BF36,0,-$C$37+1)))</f>
        <v>185.95481722500006</v>
      </c>
      <c r="BH64" s="141">
        <f ca="1">-(BH63/unit)*Assumptions!$H$16*(SUM($O$36:OFFSET(BG36,0,-$C$37+1)))</f>
        <v>185.95481722500006</v>
      </c>
      <c r="BI64" s="141">
        <f ca="1">-(BI63/unit)*Assumptions!$H$16*(SUM($O$36:OFFSET(BH36,0,-$C$37+1)))</f>
        <v>185.95481722500006</v>
      </c>
      <c r="BJ64" s="141">
        <f ca="1">-(BJ63/unit)*Assumptions!$H$16*(SUM($O$36:OFFSET(BI36,0,-$C$37+1)))</f>
        <v>185.95481722500006</v>
      </c>
      <c r="BK64" s="141">
        <f ca="1">-(BK63/unit)*Assumptions!$H$16*(SUM($O$36:OFFSET(BJ36,0,-$C$37+1)))</f>
        <v>185.95481722500006</v>
      </c>
      <c r="BL64" s="141">
        <f ca="1">-(BL63/unit)*Assumptions!$H$16*(SUM($O$36:OFFSET(BK36,0,-$C$37+1)))</f>
        <v>191.53346174174999</v>
      </c>
      <c r="BM64" s="141">
        <f ca="1">-(BM63/unit)*Assumptions!$H$16*(SUM($O$36:OFFSET(BL36,0,-$C$37+1)))</f>
        <v>191.53346174174999</v>
      </c>
      <c r="BN64" s="141">
        <f ca="1">-(BN63/unit)*Assumptions!$H$16*(SUM($O$36:OFFSET(BM36,0,-$C$37+1)))</f>
        <v>191.53346174174999</v>
      </c>
      <c r="BO64" s="141">
        <f ca="1">-(BO63/unit)*Assumptions!$H$16*(SUM($O$36:OFFSET(BN36,0,-$C$37+1)))</f>
        <v>191.53346174174999</v>
      </c>
      <c r="BP64" s="141">
        <f ca="1">-(BP63/unit)*Assumptions!$H$16*(SUM($O$36:OFFSET(BO36,0,-$C$37+1)))</f>
        <v>191.53346174174999</v>
      </c>
      <c r="BQ64" s="141">
        <f ca="1">-(BQ63/unit)*Assumptions!$H$16*(SUM($O$36:OFFSET(BP36,0,-$C$37+1)))</f>
        <v>191.53346174174999</v>
      </c>
      <c r="BR64" s="141">
        <f ca="1">-(BR63/unit)*Assumptions!$H$16*(SUM($O$36:OFFSET(BQ36,0,-$C$37+1)))</f>
        <v>191.53346174174999</v>
      </c>
      <c r="BS64" s="141">
        <f ca="1">-(BS63/unit)*Assumptions!$H$16*(SUM($O$36:OFFSET(BR36,0,-$C$37+1)))</f>
        <v>191.53346174174999</v>
      </c>
      <c r="BT64" s="141">
        <f ca="1">-(BT63/unit)*Assumptions!$H$16*(SUM($O$36:OFFSET(BS36,0,-$C$37+1)))</f>
        <v>191.53346174174999</v>
      </c>
      <c r="BU64" s="141">
        <f ca="1">-(BU63/unit)*Assumptions!$H$16*(SUM($O$36:OFFSET(BT36,0,-$C$37+1)))</f>
        <v>191.53346174174999</v>
      </c>
      <c r="BV64" s="141">
        <f ca="1">-(BV63/unit)*Assumptions!$H$16*(SUM($O$36:OFFSET(BU36,0,-$C$37+1)))</f>
        <v>191.53346174174999</v>
      </c>
      <c r="BW64" s="141">
        <f ca="1">-(BW63/unit)*Assumptions!$H$16*(SUM($O$36:OFFSET(BV36,0,-$C$37+1)))</f>
        <v>191.53346174174999</v>
      </c>
      <c r="BX64" s="141">
        <f ca="1">-(BX63/unit)*Assumptions!$H$16*(SUM($O$36:OFFSET(BW36,0,-$C$37+1)))</f>
        <v>197.27946559400249</v>
      </c>
      <c r="BY64" s="141">
        <f ca="1">-(BY63/unit)*Assumptions!$H$16*(SUM($O$36:OFFSET(BX36,0,-$C$37+1)))</f>
        <v>197.27946559400249</v>
      </c>
      <c r="BZ64" s="141">
        <f ca="1">-(BZ63/unit)*Assumptions!$H$16*(SUM($O$36:OFFSET(BY36,0,-$C$37+1)))</f>
        <v>197.27946559400249</v>
      </c>
      <c r="CA64" s="141">
        <f ca="1">-(CA63/unit)*Assumptions!$H$16*(SUM($O$36:OFFSET(BZ36,0,-$C$37+1)))</f>
        <v>197.27946559400249</v>
      </c>
      <c r="CB64" s="141">
        <f ca="1">-(CB63/unit)*Assumptions!$H$16*(SUM($O$36:OFFSET(CA36,0,-$C$37+1)))</f>
        <v>197.27946559400249</v>
      </c>
      <c r="CC64" s="141">
        <f ca="1">-(CC63/unit)*Assumptions!$H$16*(SUM($O$36:OFFSET(CB36,0,-$C$37+1)))</f>
        <v>197.27946559400249</v>
      </c>
      <c r="CD64" s="141">
        <f ca="1">-(CD63/unit)*Assumptions!$H$16*(SUM($O$36:OFFSET(CC36,0,-$C$37+1)))</f>
        <v>197.27946559400249</v>
      </c>
      <c r="CE64" s="141">
        <f ca="1">-(CE63/unit)*Assumptions!$H$16*(SUM($O$36:OFFSET(CD36,0,-$C$37+1)))</f>
        <v>197.27946559400249</v>
      </c>
      <c r="CF64" s="141">
        <f ca="1">-(CF63/unit)*Assumptions!$H$16*(SUM($O$36:OFFSET(CE36,0,-$C$37+1)))</f>
        <v>197.27946559400249</v>
      </c>
      <c r="CG64" s="141">
        <f ca="1">-(CG63/unit)*Assumptions!$H$16*(SUM($O$36:OFFSET(CF36,0,-$C$37+1)))</f>
        <v>197.27946559400249</v>
      </c>
      <c r="CH64" s="141">
        <f ca="1">-(CH63/unit)*Assumptions!$H$16*(SUM($O$36:OFFSET(CG36,0,-$C$37+1)))</f>
        <v>197.27946559400249</v>
      </c>
      <c r="CI64" s="141">
        <f ca="1">-(CI63/unit)*Assumptions!$H$16*(SUM($O$36:OFFSET(CH36,0,-$C$37+1)))</f>
        <v>197.27946559400249</v>
      </c>
      <c r="CJ64" s="141">
        <f ca="1">-(CJ63/unit)*Assumptions!$H$16*(SUM($O$36:OFFSET(CI36,0,-$C$37+1)))</f>
        <v>203.19784956182258</v>
      </c>
      <c r="CK64" s="141">
        <f ca="1">-(CK63/unit)*Assumptions!$H$16*(SUM($O$36:OFFSET(CJ36,0,-$C$37+1)))</f>
        <v>203.19784956182258</v>
      </c>
      <c r="CL64" s="141">
        <f ca="1">-(CL63/unit)*Assumptions!$H$16*(SUM($O$36:OFFSET(CK36,0,-$C$37+1)))</f>
        <v>203.19784956182258</v>
      </c>
      <c r="CM64" s="141">
        <f ca="1">-(CM63/unit)*Assumptions!$H$16*(SUM($O$36:OFFSET(CL36,0,-$C$37+1)))</f>
        <v>203.19784956182258</v>
      </c>
      <c r="CN64" s="141">
        <f ca="1">-(CN63/unit)*Assumptions!$H$16*(SUM($O$36:OFFSET(CM36,0,-$C$37+1)))</f>
        <v>203.19784956182258</v>
      </c>
      <c r="CO64" s="141">
        <f ca="1">-(CO63/unit)*Assumptions!$H$16*(SUM($O$36:OFFSET(CN36,0,-$C$37+1)))</f>
        <v>203.19784956182258</v>
      </c>
      <c r="CP64" s="141">
        <f ca="1">-(CP63/unit)*Assumptions!$H$16*(SUM($O$36:OFFSET(CO36,0,-$C$37+1)))</f>
        <v>203.19784956182258</v>
      </c>
      <c r="CQ64" s="141">
        <f ca="1">-(CQ63/unit)*Assumptions!$H$16*(SUM($O$36:OFFSET(CP36,0,-$C$37+1)))</f>
        <v>203.19784956182258</v>
      </c>
      <c r="CR64" s="141">
        <f ca="1">-(CR63/unit)*Assumptions!$H$16*(SUM($O$36:OFFSET(CQ36,0,-$C$37+1)))</f>
        <v>203.19784956182258</v>
      </c>
      <c r="CS64" s="141">
        <f ca="1">-(CS63/unit)*Assumptions!$H$16*(SUM($O$36:OFFSET(CR36,0,-$C$37+1)))</f>
        <v>203.19784956182258</v>
      </c>
      <c r="CT64" s="141">
        <f ca="1">-(CT63/unit)*Assumptions!$H$16*(SUM($O$36:OFFSET(CS36,0,-$C$37+1)))</f>
        <v>203.19784956182258</v>
      </c>
      <c r="CU64" s="141">
        <f ca="1">-(CU63/unit)*Assumptions!$H$16*(SUM($O$36:OFFSET(CT36,0,-$C$37+1)))</f>
        <v>203.19784956182258</v>
      </c>
      <c r="CV64" s="141">
        <f ca="1">-(CV63/unit)*Assumptions!$H$16*(SUM($O$36:OFFSET(CU36,0,-$C$37+1)))</f>
        <v>209.29378504867725</v>
      </c>
      <c r="CW64" s="141">
        <f ca="1">-(CW63/unit)*Assumptions!$H$16*(SUM($O$36:OFFSET(CV36,0,-$C$37+1)))</f>
        <v>209.29378504867725</v>
      </c>
      <c r="CX64" s="141">
        <f ca="1">-(CX63/unit)*Assumptions!$H$16*(SUM($O$36:OFFSET(CW36,0,-$C$37+1)))</f>
        <v>209.29378504867725</v>
      </c>
      <c r="CY64" s="141">
        <f ca="1">-(CY63/unit)*Assumptions!$H$16*(SUM($O$36:OFFSET(CX36,0,-$C$37+1)))</f>
        <v>209.29378504867725</v>
      </c>
      <c r="CZ64" s="141">
        <f ca="1">-(CZ63/unit)*Assumptions!$H$16*(SUM($O$36:OFFSET(CY36,0,-$C$37+1)))</f>
        <v>209.29378504867725</v>
      </c>
      <c r="DA64" s="141">
        <f ca="1">-(DA63/unit)*Assumptions!$H$16*(SUM($O$36:OFFSET(CZ36,0,-$C$37+1)))</f>
        <v>209.29378504867725</v>
      </c>
      <c r="DB64" s="141">
        <f ca="1">-(DB63/unit)*Assumptions!$H$16*(SUM($O$36:OFFSET(DA36,0,-$C$37+1)))</f>
        <v>209.29378504867725</v>
      </c>
      <c r="DC64" s="141">
        <f ca="1">-(DC63/unit)*Assumptions!$H$16*(SUM($O$36:OFFSET(DB36,0,-$C$37+1)))</f>
        <v>209.29378504867725</v>
      </c>
      <c r="DD64" s="141">
        <f ca="1">-(DD63/unit)*Assumptions!$H$16*(SUM($O$36:OFFSET(DC36,0,-$C$37+1)))</f>
        <v>209.29378504867725</v>
      </c>
      <c r="DE64" s="141">
        <f ca="1">-(DE63/unit)*Assumptions!$H$16*(SUM($O$36:OFFSET(DD36,0,-$C$37+1)))</f>
        <v>209.29378504867725</v>
      </c>
      <c r="DF64" s="141">
        <f ca="1">-(DF63/unit)*Assumptions!$H$16*(SUM($O$36:OFFSET(DE36,0,-$C$37+1)))</f>
        <v>209.29378504867725</v>
      </c>
      <c r="DG64" s="141">
        <f ca="1">-(DG63/unit)*Assumptions!$H$16*(SUM($O$36:OFFSET(DF36,0,-$C$37+1)))</f>
        <v>209.29378504867725</v>
      </c>
      <c r="DH64" s="141">
        <f ca="1">-(DH63/unit)*Assumptions!$H$16*(SUM($O$36:OFFSET(DG36,0,-$C$37+1)))</f>
        <v>215.57259860013755</v>
      </c>
      <c r="DI64" s="141">
        <f ca="1">-(DI63/unit)*Assumptions!$H$16*(SUM($O$36:OFFSET(DH36,0,-$C$37+1)))</f>
        <v>215.57259860013755</v>
      </c>
      <c r="DJ64" s="141">
        <f ca="1">-(DJ63/unit)*Assumptions!$H$16*(SUM($O$36:OFFSET(DI36,0,-$C$37+1)))</f>
        <v>0</v>
      </c>
      <c r="DK64" s="141">
        <f ca="1">-(DK63/unit)*Assumptions!$H$16*(SUM($O$36:OFFSET(DJ36,0,-$C$37+1)))</f>
        <v>0</v>
      </c>
      <c r="DL64" s="141">
        <f ca="1">-(DL63/unit)*Assumptions!$H$16*(SUM($O$36:OFFSET(DK36,0,-$C$37+1)))</f>
        <v>0</v>
      </c>
      <c r="DM64" s="141">
        <f ca="1">-(DM63/unit)*Assumptions!$H$16*(SUM($O$36:OFFSET(DL36,0,-$C$37+1)))</f>
        <v>0</v>
      </c>
      <c r="DN64" s="141">
        <f ca="1">-(DN63/unit)*Assumptions!$H$16*(SUM($O$36:OFFSET(DM36,0,-$C$37+1)))</f>
        <v>0</v>
      </c>
      <c r="DO64" s="141">
        <f ca="1">-(DO63/unit)*Assumptions!$H$16*(SUM($O$36:OFFSET(DN36,0,-$C$37+1)))</f>
        <v>0</v>
      </c>
      <c r="DP64" s="141">
        <f ca="1">-(DP63/unit)*Assumptions!$H$16*(SUM($O$36:OFFSET(DO36,0,-$C$37+1)))</f>
        <v>0</v>
      </c>
      <c r="DQ64" s="141">
        <f ca="1">-(DQ63/unit)*Assumptions!$H$16*(SUM($O$36:OFFSET(DP36,0,-$C$37+1)))</f>
        <v>0</v>
      </c>
      <c r="DR64" s="141">
        <f ca="1">-(DR63/unit)*Assumptions!$H$16*(SUM($O$36:OFFSET(DQ36,0,-$C$37+1)))</f>
        <v>0</v>
      </c>
      <c r="DS64" s="141">
        <f ca="1">-(DS63/unit)*Assumptions!$H$16*(SUM($O$36:OFFSET(DR36,0,-$C$37+1)))</f>
        <v>0</v>
      </c>
      <c r="DT64" s="141">
        <f ca="1">-(DT63/unit)*Assumptions!$H$16*(SUM($O$36:OFFSET(DS36,0,-$C$37+1)))</f>
        <v>0</v>
      </c>
      <c r="DU64" s="141">
        <f ca="1">-(DU63/unit)*Assumptions!$H$16*(SUM($O$36:OFFSET(DT36,0,-$C$37+1)))</f>
        <v>0</v>
      </c>
      <c r="DV64" s="141">
        <f ca="1">-(DV63/unit)*Assumptions!$H$16*(SUM($O$36:OFFSET(DU36,0,-$C$37+1)))</f>
        <v>0</v>
      </c>
      <c r="DW64" s="141">
        <f ca="1">-(DW63/unit)*Assumptions!$H$16*(SUM($O$36:OFFSET(DV36,0,-$C$37+1)))</f>
        <v>0</v>
      </c>
      <c r="DX64" s="141">
        <f ca="1">-(DX63/unit)*Assumptions!$H$16*(SUM($O$36:OFFSET(DW36,0,-$C$37+1)))</f>
        <v>0</v>
      </c>
      <c r="DY64" s="141">
        <f ca="1">-(DY63/unit)*Assumptions!$H$16*(SUM($O$36:OFFSET(DX36,0,-$C$37+1)))</f>
        <v>0</v>
      </c>
      <c r="DZ64" s="141">
        <f ca="1">-(DZ63/unit)*Assumptions!$H$16*(SUM($O$36:OFFSET(DY36,0,-$C$37+1)))</f>
        <v>0</v>
      </c>
      <c r="EA64" s="141">
        <f ca="1">-(EA63/unit)*Assumptions!$H$16*(SUM($O$36:OFFSET(DZ36,0,-$C$37+1)))</f>
        <v>0</v>
      </c>
      <c r="EB64" s="141">
        <f ca="1">-(EB63/unit)*Assumptions!$H$16*(SUM($O$36:OFFSET(EA36,0,-$C$37+1)))</f>
        <v>0</v>
      </c>
      <c r="EC64" s="141">
        <f ca="1">-(EC63/unit)*Assumptions!$H$16*(SUM($O$36:OFFSET(EB36,0,-$C$37+1)))</f>
        <v>0</v>
      </c>
      <c r="ED64" s="141">
        <f ca="1">-(ED63/unit)*Assumptions!$H$16*(SUM($O$36:OFFSET(EC36,0,-$C$37+1)))</f>
        <v>0</v>
      </c>
      <c r="EE64" s="141">
        <f ca="1">-(EE63/unit)*Assumptions!$H$16*(SUM($O$36:OFFSET(ED36,0,-$C$37+1)))</f>
        <v>0</v>
      </c>
      <c r="EF64" s="141">
        <f ca="1">-(EF63/unit)*Assumptions!$H$16*(SUM($O$36:OFFSET(EE36,0,-$C$37+1)))</f>
        <v>0</v>
      </c>
      <c r="EG64" s="141">
        <f ca="1">-(EG63/unit)*Assumptions!$H$16*(SUM($O$36:OFFSET(EF36,0,-$C$37+1)))</f>
        <v>0</v>
      </c>
      <c r="EH64" s="141">
        <f ca="1">-(EH63/unit)*Assumptions!$H$16*(SUM($O$36:OFFSET(EG36,0,-$C$37+1)))</f>
        <v>0</v>
      </c>
      <c r="EI64" s="141">
        <f ca="1">-(EI63/unit)*Assumptions!$H$16*(SUM($O$36:OFFSET(EH36,0,-$C$37+1)))</f>
        <v>0</v>
      </c>
      <c r="EJ64" s="141">
        <f ca="1">-(EJ63/unit)*Assumptions!$H$16*(SUM($O$36:OFFSET(EI36,0,-$C$37+1)))</f>
        <v>0</v>
      </c>
      <c r="EK64" s="141">
        <f ca="1">-(EK63/unit)*Assumptions!$H$16*(SUM($O$36:OFFSET(EJ36,0,-$C$37+1)))</f>
        <v>0</v>
      </c>
      <c r="EL64" s="141">
        <f ca="1">-(EL63/unit)*Assumptions!$H$16*(SUM($O$36:OFFSET(EK36,0,-$C$37+1)))</f>
        <v>0</v>
      </c>
      <c r="EM64" s="141">
        <f ca="1">-(EM63/unit)*Assumptions!$H$16*(SUM($O$36:OFFSET(EL36,0,-$C$37+1)))</f>
        <v>0</v>
      </c>
      <c r="EN64" s="141">
        <f ca="1">-(EN63/unit)*Assumptions!$H$16*(SUM($O$36:OFFSET(EM36,0,-$C$37+1)))</f>
        <v>0</v>
      </c>
      <c r="EO64" s="141">
        <f ca="1">-(EO63/unit)*Assumptions!$H$16*(SUM($O$36:OFFSET(EN36,0,-$C$37+1)))</f>
        <v>0</v>
      </c>
      <c r="EP64" s="141">
        <f ca="1">-(EP63/unit)*Assumptions!$H$16*(SUM($O$36:OFFSET(EO36,0,-$C$37+1)))</f>
        <v>0</v>
      </c>
      <c r="EQ64" s="141">
        <f ca="1">-(EQ63/unit)*Assumptions!$H$16*(SUM($O$36:OFFSET(EP36,0,-$C$37+1)))</f>
        <v>0</v>
      </c>
      <c r="ES64" s="421"/>
      <c r="ET64" s="67"/>
      <c r="EU64" s="195"/>
    </row>
    <row r="65" spans="7:151" ht="15.75">
      <c r="G65" s="145"/>
      <c r="H65" s="128" t="s">
        <v>109</v>
      </c>
      <c r="I65" s="504"/>
      <c r="J65" s="505"/>
      <c r="K65" s="130"/>
      <c r="L65" s="131"/>
      <c r="M65" s="131"/>
      <c r="N65" s="225">
        <f>'Annual Cash Flow'!C40</f>
        <v>0</v>
      </c>
      <c r="O65" s="787"/>
      <c r="P65" s="102">
        <f>-Assumptions!F53/12</f>
        <v>0</v>
      </c>
      <c r="Q65" s="141">
        <f ca="1">IF(P87=0,0,1)*($P$65*(1+Assumptions!$H$69)^(Q11-1))</f>
        <v>0</v>
      </c>
      <c r="R65" s="141">
        <f ca="1">IF(Q87=0,0,1)*($P$65*(1+Assumptions!$H$69)^(R11-1))</f>
        <v>0</v>
      </c>
      <c r="S65" s="141">
        <f ca="1">IF(R87=0,0,1)*($P$65*(1+Assumptions!$H$69)^(S11-1))</f>
        <v>0</v>
      </c>
      <c r="T65" s="141">
        <f ca="1">IF(S87=0,0,1)*($P$65*(1+Assumptions!$H$69)^(T11-1))</f>
        <v>0</v>
      </c>
      <c r="U65" s="141">
        <f ca="1">IF(T87=0,0,1)*($P$65*(1+Assumptions!$H$69)^(U11-1))</f>
        <v>0</v>
      </c>
      <c r="V65" s="141">
        <f ca="1">IF(U87=0,0,1)*($P$65*(1+Assumptions!$H$69)^(V11-1))</f>
        <v>0</v>
      </c>
      <c r="W65" s="141">
        <f ca="1">IF(V87=0,0,1)*($P$65*(1+Assumptions!$H$69)^(W11-1))</f>
        <v>0</v>
      </c>
      <c r="X65" s="141">
        <f ca="1">IF(W87=0,0,1)*($P$65*(1+Assumptions!$H$69)^(X11-1))</f>
        <v>0</v>
      </c>
      <c r="Y65" s="141">
        <f ca="1">IF(X87=0,0,1)*($P$65*(1+Assumptions!$H$69)^(Y11-1))</f>
        <v>0</v>
      </c>
      <c r="Z65" s="141">
        <f ca="1">IF(Y87=0,0,1)*($P$65*(1+Assumptions!$H$69)^(Z11-1))</f>
        <v>0</v>
      </c>
      <c r="AA65" s="141">
        <f ca="1">IF(Z87=0,0,1)*($P$65*(1+Assumptions!$H$69)^(AA11-1))</f>
        <v>0</v>
      </c>
      <c r="AB65" s="141">
        <f ca="1">IF(AA87=0,0,1)*($P$65*(1+Assumptions!$H$69)^(AB11-1))</f>
        <v>0</v>
      </c>
      <c r="AC65" s="141">
        <f ca="1">IF(AB87=0,0,1)*($P$65*(1+Assumptions!$H$69)^(AC11-1))</f>
        <v>0</v>
      </c>
      <c r="AD65" s="141">
        <f ca="1">IF(AC87=0,0,1)*($P$65*(1+Assumptions!$H$69)^(AD11-1))</f>
        <v>0</v>
      </c>
      <c r="AE65" s="141">
        <f ca="1">IF(AD87=0,0,1)*($P$65*(1+Assumptions!$H$69)^(AE11-1))</f>
        <v>0</v>
      </c>
      <c r="AF65" s="141">
        <f ca="1">IF(AE87=0,0,1)*($P$65*(1+Assumptions!$H$69)^(AF11-1))</f>
        <v>0</v>
      </c>
      <c r="AG65" s="141">
        <f ca="1">IF(AF87=0,0,1)*($P$65*(1+Assumptions!$H$69)^(AG11-1))</f>
        <v>0</v>
      </c>
      <c r="AH65" s="141">
        <f ca="1">IF(AG87=0,0,1)*($P$65*(1+Assumptions!$H$69)^(AH11-1))</f>
        <v>0</v>
      </c>
      <c r="AI65" s="141">
        <f ca="1">IF(AH87=0,0,1)*($P$65*(1+Assumptions!$H$69)^(AI11-1))</f>
        <v>0</v>
      </c>
      <c r="AJ65" s="141">
        <f ca="1">IF(AI87=0,0,1)*($P$65*(1+Assumptions!$H$69)^(AJ11-1))</f>
        <v>0</v>
      </c>
      <c r="AK65" s="141">
        <f ca="1">IF(AJ87=0,0,1)*($P$65*(1+Assumptions!$H$69)^(AK11-1))</f>
        <v>0</v>
      </c>
      <c r="AL65" s="141">
        <f ca="1">IF(AK87=0,0,1)*($P$65*(1+Assumptions!$H$69)^(AL11-1))</f>
        <v>0</v>
      </c>
      <c r="AM65" s="141">
        <f ca="1">IF(AL87=0,0,1)*($P$65*(1+Assumptions!$H$69)^(AM11-1))</f>
        <v>0</v>
      </c>
      <c r="AN65" s="141">
        <f ca="1">IF(AM87=0,0,1)*($P$65*(1+Assumptions!$H$69)^(AN11-1))</f>
        <v>0</v>
      </c>
      <c r="AO65" s="141">
        <f ca="1">IF(AN87=0,0,1)*($P$65*(1+Assumptions!$H$69)^(AO11-1))</f>
        <v>0</v>
      </c>
      <c r="AP65" s="141">
        <f ca="1">IF(AO87=0,0,1)*($P$65*(1+Assumptions!$H$69)^(AP11-1))</f>
        <v>0</v>
      </c>
      <c r="AQ65" s="141">
        <f ca="1">IF(AP87=0,0,1)*($P$65*(1+Assumptions!$H$69)^(AQ11-1))</f>
        <v>0</v>
      </c>
      <c r="AR65" s="141">
        <f ca="1">IF(AQ87=0,0,1)*($P$65*(1+Assumptions!$H$69)^(AR11-1))</f>
        <v>0</v>
      </c>
      <c r="AS65" s="141">
        <f ca="1">IF(AR87=0,0,1)*($P$65*(1+Assumptions!$H$69)^(AS11-1))</f>
        <v>0</v>
      </c>
      <c r="AT65" s="141">
        <f ca="1">IF(AS87=0,0,1)*($P$65*(1+Assumptions!$H$69)^(AT11-1))</f>
        <v>0</v>
      </c>
      <c r="AU65" s="141">
        <f ca="1">IF(AT87=0,0,1)*($P$65*(1+Assumptions!$H$69)^(AU11-1))</f>
        <v>0</v>
      </c>
      <c r="AV65" s="141">
        <f ca="1">IF(AU87=0,0,1)*($P$65*(1+Assumptions!$H$69)^(AV11-1))</f>
        <v>0</v>
      </c>
      <c r="AW65" s="141">
        <f ca="1">IF(AV87=0,0,1)*($P$65*(1+Assumptions!$H$69)^(AW11-1))</f>
        <v>0</v>
      </c>
      <c r="AX65" s="141">
        <f ca="1">IF(AW87=0,0,1)*($P$65*(1+Assumptions!$H$69)^(AX11-1))</f>
        <v>0</v>
      </c>
      <c r="AY65" s="141">
        <f ca="1">IF(AX87=0,0,1)*($P$65*(1+Assumptions!$H$69)^(AY11-1))</f>
        <v>0</v>
      </c>
      <c r="AZ65" s="141">
        <f ca="1">IF(AY87=0,0,1)*($P$65*(1+Assumptions!$H$69)^(AZ11-1))</f>
        <v>0</v>
      </c>
      <c r="BA65" s="141">
        <f ca="1">IF(AZ87=0,0,1)*($P$65*(1+Assumptions!$H$69)^(BA11-1))</f>
        <v>0</v>
      </c>
      <c r="BB65" s="141">
        <f ca="1">IF(BA87=0,0,1)*($P$65*(1+Assumptions!$H$69)^(BB11-1))</f>
        <v>0</v>
      </c>
      <c r="BC65" s="141">
        <f ca="1">IF(BB87=0,0,1)*($P$65*(1+Assumptions!$H$69)^(BC11-1))</f>
        <v>0</v>
      </c>
      <c r="BD65" s="141">
        <f ca="1">IF(BC87=0,0,1)*($P$65*(1+Assumptions!$H$69)^(BD11-1))</f>
        <v>0</v>
      </c>
      <c r="BE65" s="141">
        <f ca="1">IF(BD87=0,0,1)*($P$65*(1+Assumptions!$H$69)^(BE11-1))</f>
        <v>0</v>
      </c>
      <c r="BF65" s="141">
        <f ca="1">IF(BE87=0,0,1)*($P$65*(1+Assumptions!$H$69)^(BF11-1))</f>
        <v>0</v>
      </c>
      <c r="BG65" s="141">
        <f ca="1">IF(BF87=0,0,1)*($P$65*(1+Assumptions!$H$69)^(BG11-1))</f>
        <v>0</v>
      </c>
      <c r="BH65" s="141">
        <f ca="1">IF(BG87=0,0,1)*($P$65*(1+Assumptions!$H$69)^(BH11-1))</f>
        <v>0</v>
      </c>
      <c r="BI65" s="141">
        <f ca="1">IF(BH87=0,0,1)*($P$65*(1+Assumptions!$H$69)^(BI11-1))</f>
        <v>0</v>
      </c>
      <c r="BJ65" s="141">
        <f ca="1">IF(BI87=0,0,1)*($P$65*(1+Assumptions!$H$69)^(BJ11-1))</f>
        <v>0</v>
      </c>
      <c r="BK65" s="141">
        <f ca="1">IF(BJ87=0,0,1)*($P$65*(1+Assumptions!$H$69)^(BK11-1))</f>
        <v>0</v>
      </c>
      <c r="BL65" s="141">
        <f ca="1">IF(BK87=0,0,1)*($P$65*(1+Assumptions!$H$69)^(BL11-1))</f>
        <v>0</v>
      </c>
      <c r="BM65" s="141">
        <f ca="1">IF(BL87=0,0,1)*($P$65*(1+Assumptions!$H$69)^(BM11-1))</f>
        <v>0</v>
      </c>
      <c r="BN65" s="141">
        <f ca="1">IF(BM87=0,0,1)*($P$65*(1+Assumptions!$H$69)^(BN11-1))</f>
        <v>0</v>
      </c>
      <c r="BO65" s="141">
        <f ca="1">IF(BN87=0,0,1)*($P$65*(1+Assumptions!$H$69)^(BO11-1))</f>
        <v>0</v>
      </c>
      <c r="BP65" s="141">
        <f ca="1">IF(BO87=0,0,1)*($P$65*(1+Assumptions!$H$69)^(BP11-1))</f>
        <v>0</v>
      </c>
      <c r="BQ65" s="141">
        <f ca="1">IF(BP87=0,0,1)*($P$65*(1+Assumptions!$H$69)^(BQ11-1))</f>
        <v>0</v>
      </c>
      <c r="BR65" s="141">
        <f ca="1">IF(BQ87=0,0,1)*($P$65*(1+Assumptions!$H$69)^(BR11-1))</f>
        <v>0</v>
      </c>
      <c r="BS65" s="141">
        <f ca="1">IF(BR87=0,0,1)*($P$65*(1+Assumptions!$H$69)^(BS11-1))</f>
        <v>0</v>
      </c>
      <c r="BT65" s="141">
        <f ca="1">IF(BS87=0,0,1)*($P$65*(1+Assumptions!$H$69)^(BT11-1))</f>
        <v>0</v>
      </c>
      <c r="BU65" s="141">
        <f ca="1">IF(BT87=0,0,1)*($P$65*(1+Assumptions!$H$69)^(BU11-1))</f>
        <v>0</v>
      </c>
      <c r="BV65" s="141">
        <f ca="1">IF(BU87=0,0,1)*($P$65*(1+Assumptions!$H$69)^(BV11-1))</f>
        <v>0</v>
      </c>
      <c r="BW65" s="141">
        <f ca="1">IF(BV87=0,0,1)*($P$65*(1+Assumptions!$H$69)^(BW11-1))</f>
        <v>0</v>
      </c>
      <c r="BX65" s="141">
        <f ca="1">IF(BW87=0,0,1)*($P$65*(1+Assumptions!$H$69)^(BX11-1))</f>
        <v>0</v>
      </c>
      <c r="BY65" s="141">
        <f ca="1">IF(BX87=0,0,1)*($P$65*(1+Assumptions!$H$69)^(BY11-1))</f>
        <v>0</v>
      </c>
      <c r="BZ65" s="141">
        <f ca="1">IF(BY87=0,0,1)*($P$65*(1+Assumptions!$H$69)^(BZ11-1))</f>
        <v>0</v>
      </c>
      <c r="CA65" s="141">
        <f ca="1">IF(BZ87=0,0,1)*($P$65*(1+Assumptions!$H$69)^(CA11-1))</f>
        <v>0</v>
      </c>
      <c r="CB65" s="141">
        <f ca="1">IF(CA87=0,0,1)*($P$65*(1+Assumptions!$H$69)^(CB11-1))</f>
        <v>0</v>
      </c>
      <c r="CC65" s="141">
        <f ca="1">IF(CB87=0,0,1)*($P$65*(1+Assumptions!$H$69)^(CC11-1))</f>
        <v>0</v>
      </c>
      <c r="CD65" s="141">
        <f ca="1">IF(CC87=0,0,1)*($P$65*(1+Assumptions!$H$69)^(CD11-1))</f>
        <v>0</v>
      </c>
      <c r="CE65" s="141">
        <f ca="1">IF(CD87=0,0,1)*($P$65*(1+Assumptions!$H$69)^(CE11-1))</f>
        <v>0</v>
      </c>
      <c r="CF65" s="141">
        <f ca="1">IF(CE87=0,0,1)*($P$65*(1+Assumptions!$H$69)^(CF11-1))</f>
        <v>0</v>
      </c>
      <c r="CG65" s="141">
        <f ca="1">IF(CF87=0,0,1)*($P$65*(1+Assumptions!$H$69)^(CG11-1))</f>
        <v>0</v>
      </c>
      <c r="CH65" s="141">
        <f ca="1">IF(CG87=0,0,1)*($P$65*(1+Assumptions!$H$69)^(CH11-1))</f>
        <v>0</v>
      </c>
      <c r="CI65" s="141">
        <f ca="1">IF(CH87=0,0,1)*($P$65*(1+Assumptions!$H$69)^(CI11-1))</f>
        <v>0</v>
      </c>
      <c r="CJ65" s="141">
        <f ca="1">IF(CI87=0,0,1)*($P$65*(1+Assumptions!$H$69)^(CJ11-1))</f>
        <v>0</v>
      </c>
      <c r="CK65" s="141">
        <f ca="1">IF(CJ87=0,0,1)*($P$65*(1+Assumptions!$H$69)^(CK11-1))</f>
        <v>0</v>
      </c>
      <c r="CL65" s="141">
        <f ca="1">IF(CK87=0,0,1)*($P$65*(1+Assumptions!$H$69)^(CL11-1))</f>
        <v>0</v>
      </c>
      <c r="CM65" s="141">
        <f ca="1">IF(CL87=0,0,1)*($P$65*(1+Assumptions!$H$69)^(CM11-1))</f>
        <v>0</v>
      </c>
      <c r="CN65" s="141">
        <f ca="1">IF(CM87=0,0,1)*($P$65*(1+Assumptions!$H$69)^(CN11-1))</f>
        <v>0</v>
      </c>
      <c r="CO65" s="141">
        <f ca="1">IF(CN87=0,0,1)*($P$65*(1+Assumptions!$H$69)^(CO11-1))</f>
        <v>0</v>
      </c>
      <c r="CP65" s="141">
        <f ca="1">IF(CO87=0,0,1)*($P$65*(1+Assumptions!$H$69)^(CP11-1))</f>
        <v>0</v>
      </c>
      <c r="CQ65" s="141">
        <f ca="1">IF(CP87=0,0,1)*($P$65*(1+Assumptions!$H$69)^(CQ11-1))</f>
        <v>0</v>
      </c>
      <c r="CR65" s="141">
        <f ca="1">IF(CQ87=0,0,1)*($P$65*(1+Assumptions!$H$69)^(CR11-1))</f>
        <v>0</v>
      </c>
      <c r="CS65" s="141">
        <f ca="1">IF(CR87=0,0,1)*($P$65*(1+Assumptions!$H$69)^(CS11-1))</f>
        <v>0</v>
      </c>
      <c r="CT65" s="141">
        <f ca="1">IF(CS87=0,0,1)*($P$65*(1+Assumptions!$H$69)^(CT11-1))</f>
        <v>0</v>
      </c>
      <c r="CU65" s="141">
        <f ca="1">IF(CT87=0,0,1)*($P$65*(1+Assumptions!$H$69)^(CU11-1))</f>
        <v>0</v>
      </c>
      <c r="CV65" s="141">
        <f ca="1">IF(CU87=0,0,1)*($P$65*(1+Assumptions!$H$69)^(CV11-1))</f>
        <v>0</v>
      </c>
      <c r="CW65" s="141">
        <f ca="1">IF(CV87=0,0,1)*($P$65*(1+Assumptions!$H$69)^(CW11-1))</f>
        <v>0</v>
      </c>
      <c r="CX65" s="141">
        <f ca="1">IF(CW87=0,0,1)*($P$65*(1+Assumptions!$H$69)^(CX11-1))</f>
        <v>0</v>
      </c>
      <c r="CY65" s="141">
        <f ca="1">IF(CX87=0,0,1)*($P$65*(1+Assumptions!$H$69)^(CY11-1))</f>
        <v>0</v>
      </c>
      <c r="CZ65" s="141">
        <f ca="1">IF(CY87=0,0,1)*($P$65*(1+Assumptions!$H$69)^(CZ11-1))</f>
        <v>0</v>
      </c>
      <c r="DA65" s="141">
        <f ca="1">IF(CZ87=0,0,1)*($P$65*(1+Assumptions!$H$69)^(DA11-1))</f>
        <v>0</v>
      </c>
      <c r="DB65" s="141">
        <f ca="1">IF(DA87=0,0,1)*($P$65*(1+Assumptions!$H$69)^(DB11-1))</f>
        <v>0</v>
      </c>
      <c r="DC65" s="141">
        <f ca="1">IF(DB87=0,0,1)*($P$65*(1+Assumptions!$H$69)^(DC11-1))</f>
        <v>0</v>
      </c>
      <c r="DD65" s="141">
        <f ca="1">IF(DC87=0,0,1)*($P$65*(1+Assumptions!$H$69)^(DD11-1))</f>
        <v>0</v>
      </c>
      <c r="DE65" s="141">
        <f ca="1">IF(DD87=0,0,1)*($P$65*(1+Assumptions!$H$69)^(DE11-1))</f>
        <v>0</v>
      </c>
      <c r="DF65" s="141">
        <f ca="1">IF(DE87=0,0,1)*($P$65*(1+Assumptions!$H$69)^(DF11-1))</f>
        <v>0</v>
      </c>
      <c r="DG65" s="141">
        <f ca="1">IF(DF87=0,0,1)*($P$65*(1+Assumptions!$H$69)^(DG11-1))</f>
        <v>0</v>
      </c>
      <c r="DH65" s="141">
        <f ca="1">IF(DG87=0,0,1)*($P$65*(1+Assumptions!$H$69)^(DH11-1))</f>
        <v>0</v>
      </c>
      <c r="DI65" s="141">
        <f ca="1">IF(DH87=0,0,1)*($P$65*(1+Assumptions!$H$69)^(DI11-1))</f>
        <v>0</v>
      </c>
      <c r="DJ65" s="141">
        <f>IF(DI87=0,0,1)*($P$65*(1+Assumptions!$H$69)^(DJ11-1))</f>
        <v>0</v>
      </c>
      <c r="DK65" s="141">
        <f>IF(DJ87=0,0,1)*($P$65*(1+Assumptions!$H$69)^(DK11-1))</f>
        <v>0</v>
      </c>
      <c r="DL65" s="141">
        <f>IF(DK87=0,0,1)*($P$65*(1+Assumptions!$H$69)^(DL11-1))</f>
        <v>0</v>
      </c>
      <c r="DM65" s="141">
        <f>IF(DL87=0,0,1)*($P$65*(1+Assumptions!$H$69)^(DM11-1))</f>
        <v>0</v>
      </c>
      <c r="DN65" s="141">
        <f>IF(DM87=0,0,1)*($P$65*(1+Assumptions!$H$69)^(DN11-1))</f>
        <v>0</v>
      </c>
      <c r="DO65" s="141">
        <f>IF(DN87=0,0,1)*($P$65*(1+Assumptions!$H$69)^(DO11-1))</f>
        <v>0</v>
      </c>
      <c r="DP65" s="141">
        <f>IF(DO87=0,0,1)*($P$65*(1+Assumptions!$H$69)^(DP11-1))</f>
        <v>0</v>
      </c>
      <c r="DQ65" s="141">
        <f>IF(DP87=0,0,1)*($P$65*(1+Assumptions!$H$69)^(DQ11-1))</f>
        <v>0</v>
      </c>
      <c r="DR65" s="141">
        <f>IF(DQ87=0,0,1)*($P$65*(1+Assumptions!$H$69)^(DR11-1))</f>
        <v>0</v>
      </c>
      <c r="DS65" s="141">
        <f>IF(DR87=0,0,1)*($P$65*(1+Assumptions!$H$69)^(DS11-1))</f>
        <v>0</v>
      </c>
      <c r="DT65" s="141">
        <f>IF(DS87=0,0,1)*($P$65*(1+Assumptions!$H$69)^(DT11-1))</f>
        <v>0</v>
      </c>
      <c r="DU65" s="141">
        <f>IF(DT87=0,0,1)*($P$65*(1+Assumptions!$H$69)^(DU11-1))</f>
        <v>0</v>
      </c>
      <c r="DV65" s="141">
        <f>IF(DU87=0,0,1)*($P$65*(1+Assumptions!$H$69)^(DV11-1))</f>
        <v>0</v>
      </c>
      <c r="DW65" s="141">
        <f>IF(DV87=0,0,1)*($P$65*(1+Assumptions!$H$69)^(DW11-1))</f>
        <v>0</v>
      </c>
      <c r="DX65" s="141">
        <f>IF(DW87=0,0,1)*($P$65*(1+Assumptions!$H$69)^(DX11-1))</f>
        <v>0</v>
      </c>
      <c r="DY65" s="141">
        <f>IF(DX87=0,0,1)*($P$65*(1+Assumptions!$H$69)^(DY11-1))</f>
        <v>0</v>
      </c>
      <c r="DZ65" s="141">
        <f>IF(DY87=0,0,1)*($P$65*(1+Assumptions!$H$69)^(DZ11-1))</f>
        <v>0</v>
      </c>
      <c r="EA65" s="141">
        <f>IF(DZ87=0,0,1)*($P$65*(1+Assumptions!$H$69)^(EA11-1))</f>
        <v>0</v>
      </c>
      <c r="EB65" s="141">
        <f>IF(EA87=0,0,1)*($P$65*(1+Assumptions!$H$69)^(EB11-1))</f>
        <v>0</v>
      </c>
      <c r="EC65" s="141">
        <f>IF(EB87=0,0,1)*($P$65*(1+Assumptions!$H$69)^(EC11-1))</f>
        <v>0</v>
      </c>
      <c r="ED65" s="141">
        <f>IF(EC87=0,0,1)*($P$65*(1+Assumptions!$H$69)^(ED11-1))</f>
        <v>0</v>
      </c>
      <c r="EE65" s="141">
        <f>IF(ED87=0,0,1)*($P$65*(1+Assumptions!$H$69)^(EE11-1))</f>
        <v>0</v>
      </c>
      <c r="EF65" s="141">
        <f>IF(EE87=0,0,1)*($P$65*(1+Assumptions!$H$69)^(EF11-1))</f>
        <v>0</v>
      </c>
      <c r="EG65" s="141">
        <f>IF(EF87=0,0,1)*($P$65*(1+Assumptions!$H$69)^(EG11-1))</f>
        <v>0</v>
      </c>
      <c r="EH65" s="141">
        <f>IF(EG87=0,0,1)*($P$65*(1+Assumptions!$H$69)^(EH11-1))</f>
        <v>0</v>
      </c>
      <c r="EI65" s="141">
        <f>IF(EH87=0,0,1)*($P$65*(1+Assumptions!$H$69)^(EI11-1))</f>
        <v>0</v>
      </c>
      <c r="EJ65" s="141">
        <f>IF(EI87=0,0,1)*($P$65*(1+Assumptions!$H$69)^(EJ11-1))</f>
        <v>0</v>
      </c>
      <c r="EK65" s="141">
        <f>IF(EJ87=0,0,1)*($P$65*(1+Assumptions!$H$69)^(EK11-1))</f>
        <v>0</v>
      </c>
      <c r="EL65" s="141">
        <f>IF(EK87=0,0,1)*($P$65*(1+Assumptions!$H$69)^(EL11-1))</f>
        <v>0</v>
      </c>
      <c r="EM65" s="141">
        <f>IF(EL87=0,0,1)*($P$65*(1+Assumptions!$H$69)^(EM11-1))</f>
        <v>0</v>
      </c>
      <c r="EN65" s="141">
        <f>IF(EM87=0,0,1)*($P$65*(1+Assumptions!$H$69)^(EN11-1))</f>
        <v>0</v>
      </c>
      <c r="EO65" s="141">
        <f>IF(EN87=0,0,1)*($P$65*(1+Assumptions!$H$69)^(EO11-1))</f>
        <v>0</v>
      </c>
      <c r="EP65" s="141">
        <f>IF(EO87=0,0,1)*($P$65*(1+Assumptions!$H$69)^(EP11-1))</f>
        <v>0</v>
      </c>
      <c r="EQ65" s="141">
        <f>IF(EP87=0,0,1)*($P$65*(1+Assumptions!$H$69)^(EQ11-1))</f>
        <v>0</v>
      </c>
      <c r="ES65" s="421"/>
      <c r="ET65" s="63"/>
      <c r="EU65" s="98"/>
    </row>
    <row r="66" spans="7:151" ht="15.75">
      <c r="G66" s="145"/>
      <c r="H66" s="128" t="s">
        <v>113</v>
      </c>
      <c r="I66" s="504"/>
      <c r="J66" s="505"/>
      <c r="K66" s="130"/>
      <c r="L66" s="131"/>
      <c r="M66" s="131"/>
      <c r="N66" s="225">
        <f>'Annual Cash Flow'!C41</f>
        <v>0</v>
      </c>
      <c r="O66" s="787"/>
      <c r="P66" s="102">
        <f>-Assumptions!F54/12</f>
        <v>0</v>
      </c>
      <c r="Q66" s="141">
        <f ca="1">IF(P87=0,0,1)*($P$66*(1+Assumptions!$H$69)^(Q11-1))</f>
        <v>0</v>
      </c>
      <c r="R66" s="141">
        <f ca="1">IF(Q87=0,0,1)*($P$66*(1+Assumptions!$H$69)^(R11-1))</f>
        <v>0</v>
      </c>
      <c r="S66" s="141">
        <f ca="1">IF(R87=0,0,1)*($P$66*(1+Assumptions!$H$69)^(S11-1))</f>
        <v>0</v>
      </c>
      <c r="T66" s="141">
        <f ca="1">IF(S87=0,0,1)*($P$66*(1+Assumptions!$H$69)^(T11-1))</f>
        <v>0</v>
      </c>
      <c r="U66" s="141">
        <f ca="1">IF(T87=0,0,1)*($P$66*(1+Assumptions!$H$69)^(U11-1))</f>
        <v>0</v>
      </c>
      <c r="V66" s="141">
        <f ca="1">IF(U87=0,0,1)*($P$66*(1+Assumptions!$H$69)^(V11-1))</f>
        <v>0</v>
      </c>
      <c r="W66" s="141">
        <f ca="1">IF(V87=0,0,1)*($P$66*(1+Assumptions!$H$69)^(W11-1))</f>
        <v>0</v>
      </c>
      <c r="X66" s="141">
        <f ca="1">IF(W87=0,0,1)*($P$66*(1+Assumptions!$H$69)^(X11-1))</f>
        <v>0</v>
      </c>
      <c r="Y66" s="141">
        <f ca="1">IF(X87=0,0,1)*($P$66*(1+Assumptions!$H$69)^(Y11-1))</f>
        <v>0</v>
      </c>
      <c r="Z66" s="141">
        <f ca="1">IF(Y87=0,0,1)*($P$66*(1+Assumptions!$H$69)^(Z11-1))</f>
        <v>0</v>
      </c>
      <c r="AA66" s="141">
        <f ca="1">IF(Z87=0,0,1)*($P$66*(1+Assumptions!$H$69)^(AA11-1))</f>
        <v>0</v>
      </c>
      <c r="AB66" s="141">
        <f ca="1">IF(AA87=0,0,1)*($P$66*(1+Assumptions!$H$69)^(AB11-1))</f>
        <v>0</v>
      </c>
      <c r="AC66" s="141">
        <f ca="1">IF(AB87=0,0,1)*($P$66*(1+Assumptions!$H$69)^(AC11-1))</f>
        <v>0</v>
      </c>
      <c r="AD66" s="141">
        <f ca="1">IF(AC87=0,0,1)*($P$66*(1+Assumptions!$H$69)^(AD11-1))</f>
        <v>0</v>
      </c>
      <c r="AE66" s="141">
        <f ca="1">IF(AD87=0,0,1)*($P$66*(1+Assumptions!$H$69)^(AE11-1))</f>
        <v>0</v>
      </c>
      <c r="AF66" s="141">
        <f ca="1">IF(AE87=0,0,1)*($P$66*(1+Assumptions!$H$69)^(AF11-1))</f>
        <v>0</v>
      </c>
      <c r="AG66" s="141">
        <f ca="1">IF(AF87=0,0,1)*($P$66*(1+Assumptions!$H$69)^(AG11-1))</f>
        <v>0</v>
      </c>
      <c r="AH66" s="141">
        <f ca="1">IF(AG87=0,0,1)*($P$66*(1+Assumptions!$H$69)^(AH11-1))</f>
        <v>0</v>
      </c>
      <c r="AI66" s="141">
        <f ca="1">IF(AH87=0,0,1)*($P$66*(1+Assumptions!$H$69)^(AI11-1))</f>
        <v>0</v>
      </c>
      <c r="AJ66" s="141">
        <f ca="1">IF(AI87=0,0,1)*($P$66*(1+Assumptions!$H$69)^(AJ11-1))</f>
        <v>0</v>
      </c>
      <c r="AK66" s="141">
        <f ca="1">IF(AJ87=0,0,1)*($P$66*(1+Assumptions!$H$69)^(AK11-1))</f>
        <v>0</v>
      </c>
      <c r="AL66" s="141">
        <f ca="1">IF(AK87=0,0,1)*($P$66*(1+Assumptions!$H$69)^(AL11-1))</f>
        <v>0</v>
      </c>
      <c r="AM66" s="141">
        <f ca="1">IF(AL87=0,0,1)*($P$66*(1+Assumptions!$H$69)^(AM11-1))</f>
        <v>0</v>
      </c>
      <c r="AN66" s="141">
        <f ca="1">IF(AM87=0,0,1)*($P$66*(1+Assumptions!$H$69)^(AN11-1))</f>
        <v>0</v>
      </c>
      <c r="AO66" s="141">
        <f ca="1">IF(AN87=0,0,1)*($P$66*(1+Assumptions!$H$69)^(AO11-1))</f>
        <v>0</v>
      </c>
      <c r="AP66" s="141">
        <f ca="1">IF(AO87=0,0,1)*($P$66*(1+Assumptions!$H$69)^(AP11-1))</f>
        <v>0</v>
      </c>
      <c r="AQ66" s="141">
        <f ca="1">IF(AP87=0,0,1)*($P$66*(1+Assumptions!$H$69)^(AQ11-1))</f>
        <v>0</v>
      </c>
      <c r="AR66" s="141">
        <f ca="1">IF(AQ87=0,0,1)*($P$66*(1+Assumptions!$H$69)^(AR11-1))</f>
        <v>0</v>
      </c>
      <c r="AS66" s="141">
        <f ca="1">IF(AR87=0,0,1)*($P$66*(1+Assumptions!$H$69)^(AS11-1))</f>
        <v>0</v>
      </c>
      <c r="AT66" s="141">
        <f ca="1">IF(AS87=0,0,1)*($P$66*(1+Assumptions!$H$69)^(AT11-1))</f>
        <v>0</v>
      </c>
      <c r="AU66" s="141">
        <f ca="1">IF(AT87=0,0,1)*($P$66*(1+Assumptions!$H$69)^(AU11-1))</f>
        <v>0</v>
      </c>
      <c r="AV66" s="141">
        <f ca="1">IF(AU87=0,0,1)*($P$66*(1+Assumptions!$H$69)^(AV11-1))</f>
        <v>0</v>
      </c>
      <c r="AW66" s="141">
        <f ca="1">IF(AV87=0,0,1)*($P$66*(1+Assumptions!$H$69)^(AW11-1))</f>
        <v>0</v>
      </c>
      <c r="AX66" s="141">
        <f ca="1">IF(AW87=0,0,1)*($P$66*(1+Assumptions!$H$69)^(AX11-1))</f>
        <v>0</v>
      </c>
      <c r="AY66" s="141">
        <f ca="1">IF(AX87=0,0,1)*($P$66*(1+Assumptions!$H$69)^(AY11-1))</f>
        <v>0</v>
      </c>
      <c r="AZ66" s="141">
        <f ca="1">IF(AY87=0,0,1)*($P$66*(1+Assumptions!$H$69)^(AZ11-1))</f>
        <v>0</v>
      </c>
      <c r="BA66" s="141">
        <f ca="1">IF(AZ87=0,0,1)*($P$66*(1+Assumptions!$H$69)^(BA11-1))</f>
        <v>0</v>
      </c>
      <c r="BB66" s="141">
        <f ca="1">IF(BA87=0,0,1)*($P$66*(1+Assumptions!$H$69)^(BB11-1))</f>
        <v>0</v>
      </c>
      <c r="BC66" s="141">
        <f ca="1">IF(BB87=0,0,1)*($P$66*(1+Assumptions!$H$69)^(BC11-1))</f>
        <v>0</v>
      </c>
      <c r="BD66" s="141">
        <f ca="1">IF(BC87=0,0,1)*($P$66*(1+Assumptions!$H$69)^(BD11-1))</f>
        <v>0</v>
      </c>
      <c r="BE66" s="141">
        <f ca="1">IF(BD87=0,0,1)*($P$66*(1+Assumptions!$H$69)^(BE11-1))</f>
        <v>0</v>
      </c>
      <c r="BF66" s="141">
        <f ca="1">IF(BE87=0,0,1)*($P$66*(1+Assumptions!$H$69)^(BF11-1))</f>
        <v>0</v>
      </c>
      <c r="BG66" s="141">
        <f ca="1">IF(BF87=0,0,1)*($P$66*(1+Assumptions!$H$69)^(BG11-1))</f>
        <v>0</v>
      </c>
      <c r="BH66" s="141">
        <f ca="1">IF(BG87=0,0,1)*($P$66*(1+Assumptions!$H$69)^(BH11-1))</f>
        <v>0</v>
      </c>
      <c r="BI66" s="141">
        <f ca="1">IF(BH87=0,0,1)*($P$66*(1+Assumptions!$H$69)^(BI11-1))</f>
        <v>0</v>
      </c>
      <c r="BJ66" s="141">
        <f ca="1">IF(BI87=0,0,1)*($P$66*(1+Assumptions!$H$69)^(BJ11-1))</f>
        <v>0</v>
      </c>
      <c r="BK66" s="141">
        <f ca="1">IF(BJ87=0,0,1)*($P$66*(1+Assumptions!$H$69)^(BK11-1))</f>
        <v>0</v>
      </c>
      <c r="BL66" s="141">
        <f ca="1">IF(BK87=0,0,1)*($P$66*(1+Assumptions!$H$69)^(BL11-1))</f>
        <v>0</v>
      </c>
      <c r="BM66" s="141">
        <f ca="1">IF(BL87=0,0,1)*($P$66*(1+Assumptions!$H$69)^(BM11-1))</f>
        <v>0</v>
      </c>
      <c r="BN66" s="141">
        <f ca="1">IF(BM87=0,0,1)*($P$66*(1+Assumptions!$H$69)^(BN11-1))</f>
        <v>0</v>
      </c>
      <c r="BO66" s="141">
        <f ca="1">IF(BN87=0,0,1)*($P$66*(1+Assumptions!$H$69)^(BO11-1))</f>
        <v>0</v>
      </c>
      <c r="BP66" s="141">
        <f ca="1">IF(BO87=0,0,1)*($P$66*(1+Assumptions!$H$69)^(BP11-1))</f>
        <v>0</v>
      </c>
      <c r="BQ66" s="141">
        <f ca="1">IF(BP87=0,0,1)*($P$66*(1+Assumptions!$H$69)^(BQ11-1))</f>
        <v>0</v>
      </c>
      <c r="BR66" s="141">
        <f ca="1">IF(BQ87=0,0,1)*($P$66*(1+Assumptions!$H$69)^(BR11-1))</f>
        <v>0</v>
      </c>
      <c r="BS66" s="141">
        <f ca="1">IF(BR87=0,0,1)*($P$66*(1+Assumptions!$H$69)^(BS11-1))</f>
        <v>0</v>
      </c>
      <c r="BT66" s="141">
        <f ca="1">IF(BS87=0,0,1)*($P$66*(1+Assumptions!$H$69)^(BT11-1))</f>
        <v>0</v>
      </c>
      <c r="BU66" s="141">
        <f ca="1">IF(BT87=0,0,1)*($P$66*(1+Assumptions!$H$69)^(BU11-1))</f>
        <v>0</v>
      </c>
      <c r="BV66" s="141">
        <f ca="1">IF(BU87=0,0,1)*($P$66*(1+Assumptions!$H$69)^(BV11-1))</f>
        <v>0</v>
      </c>
      <c r="BW66" s="141">
        <f ca="1">IF(BV87=0,0,1)*($P$66*(1+Assumptions!$H$69)^(BW11-1))</f>
        <v>0</v>
      </c>
      <c r="BX66" s="141">
        <f ca="1">IF(BW87=0,0,1)*($P$66*(1+Assumptions!$H$69)^(BX11-1))</f>
        <v>0</v>
      </c>
      <c r="BY66" s="141">
        <f ca="1">IF(BX87=0,0,1)*($P$66*(1+Assumptions!$H$69)^(BY11-1))</f>
        <v>0</v>
      </c>
      <c r="BZ66" s="141">
        <f ca="1">IF(BY87=0,0,1)*($P$66*(1+Assumptions!$H$69)^(BZ11-1))</f>
        <v>0</v>
      </c>
      <c r="CA66" s="141">
        <f ca="1">IF(BZ87=0,0,1)*($P$66*(1+Assumptions!$H$69)^(CA11-1))</f>
        <v>0</v>
      </c>
      <c r="CB66" s="141">
        <f ca="1">IF(CA87=0,0,1)*($P$66*(1+Assumptions!$H$69)^(CB11-1))</f>
        <v>0</v>
      </c>
      <c r="CC66" s="141">
        <f ca="1">IF(CB87=0,0,1)*($P$66*(1+Assumptions!$H$69)^(CC11-1))</f>
        <v>0</v>
      </c>
      <c r="CD66" s="141">
        <f ca="1">IF(CC87=0,0,1)*($P$66*(1+Assumptions!$H$69)^(CD11-1))</f>
        <v>0</v>
      </c>
      <c r="CE66" s="141">
        <f ca="1">IF(CD87=0,0,1)*($P$66*(1+Assumptions!$H$69)^(CE11-1))</f>
        <v>0</v>
      </c>
      <c r="CF66" s="141">
        <f ca="1">IF(CE87=0,0,1)*($P$66*(1+Assumptions!$H$69)^(CF11-1))</f>
        <v>0</v>
      </c>
      <c r="CG66" s="141">
        <f ca="1">IF(CF87=0,0,1)*($P$66*(1+Assumptions!$H$69)^(CG11-1))</f>
        <v>0</v>
      </c>
      <c r="CH66" s="141">
        <f ca="1">IF(CG87=0,0,1)*($P$66*(1+Assumptions!$H$69)^(CH11-1))</f>
        <v>0</v>
      </c>
      <c r="CI66" s="141">
        <f ca="1">IF(CH87=0,0,1)*($P$66*(1+Assumptions!$H$69)^(CI11-1))</f>
        <v>0</v>
      </c>
      <c r="CJ66" s="141">
        <f ca="1">IF(CI87=0,0,1)*($P$66*(1+Assumptions!$H$69)^(CJ11-1))</f>
        <v>0</v>
      </c>
      <c r="CK66" s="141">
        <f ca="1">IF(CJ87=0,0,1)*($P$66*(1+Assumptions!$H$69)^(CK11-1))</f>
        <v>0</v>
      </c>
      <c r="CL66" s="141">
        <f ca="1">IF(CK87=0,0,1)*($P$66*(1+Assumptions!$H$69)^(CL11-1))</f>
        <v>0</v>
      </c>
      <c r="CM66" s="141">
        <f ca="1">IF(CL87=0,0,1)*($P$66*(1+Assumptions!$H$69)^(CM11-1))</f>
        <v>0</v>
      </c>
      <c r="CN66" s="141">
        <f ca="1">IF(CM87=0,0,1)*($P$66*(1+Assumptions!$H$69)^(CN11-1))</f>
        <v>0</v>
      </c>
      <c r="CO66" s="141">
        <f ca="1">IF(CN87=0,0,1)*($P$66*(1+Assumptions!$H$69)^(CO11-1))</f>
        <v>0</v>
      </c>
      <c r="CP66" s="141">
        <f ca="1">IF(CO87=0,0,1)*($P$66*(1+Assumptions!$H$69)^(CP11-1))</f>
        <v>0</v>
      </c>
      <c r="CQ66" s="141">
        <f ca="1">IF(CP87=0,0,1)*($P$66*(1+Assumptions!$H$69)^(CQ11-1))</f>
        <v>0</v>
      </c>
      <c r="CR66" s="141">
        <f ca="1">IF(CQ87=0,0,1)*($P$66*(1+Assumptions!$H$69)^(CR11-1))</f>
        <v>0</v>
      </c>
      <c r="CS66" s="141">
        <f ca="1">IF(CR87=0,0,1)*($P$66*(1+Assumptions!$H$69)^(CS11-1))</f>
        <v>0</v>
      </c>
      <c r="CT66" s="141">
        <f ca="1">IF(CS87=0,0,1)*($P$66*(1+Assumptions!$H$69)^(CT11-1))</f>
        <v>0</v>
      </c>
      <c r="CU66" s="141">
        <f ca="1">IF(CT87=0,0,1)*($P$66*(1+Assumptions!$H$69)^(CU11-1))</f>
        <v>0</v>
      </c>
      <c r="CV66" s="141">
        <f ca="1">IF(CU87=0,0,1)*($P$66*(1+Assumptions!$H$69)^(CV11-1))</f>
        <v>0</v>
      </c>
      <c r="CW66" s="141">
        <f ca="1">IF(CV87=0,0,1)*($P$66*(1+Assumptions!$H$69)^(CW11-1))</f>
        <v>0</v>
      </c>
      <c r="CX66" s="141">
        <f ca="1">IF(CW87=0,0,1)*($P$66*(1+Assumptions!$H$69)^(CX11-1))</f>
        <v>0</v>
      </c>
      <c r="CY66" s="141">
        <f ca="1">IF(CX87=0,0,1)*($P$66*(1+Assumptions!$H$69)^(CY11-1))</f>
        <v>0</v>
      </c>
      <c r="CZ66" s="141">
        <f ca="1">IF(CY87=0,0,1)*($P$66*(1+Assumptions!$H$69)^(CZ11-1))</f>
        <v>0</v>
      </c>
      <c r="DA66" s="141">
        <f ca="1">IF(CZ87=0,0,1)*($P$66*(1+Assumptions!$H$69)^(DA11-1))</f>
        <v>0</v>
      </c>
      <c r="DB66" s="141">
        <f ca="1">IF(DA87=0,0,1)*($P$66*(1+Assumptions!$H$69)^(DB11-1))</f>
        <v>0</v>
      </c>
      <c r="DC66" s="141">
        <f ca="1">IF(DB87=0,0,1)*($P$66*(1+Assumptions!$H$69)^(DC11-1))</f>
        <v>0</v>
      </c>
      <c r="DD66" s="141">
        <f ca="1">IF(DC87=0,0,1)*($P$66*(1+Assumptions!$H$69)^(DD11-1))</f>
        <v>0</v>
      </c>
      <c r="DE66" s="141">
        <f ca="1">IF(DD87=0,0,1)*($P$66*(1+Assumptions!$H$69)^(DE11-1))</f>
        <v>0</v>
      </c>
      <c r="DF66" s="141">
        <f ca="1">IF(DE87=0,0,1)*($P$66*(1+Assumptions!$H$69)^(DF11-1))</f>
        <v>0</v>
      </c>
      <c r="DG66" s="141">
        <f ca="1">IF(DF87=0,0,1)*($P$66*(1+Assumptions!$H$69)^(DG11-1))</f>
        <v>0</v>
      </c>
      <c r="DH66" s="141">
        <f ca="1">IF(DG87=0,0,1)*($P$66*(1+Assumptions!$H$69)^(DH11-1))</f>
        <v>0</v>
      </c>
      <c r="DI66" s="141">
        <f ca="1">IF(DH87=0,0,1)*($P$66*(1+Assumptions!$H$69)^(DI11-1))</f>
        <v>0</v>
      </c>
      <c r="DJ66" s="141">
        <f>IF(DI87=0,0,1)*($P$66*(1+Assumptions!$H$69)^(DJ11-1))</f>
        <v>0</v>
      </c>
      <c r="DK66" s="141">
        <f>IF(DJ87=0,0,1)*($P$66*(1+Assumptions!$H$69)^(DK11-1))</f>
        <v>0</v>
      </c>
      <c r="DL66" s="141">
        <f>IF(DK87=0,0,1)*($P$66*(1+Assumptions!$H$69)^(DL11-1))</f>
        <v>0</v>
      </c>
      <c r="DM66" s="141">
        <f>IF(DL87=0,0,1)*($P$66*(1+Assumptions!$H$69)^(DM11-1))</f>
        <v>0</v>
      </c>
      <c r="DN66" s="141">
        <f>IF(DM87=0,0,1)*($P$66*(1+Assumptions!$H$69)^(DN11-1))</f>
        <v>0</v>
      </c>
      <c r="DO66" s="141">
        <f>IF(DN87=0,0,1)*($P$66*(1+Assumptions!$H$69)^(DO11-1))</f>
        <v>0</v>
      </c>
      <c r="DP66" s="141">
        <f>IF(DO87=0,0,1)*($P$66*(1+Assumptions!$H$69)^(DP11-1))</f>
        <v>0</v>
      </c>
      <c r="DQ66" s="141">
        <f>IF(DP87=0,0,1)*($P$66*(1+Assumptions!$H$69)^(DQ11-1))</f>
        <v>0</v>
      </c>
      <c r="DR66" s="141">
        <f>IF(DQ87=0,0,1)*($P$66*(1+Assumptions!$H$69)^(DR11-1))</f>
        <v>0</v>
      </c>
      <c r="DS66" s="141">
        <f>IF(DR87=0,0,1)*($P$66*(1+Assumptions!$H$69)^(DS11-1))</f>
        <v>0</v>
      </c>
      <c r="DT66" s="141">
        <f>IF(DS87=0,0,1)*($P$66*(1+Assumptions!$H$69)^(DT11-1))</f>
        <v>0</v>
      </c>
      <c r="DU66" s="141">
        <f>IF(DT87=0,0,1)*($P$66*(1+Assumptions!$H$69)^(DU11-1))</f>
        <v>0</v>
      </c>
      <c r="DV66" s="141">
        <f>IF(DU87=0,0,1)*($P$66*(1+Assumptions!$H$69)^(DV11-1))</f>
        <v>0</v>
      </c>
      <c r="DW66" s="141">
        <f>IF(DV87=0,0,1)*($P$66*(1+Assumptions!$H$69)^(DW11-1))</f>
        <v>0</v>
      </c>
      <c r="DX66" s="141">
        <f>IF(DW87=0,0,1)*($P$66*(1+Assumptions!$H$69)^(DX11-1))</f>
        <v>0</v>
      </c>
      <c r="DY66" s="141">
        <f>IF(DX87=0,0,1)*($P$66*(1+Assumptions!$H$69)^(DY11-1))</f>
        <v>0</v>
      </c>
      <c r="DZ66" s="141">
        <f>IF(DY87=0,0,1)*($P$66*(1+Assumptions!$H$69)^(DZ11-1))</f>
        <v>0</v>
      </c>
      <c r="EA66" s="141">
        <f>IF(DZ87=0,0,1)*($P$66*(1+Assumptions!$H$69)^(EA11-1))</f>
        <v>0</v>
      </c>
      <c r="EB66" s="141">
        <f>IF(EA87=0,0,1)*($P$66*(1+Assumptions!$H$69)^(EB11-1))</f>
        <v>0</v>
      </c>
      <c r="EC66" s="141">
        <f>IF(EB87=0,0,1)*($P$66*(1+Assumptions!$H$69)^(EC11-1))</f>
        <v>0</v>
      </c>
      <c r="ED66" s="141">
        <f>IF(EC87=0,0,1)*($P$66*(1+Assumptions!$H$69)^(ED11-1))</f>
        <v>0</v>
      </c>
      <c r="EE66" s="141">
        <f>IF(ED87=0,0,1)*($P$66*(1+Assumptions!$H$69)^(EE11-1))</f>
        <v>0</v>
      </c>
      <c r="EF66" s="141">
        <f>IF(EE87=0,0,1)*($P$66*(1+Assumptions!$H$69)^(EF11-1))</f>
        <v>0</v>
      </c>
      <c r="EG66" s="141">
        <f>IF(EF87=0,0,1)*($P$66*(1+Assumptions!$H$69)^(EG11-1))</f>
        <v>0</v>
      </c>
      <c r="EH66" s="141">
        <f>IF(EG87=0,0,1)*($P$66*(1+Assumptions!$H$69)^(EH11-1))</f>
        <v>0</v>
      </c>
      <c r="EI66" s="141">
        <f>IF(EH87=0,0,1)*($P$66*(1+Assumptions!$H$69)^(EI11-1))</f>
        <v>0</v>
      </c>
      <c r="EJ66" s="141">
        <f>IF(EI87=0,0,1)*($P$66*(1+Assumptions!$H$69)^(EJ11-1))</f>
        <v>0</v>
      </c>
      <c r="EK66" s="141">
        <f>IF(EJ87=0,0,1)*($P$66*(1+Assumptions!$H$69)^(EK11-1))</f>
        <v>0</v>
      </c>
      <c r="EL66" s="141">
        <f>IF(EK87=0,0,1)*($P$66*(1+Assumptions!$H$69)^(EL11-1))</f>
        <v>0</v>
      </c>
      <c r="EM66" s="141">
        <f>IF(EL87=0,0,1)*($P$66*(1+Assumptions!$H$69)^(EM11-1))</f>
        <v>0</v>
      </c>
      <c r="EN66" s="141">
        <f>IF(EM87=0,0,1)*($P$66*(1+Assumptions!$H$69)^(EN11-1))</f>
        <v>0</v>
      </c>
      <c r="EO66" s="141">
        <f>IF(EN87=0,0,1)*($P$66*(1+Assumptions!$H$69)^(EO11-1))</f>
        <v>0</v>
      </c>
      <c r="EP66" s="141">
        <f>IF(EO87=0,0,1)*($P$66*(1+Assumptions!$H$69)^(EP11-1))</f>
        <v>0</v>
      </c>
      <c r="EQ66" s="141">
        <f>IF(EP87=0,0,1)*($P$66*(1+Assumptions!$H$69)^(EQ11-1))</f>
        <v>0</v>
      </c>
      <c r="ES66" s="421"/>
      <c r="ET66" s="63"/>
      <c r="EU66" s="98"/>
    </row>
    <row r="67" spans="7:151" ht="15.75">
      <c r="G67" s="145"/>
      <c r="H67" s="128" t="s">
        <v>112</v>
      </c>
      <c r="I67" s="504"/>
      <c r="J67" s="505"/>
      <c r="K67" s="130"/>
      <c r="L67" s="131"/>
      <c r="M67" s="131"/>
      <c r="N67" s="225">
        <f>'Annual Cash Flow'!C42</f>
        <v>0</v>
      </c>
      <c r="O67" s="787"/>
      <c r="P67" s="102">
        <f>-Assumptions!F55/12</f>
        <v>0</v>
      </c>
      <c r="Q67" s="141">
        <f ca="1">IF(P87=0,0,1)*($P$67*(1+Assumptions!$H$69)^(Q11-1))</f>
        <v>0</v>
      </c>
      <c r="R67" s="141">
        <f ca="1">IF(Q87=0,0,1)*($P$67*(1+Assumptions!$H$69)^(R11-1))</f>
        <v>0</v>
      </c>
      <c r="S67" s="141">
        <f ca="1">IF(R87=0,0,1)*($P$67*(1+Assumptions!$H$69)^(S11-1))</f>
        <v>0</v>
      </c>
      <c r="T67" s="141">
        <f ca="1">IF(S87=0,0,1)*($P$67*(1+Assumptions!$H$69)^(T11-1))</f>
        <v>0</v>
      </c>
      <c r="U67" s="141">
        <f ca="1">IF(T87=0,0,1)*($P$67*(1+Assumptions!$H$69)^(U11-1))</f>
        <v>0</v>
      </c>
      <c r="V67" s="141">
        <f ca="1">IF(U87=0,0,1)*($P$67*(1+Assumptions!$H$69)^(V11-1))</f>
        <v>0</v>
      </c>
      <c r="W67" s="141">
        <f ca="1">IF(V87=0,0,1)*($P$67*(1+Assumptions!$H$69)^(W11-1))</f>
        <v>0</v>
      </c>
      <c r="X67" s="141">
        <f ca="1">IF(W87=0,0,1)*($P$67*(1+Assumptions!$H$69)^(X11-1))</f>
        <v>0</v>
      </c>
      <c r="Y67" s="141">
        <f ca="1">IF(X87=0,0,1)*($P$67*(1+Assumptions!$H$69)^(Y11-1))</f>
        <v>0</v>
      </c>
      <c r="Z67" s="141">
        <f ca="1">IF(Y87=0,0,1)*($P$67*(1+Assumptions!$H$69)^(Z11-1))</f>
        <v>0</v>
      </c>
      <c r="AA67" s="141">
        <f ca="1">IF(Z87=0,0,1)*($P$67*(1+Assumptions!$H$69)^(AA11-1))</f>
        <v>0</v>
      </c>
      <c r="AB67" s="141">
        <f ca="1">IF(AA87=0,0,1)*($P$67*(1+Assumptions!$H$69)^(AB11-1))</f>
        <v>0</v>
      </c>
      <c r="AC67" s="141">
        <f ca="1">IF(AB87=0,0,1)*($P$67*(1+Assumptions!$H$69)^(AC11-1))</f>
        <v>0</v>
      </c>
      <c r="AD67" s="141">
        <f ca="1">IF(AC87=0,0,1)*($P$67*(1+Assumptions!$H$69)^(AD11-1))</f>
        <v>0</v>
      </c>
      <c r="AE67" s="141">
        <f ca="1">IF(AD87=0,0,1)*($P$67*(1+Assumptions!$H$69)^(AE11-1))</f>
        <v>0</v>
      </c>
      <c r="AF67" s="141">
        <f ca="1">IF(AE87=0,0,1)*($P$67*(1+Assumptions!$H$69)^(AF11-1))</f>
        <v>0</v>
      </c>
      <c r="AG67" s="141">
        <f ca="1">IF(AF87=0,0,1)*($P$67*(1+Assumptions!$H$69)^(AG11-1))</f>
        <v>0</v>
      </c>
      <c r="AH67" s="141">
        <f ca="1">IF(AG87=0,0,1)*($P$67*(1+Assumptions!$H$69)^(AH11-1))</f>
        <v>0</v>
      </c>
      <c r="AI67" s="141">
        <f ca="1">IF(AH87=0,0,1)*($P$67*(1+Assumptions!$H$69)^(AI11-1))</f>
        <v>0</v>
      </c>
      <c r="AJ67" s="141">
        <f ca="1">IF(AI87=0,0,1)*($P$67*(1+Assumptions!$H$69)^(AJ11-1))</f>
        <v>0</v>
      </c>
      <c r="AK67" s="141">
        <f ca="1">IF(AJ87=0,0,1)*($P$67*(1+Assumptions!$H$69)^(AK11-1))</f>
        <v>0</v>
      </c>
      <c r="AL67" s="141">
        <f ca="1">IF(AK87=0,0,1)*($P$67*(1+Assumptions!$H$69)^(AL11-1))</f>
        <v>0</v>
      </c>
      <c r="AM67" s="141">
        <f ca="1">IF(AL87=0,0,1)*($P$67*(1+Assumptions!$H$69)^(AM11-1))</f>
        <v>0</v>
      </c>
      <c r="AN67" s="141">
        <f ca="1">IF(AM87=0,0,1)*($P$67*(1+Assumptions!$H$69)^(AN11-1))</f>
        <v>0</v>
      </c>
      <c r="AO67" s="141">
        <f ca="1">IF(AN87=0,0,1)*($P$67*(1+Assumptions!$H$69)^(AO11-1))</f>
        <v>0</v>
      </c>
      <c r="AP67" s="141">
        <f ca="1">IF(AO87=0,0,1)*($P$67*(1+Assumptions!$H$69)^(AP11-1))</f>
        <v>0</v>
      </c>
      <c r="AQ67" s="141">
        <f ca="1">IF(AP87=0,0,1)*($P$67*(1+Assumptions!$H$69)^(AQ11-1))</f>
        <v>0</v>
      </c>
      <c r="AR67" s="141">
        <f ca="1">IF(AQ87=0,0,1)*($P$67*(1+Assumptions!$H$69)^(AR11-1))</f>
        <v>0</v>
      </c>
      <c r="AS67" s="141">
        <f ca="1">IF(AR87=0,0,1)*($P$67*(1+Assumptions!$H$69)^(AS11-1))</f>
        <v>0</v>
      </c>
      <c r="AT67" s="141">
        <f ca="1">IF(AS87=0,0,1)*($P$67*(1+Assumptions!$H$69)^(AT11-1))</f>
        <v>0</v>
      </c>
      <c r="AU67" s="141">
        <f ca="1">IF(AT87=0,0,1)*($P$67*(1+Assumptions!$H$69)^(AU11-1))</f>
        <v>0</v>
      </c>
      <c r="AV67" s="141">
        <f ca="1">IF(AU87=0,0,1)*($P$67*(1+Assumptions!$H$69)^(AV11-1))</f>
        <v>0</v>
      </c>
      <c r="AW67" s="141">
        <f ca="1">IF(AV87=0,0,1)*($P$67*(1+Assumptions!$H$69)^(AW11-1))</f>
        <v>0</v>
      </c>
      <c r="AX67" s="141">
        <f ca="1">IF(AW87=0,0,1)*($P$67*(1+Assumptions!$H$69)^(AX11-1))</f>
        <v>0</v>
      </c>
      <c r="AY67" s="141">
        <f ca="1">IF(AX87=0,0,1)*($P$67*(1+Assumptions!$H$69)^(AY11-1))</f>
        <v>0</v>
      </c>
      <c r="AZ67" s="141">
        <f ca="1">IF(AY87=0,0,1)*($P$67*(1+Assumptions!$H$69)^(AZ11-1))</f>
        <v>0</v>
      </c>
      <c r="BA67" s="141">
        <f ca="1">IF(AZ87=0,0,1)*($P$67*(1+Assumptions!$H$69)^(BA11-1))</f>
        <v>0</v>
      </c>
      <c r="BB67" s="141">
        <f ca="1">IF(BA87=0,0,1)*($P$67*(1+Assumptions!$H$69)^(BB11-1))</f>
        <v>0</v>
      </c>
      <c r="BC67" s="141">
        <f ca="1">IF(BB87=0,0,1)*($P$67*(1+Assumptions!$H$69)^(BC11-1))</f>
        <v>0</v>
      </c>
      <c r="BD67" s="141">
        <f ca="1">IF(BC87=0,0,1)*($P$67*(1+Assumptions!$H$69)^(BD11-1))</f>
        <v>0</v>
      </c>
      <c r="BE67" s="141">
        <f ca="1">IF(BD87=0,0,1)*($P$67*(1+Assumptions!$H$69)^(BE11-1))</f>
        <v>0</v>
      </c>
      <c r="BF67" s="141">
        <f ca="1">IF(BE87=0,0,1)*($P$67*(1+Assumptions!$H$69)^(BF11-1))</f>
        <v>0</v>
      </c>
      <c r="BG67" s="141">
        <f ca="1">IF(BF87=0,0,1)*($P$67*(1+Assumptions!$H$69)^(BG11-1))</f>
        <v>0</v>
      </c>
      <c r="BH67" s="141">
        <f ca="1">IF(BG87=0,0,1)*($P$67*(1+Assumptions!$H$69)^(BH11-1))</f>
        <v>0</v>
      </c>
      <c r="BI67" s="141">
        <f ca="1">IF(BH87=0,0,1)*($P$67*(1+Assumptions!$H$69)^(BI11-1))</f>
        <v>0</v>
      </c>
      <c r="BJ67" s="141">
        <f ca="1">IF(BI87=0,0,1)*($P$67*(1+Assumptions!$H$69)^(BJ11-1))</f>
        <v>0</v>
      </c>
      <c r="BK67" s="141">
        <f ca="1">IF(BJ87=0,0,1)*($P$67*(1+Assumptions!$H$69)^(BK11-1))</f>
        <v>0</v>
      </c>
      <c r="BL67" s="141">
        <f ca="1">IF(BK87=0,0,1)*($P$67*(1+Assumptions!$H$69)^(BL11-1))</f>
        <v>0</v>
      </c>
      <c r="BM67" s="141">
        <f ca="1">IF(BL87=0,0,1)*($P$67*(1+Assumptions!$H$69)^(BM11-1))</f>
        <v>0</v>
      </c>
      <c r="BN67" s="141">
        <f ca="1">IF(BM87=0,0,1)*($P$67*(1+Assumptions!$H$69)^(BN11-1))</f>
        <v>0</v>
      </c>
      <c r="BO67" s="141">
        <f ca="1">IF(BN87=0,0,1)*($P$67*(1+Assumptions!$H$69)^(BO11-1))</f>
        <v>0</v>
      </c>
      <c r="BP67" s="141">
        <f ca="1">IF(BO87=0,0,1)*($P$67*(1+Assumptions!$H$69)^(BP11-1))</f>
        <v>0</v>
      </c>
      <c r="BQ67" s="141">
        <f ca="1">IF(BP87=0,0,1)*($P$67*(1+Assumptions!$H$69)^(BQ11-1))</f>
        <v>0</v>
      </c>
      <c r="BR67" s="141">
        <f ca="1">IF(BQ87=0,0,1)*($P$67*(1+Assumptions!$H$69)^(BR11-1))</f>
        <v>0</v>
      </c>
      <c r="BS67" s="141">
        <f ca="1">IF(BR87=0,0,1)*($P$67*(1+Assumptions!$H$69)^(BS11-1))</f>
        <v>0</v>
      </c>
      <c r="BT67" s="141">
        <f ca="1">IF(BS87=0,0,1)*($P$67*(1+Assumptions!$H$69)^(BT11-1))</f>
        <v>0</v>
      </c>
      <c r="BU67" s="141">
        <f ca="1">IF(BT87=0,0,1)*($P$67*(1+Assumptions!$H$69)^(BU11-1))</f>
        <v>0</v>
      </c>
      <c r="BV67" s="141">
        <f ca="1">IF(BU87=0,0,1)*($P$67*(1+Assumptions!$H$69)^(BV11-1))</f>
        <v>0</v>
      </c>
      <c r="BW67" s="141">
        <f ca="1">IF(BV87=0,0,1)*($P$67*(1+Assumptions!$H$69)^(BW11-1))</f>
        <v>0</v>
      </c>
      <c r="BX67" s="141">
        <f ca="1">IF(BW87=0,0,1)*($P$67*(1+Assumptions!$H$69)^(BX11-1))</f>
        <v>0</v>
      </c>
      <c r="BY67" s="141">
        <f ca="1">IF(BX87=0,0,1)*($P$67*(1+Assumptions!$H$69)^(BY11-1))</f>
        <v>0</v>
      </c>
      <c r="BZ67" s="141">
        <f ca="1">IF(BY87=0,0,1)*($P$67*(1+Assumptions!$H$69)^(BZ11-1))</f>
        <v>0</v>
      </c>
      <c r="CA67" s="141">
        <f ca="1">IF(BZ87=0,0,1)*($P$67*(1+Assumptions!$H$69)^(CA11-1))</f>
        <v>0</v>
      </c>
      <c r="CB67" s="141">
        <f ca="1">IF(CA87=0,0,1)*($P$67*(1+Assumptions!$H$69)^(CB11-1))</f>
        <v>0</v>
      </c>
      <c r="CC67" s="141">
        <f ca="1">IF(CB87=0,0,1)*($P$67*(1+Assumptions!$H$69)^(CC11-1))</f>
        <v>0</v>
      </c>
      <c r="CD67" s="141">
        <f ca="1">IF(CC87=0,0,1)*($P$67*(1+Assumptions!$H$69)^(CD11-1))</f>
        <v>0</v>
      </c>
      <c r="CE67" s="141">
        <f ca="1">IF(CD87=0,0,1)*($P$67*(1+Assumptions!$H$69)^(CE11-1))</f>
        <v>0</v>
      </c>
      <c r="CF67" s="141">
        <f ca="1">IF(CE87=0,0,1)*($P$67*(1+Assumptions!$H$69)^(CF11-1))</f>
        <v>0</v>
      </c>
      <c r="CG67" s="141">
        <f ca="1">IF(CF87=0,0,1)*($P$67*(1+Assumptions!$H$69)^(CG11-1))</f>
        <v>0</v>
      </c>
      <c r="CH67" s="141">
        <f ca="1">IF(CG87=0,0,1)*($P$67*(1+Assumptions!$H$69)^(CH11-1))</f>
        <v>0</v>
      </c>
      <c r="CI67" s="141">
        <f ca="1">IF(CH87=0,0,1)*($P$67*(1+Assumptions!$H$69)^(CI11-1))</f>
        <v>0</v>
      </c>
      <c r="CJ67" s="141">
        <f ca="1">IF(CI87=0,0,1)*($P$67*(1+Assumptions!$H$69)^(CJ11-1))</f>
        <v>0</v>
      </c>
      <c r="CK67" s="141">
        <f ca="1">IF(CJ87=0,0,1)*($P$67*(1+Assumptions!$H$69)^(CK11-1))</f>
        <v>0</v>
      </c>
      <c r="CL67" s="141">
        <f ca="1">IF(CK87=0,0,1)*($P$67*(1+Assumptions!$H$69)^(CL11-1))</f>
        <v>0</v>
      </c>
      <c r="CM67" s="141">
        <f ca="1">IF(CL87=0,0,1)*($P$67*(1+Assumptions!$H$69)^(CM11-1))</f>
        <v>0</v>
      </c>
      <c r="CN67" s="141">
        <f ca="1">IF(CM87=0,0,1)*($P$67*(1+Assumptions!$H$69)^(CN11-1))</f>
        <v>0</v>
      </c>
      <c r="CO67" s="141">
        <f ca="1">IF(CN87=0,0,1)*($P$67*(1+Assumptions!$H$69)^(CO11-1))</f>
        <v>0</v>
      </c>
      <c r="CP67" s="141">
        <f ca="1">IF(CO87=0,0,1)*($P$67*(1+Assumptions!$H$69)^(CP11-1))</f>
        <v>0</v>
      </c>
      <c r="CQ67" s="141">
        <f ca="1">IF(CP87=0,0,1)*($P$67*(1+Assumptions!$H$69)^(CQ11-1))</f>
        <v>0</v>
      </c>
      <c r="CR67" s="141">
        <f ca="1">IF(CQ87=0,0,1)*($P$67*(1+Assumptions!$H$69)^(CR11-1))</f>
        <v>0</v>
      </c>
      <c r="CS67" s="141">
        <f ca="1">IF(CR87=0,0,1)*($P$67*(1+Assumptions!$H$69)^(CS11-1))</f>
        <v>0</v>
      </c>
      <c r="CT67" s="141">
        <f ca="1">IF(CS87=0,0,1)*($P$67*(1+Assumptions!$H$69)^(CT11-1))</f>
        <v>0</v>
      </c>
      <c r="CU67" s="141">
        <f ca="1">IF(CT87=0,0,1)*($P$67*(1+Assumptions!$H$69)^(CU11-1))</f>
        <v>0</v>
      </c>
      <c r="CV67" s="141">
        <f ca="1">IF(CU87=0,0,1)*($P$67*(1+Assumptions!$H$69)^(CV11-1))</f>
        <v>0</v>
      </c>
      <c r="CW67" s="141">
        <f ca="1">IF(CV87=0,0,1)*($P$67*(1+Assumptions!$H$69)^(CW11-1))</f>
        <v>0</v>
      </c>
      <c r="CX67" s="141">
        <f ca="1">IF(CW87=0,0,1)*($P$67*(1+Assumptions!$H$69)^(CX11-1))</f>
        <v>0</v>
      </c>
      <c r="CY67" s="141">
        <f ca="1">IF(CX87=0,0,1)*($P$67*(1+Assumptions!$H$69)^(CY11-1))</f>
        <v>0</v>
      </c>
      <c r="CZ67" s="141">
        <f ca="1">IF(CY87=0,0,1)*($P$67*(1+Assumptions!$H$69)^(CZ11-1))</f>
        <v>0</v>
      </c>
      <c r="DA67" s="141">
        <f ca="1">IF(CZ87=0,0,1)*($P$67*(1+Assumptions!$H$69)^(DA11-1))</f>
        <v>0</v>
      </c>
      <c r="DB67" s="141">
        <f ca="1">IF(DA87=0,0,1)*($P$67*(1+Assumptions!$H$69)^(DB11-1))</f>
        <v>0</v>
      </c>
      <c r="DC67" s="141">
        <f ca="1">IF(DB87=0,0,1)*($P$67*(1+Assumptions!$H$69)^(DC11-1))</f>
        <v>0</v>
      </c>
      <c r="DD67" s="141">
        <f ca="1">IF(DC87=0,0,1)*($P$67*(1+Assumptions!$H$69)^(DD11-1))</f>
        <v>0</v>
      </c>
      <c r="DE67" s="141">
        <f ca="1">IF(DD87=0,0,1)*($P$67*(1+Assumptions!$H$69)^(DE11-1))</f>
        <v>0</v>
      </c>
      <c r="DF67" s="141">
        <f ca="1">IF(DE87=0,0,1)*($P$67*(1+Assumptions!$H$69)^(DF11-1))</f>
        <v>0</v>
      </c>
      <c r="DG67" s="141">
        <f ca="1">IF(DF87=0,0,1)*($P$67*(1+Assumptions!$H$69)^(DG11-1))</f>
        <v>0</v>
      </c>
      <c r="DH67" s="141">
        <f ca="1">IF(DG87=0,0,1)*($P$67*(1+Assumptions!$H$69)^(DH11-1))</f>
        <v>0</v>
      </c>
      <c r="DI67" s="141">
        <f ca="1">IF(DH87=0,0,1)*($P$67*(1+Assumptions!$H$69)^(DI11-1))</f>
        <v>0</v>
      </c>
      <c r="DJ67" s="141">
        <f>IF(DI87=0,0,1)*($P$67*(1+Assumptions!$H$69)^(DJ11-1))</f>
        <v>0</v>
      </c>
      <c r="DK67" s="141">
        <f>IF(DJ87=0,0,1)*($P$67*(1+Assumptions!$H$69)^(DK11-1))</f>
        <v>0</v>
      </c>
      <c r="DL67" s="141">
        <f>IF(DK87=0,0,1)*($P$67*(1+Assumptions!$H$69)^(DL11-1))</f>
        <v>0</v>
      </c>
      <c r="DM67" s="141">
        <f>IF(DL87=0,0,1)*($P$67*(1+Assumptions!$H$69)^(DM11-1))</f>
        <v>0</v>
      </c>
      <c r="DN67" s="141">
        <f>IF(DM87=0,0,1)*($P$67*(1+Assumptions!$H$69)^(DN11-1))</f>
        <v>0</v>
      </c>
      <c r="DO67" s="141">
        <f>IF(DN87=0,0,1)*($P$67*(1+Assumptions!$H$69)^(DO11-1))</f>
        <v>0</v>
      </c>
      <c r="DP67" s="141">
        <f>IF(DO87=0,0,1)*($P$67*(1+Assumptions!$H$69)^(DP11-1))</f>
        <v>0</v>
      </c>
      <c r="DQ67" s="141">
        <f>IF(DP87=0,0,1)*($P$67*(1+Assumptions!$H$69)^(DQ11-1))</f>
        <v>0</v>
      </c>
      <c r="DR67" s="141">
        <f>IF(DQ87=0,0,1)*($P$67*(1+Assumptions!$H$69)^(DR11-1))</f>
        <v>0</v>
      </c>
      <c r="DS67" s="141">
        <f>IF(DR87=0,0,1)*($P$67*(1+Assumptions!$H$69)^(DS11-1))</f>
        <v>0</v>
      </c>
      <c r="DT67" s="141">
        <f>IF(DS87=0,0,1)*($P$67*(1+Assumptions!$H$69)^(DT11-1))</f>
        <v>0</v>
      </c>
      <c r="DU67" s="141">
        <f>IF(DT87=0,0,1)*($P$67*(1+Assumptions!$H$69)^(DU11-1))</f>
        <v>0</v>
      </c>
      <c r="DV67" s="141">
        <f>IF(DU87=0,0,1)*($P$67*(1+Assumptions!$H$69)^(DV11-1))</f>
        <v>0</v>
      </c>
      <c r="DW67" s="141">
        <f>IF(DV87=0,0,1)*($P$67*(1+Assumptions!$H$69)^(DW11-1))</f>
        <v>0</v>
      </c>
      <c r="DX67" s="141">
        <f>IF(DW87=0,0,1)*($P$67*(1+Assumptions!$H$69)^(DX11-1))</f>
        <v>0</v>
      </c>
      <c r="DY67" s="141">
        <f>IF(DX87=0,0,1)*($P$67*(1+Assumptions!$H$69)^(DY11-1))</f>
        <v>0</v>
      </c>
      <c r="DZ67" s="141">
        <f>IF(DY87=0,0,1)*($P$67*(1+Assumptions!$H$69)^(DZ11-1))</f>
        <v>0</v>
      </c>
      <c r="EA67" s="141">
        <f>IF(DZ87=0,0,1)*($P$67*(1+Assumptions!$H$69)^(EA11-1))</f>
        <v>0</v>
      </c>
      <c r="EB67" s="141">
        <f>IF(EA87=0,0,1)*($P$67*(1+Assumptions!$H$69)^(EB11-1))</f>
        <v>0</v>
      </c>
      <c r="EC67" s="141">
        <f>IF(EB87=0,0,1)*($P$67*(1+Assumptions!$H$69)^(EC11-1))</f>
        <v>0</v>
      </c>
      <c r="ED67" s="141">
        <f>IF(EC87=0,0,1)*($P$67*(1+Assumptions!$H$69)^(ED11-1))</f>
        <v>0</v>
      </c>
      <c r="EE67" s="141">
        <f>IF(ED87=0,0,1)*($P$67*(1+Assumptions!$H$69)^(EE11-1))</f>
        <v>0</v>
      </c>
      <c r="EF67" s="141">
        <f>IF(EE87=0,0,1)*($P$67*(1+Assumptions!$H$69)^(EF11-1))</f>
        <v>0</v>
      </c>
      <c r="EG67" s="141">
        <f>IF(EF87=0,0,1)*($P$67*(1+Assumptions!$H$69)^(EG11-1))</f>
        <v>0</v>
      </c>
      <c r="EH67" s="141">
        <f>IF(EG87=0,0,1)*($P$67*(1+Assumptions!$H$69)^(EH11-1))</f>
        <v>0</v>
      </c>
      <c r="EI67" s="141">
        <f>IF(EH87=0,0,1)*($P$67*(1+Assumptions!$H$69)^(EI11-1))</f>
        <v>0</v>
      </c>
      <c r="EJ67" s="141">
        <f>IF(EI87=0,0,1)*($P$67*(1+Assumptions!$H$69)^(EJ11-1))</f>
        <v>0</v>
      </c>
      <c r="EK67" s="141">
        <f>IF(EJ87=0,0,1)*($P$67*(1+Assumptions!$H$69)^(EK11-1))</f>
        <v>0</v>
      </c>
      <c r="EL67" s="141">
        <f>IF(EK87=0,0,1)*($P$67*(1+Assumptions!$H$69)^(EL11-1))</f>
        <v>0</v>
      </c>
      <c r="EM67" s="141">
        <f>IF(EL87=0,0,1)*($P$67*(1+Assumptions!$H$69)^(EM11-1))</f>
        <v>0</v>
      </c>
      <c r="EN67" s="141">
        <f>IF(EM87=0,0,1)*($P$67*(1+Assumptions!$H$69)^(EN11-1))</f>
        <v>0</v>
      </c>
      <c r="EO67" s="141">
        <f>IF(EN87=0,0,1)*($P$67*(1+Assumptions!$H$69)^(EO11-1))</f>
        <v>0</v>
      </c>
      <c r="EP67" s="141">
        <f>IF(EO87=0,0,1)*($P$67*(1+Assumptions!$H$69)^(EP11-1))</f>
        <v>0</v>
      </c>
      <c r="EQ67" s="141">
        <f>IF(EP87=0,0,1)*($P$67*(1+Assumptions!$H$69)^(EQ11-1))</f>
        <v>0</v>
      </c>
      <c r="ES67" s="421"/>
      <c r="ET67" s="63"/>
      <c r="EU67" s="98"/>
    </row>
    <row r="68" spans="7:151" ht="15.75">
      <c r="G68" s="145"/>
      <c r="H68" s="128" t="s">
        <v>108</v>
      </c>
      <c r="I68" s="504"/>
      <c r="J68" s="505"/>
      <c r="K68" s="130"/>
      <c r="L68" s="131"/>
      <c r="M68" s="131"/>
      <c r="N68" s="225">
        <f>'Annual Cash Flow'!C43</f>
        <v>0</v>
      </c>
      <c r="O68" s="787"/>
      <c r="P68" s="102">
        <f>-Assumptions!F56/12</f>
        <v>0</v>
      </c>
      <c r="Q68" s="141">
        <f ca="1">IF(P87=0,0,1)*($P$68*(1+Assumptions!$H$69)^(Q11-1))</f>
        <v>0</v>
      </c>
      <c r="R68" s="141">
        <f ca="1">IF(Q87=0,0,1)*($P$68*(1+Assumptions!$H$69)^(R11-1))</f>
        <v>0</v>
      </c>
      <c r="S68" s="141">
        <f ca="1">IF(R87=0,0,1)*($P$68*(1+Assumptions!$H$69)^(S11-1))</f>
        <v>0</v>
      </c>
      <c r="T68" s="141">
        <f ca="1">IF(S87=0,0,1)*($P$68*(1+Assumptions!$H$69)^(T11-1))</f>
        <v>0</v>
      </c>
      <c r="U68" s="141">
        <f ca="1">IF(T87=0,0,1)*($P$68*(1+Assumptions!$H$69)^(U11-1))</f>
        <v>0</v>
      </c>
      <c r="V68" s="141">
        <f ca="1">IF(U87=0,0,1)*($P$68*(1+Assumptions!$H$69)^(V11-1))</f>
        <v>0</v>
      </c>
      <c r="W68" s="141">
        <f ca="1">IF(V87=0,0,1)*($P$68*(1+Assumptions!$H$69)^(W11-1))</f>
        <v>0</v>
      </c>
      <c r="X68" s="141">
        <f ca="1">IF(W87=0,0,1)*($P$68*(1+Assumptions!$H$69)^(X11-1))</f>
        <v>0</v>
      </c>
      <c r="Y68" s="141">
        <f ca="1">IF(X87=0,0,1)*($P$68*(1+Assumptions!$H$69)^(Y11-1))</f>
        <v>0</v>
      </c>
      <c r="Z68" s="141">
        <f ca="1">IF(Y87=0,0,1)*($P$68*(1+Assumptions!$H$69)^(Z11-1))</f>
        <v>0</v>
      </c>
      <c r="AA68" s="141">
        <f ca="1">IF(Z87=0,0,1)*($P$68*(1+Assumptions!$H$69)^(AA11-1))</f>
        <v>0</v>
      </c>
      <c r="AB68" s="141">
        <f ca="1">IF(AA87=0,0,1)*($P$68*(1+Assumptions!$H$69)^(AB11-1))</f>
        <v>0</v>
      </c>
      <c r="AC68" s="141">
        <f ca="1">IF(AB87=0,0,1)*($P$68*(1+Assumptions!$H$69)^(AC11-1))</f>
        <v>0</v>
      </c>
      <c r="AD68" s="141">
        <f ca="1">IF(AC87=0,0,1)*($P$68*(1+Assumptions!$H$69)^(AD11-1))</f>
        <v>0</v>
      </c>
      <c r="AE68" s="141">
        <f ca="1">IF(AD87=0,0,1)*($P$68*(1+Assumptions!$H$69)^(AE11-1))</f>
        <v>0</v>
      </c>
      <c r="AF68" s="141">
        <f ca="1">IF(AE87=0,0,1)*($P$68*(1+Assumptions!$H$69)^(AF11-1))</f>
        <v>0</v>
      </c>
      <c r="AG68" s="141">
        <f ca="1">IF(AF87=0,0,1)*($P$68*(1+Assumptions!$H$69)^(AG11-1))</f>
        <v>0</v>
      </c>
      <c r="AH68" s="141">
        <f ca="1">IF(AG87=0,0,1)*($P$68*(1+Assumptions!$H$69)^(AH11-1))</f>
        <v>0</v>
      </c>
      <c r="AI68" s="141">
        <f ca="1">IF(AH87=0,0,1)*($P$68*(1+Assumptions!$H$69)^(AI11-1))</f>
        <v>0</v>
      </c>
      <c r="AJ68" s="141">
        <f ca="1">IF(AI87=0,0,1)*($P$68*(1+Assumptions!$H$69)^(AJ11-1))</f>
        <v>0</v>
      </c>
      <c r="AK68" s="141">
        <f ca="1">IF(AJ87=0,0,1)*($P$68*(1+Assumptions!$H$69)^(AK11-1))</f>
        <v>0</v>
      </c>
      <c r="AL68" s="141">
        <f ca="1">IF(AK87=0,0,1)*($P$68*(1+Assumptions!$H$69)^(AL11-1))</f>
        <v>0</v>
      </c>
      <c r="AM68" s="141">
        <f ca="1">IF(AL87=0,0,1)*($P$68*(1+Assumptions!$H$69)^(AM11-1))</f>
        <v>0</v>
      </c>
      <c r="AN68" s="141">
        <f ca="1">IF(AM87=0,0,1)*($P$68*(1+Assumptions!$H$69)^(AN11-1))</f>
        <v>0</v>
      </c>
      <c r="AO68" s="141">
        <f ca="1">IF(AN87=0,0,1)*($P$68*(1+Assumptions!$H$69)^(AO11-1))</f>
        <v>0</v>
      </c>
      <c r="AP68" s="141">
        <f ca="1">IF(AO87=0,0,1)*($P$68*(1+Assumptions!$H$69)^(AP11-1))</f>
        <v>0</v>
      </c>
      <c r="AQ68" s="141">
        <f ca="1">IF(AP87=0,0,1)*($P$68*(1+Assumptions!$H$69)^(AQ11-1))</f>
        <v>0</v>
      </c>
      <c r="AR68" s="141">
        <f ca="1">IF(AQ87=0,0,1)*($P$68*(1+Assumptions!$H$69)^(AR11-1))</f>
        <v>0</v>
      </c>
      <c r="AS68" s="141">
        <f ca="1">IF(AR87=0,0,1)*($P$68*(1+Assumptions!$H$69)^(AS11-1))</f>
        <v>0</v>
      </c>
      <c r="AT68" s="141">
        <f ca="1">IF(AS87=0,0,1)*($P$68*(1+Assumptions!$H$69)^(AT11-1))</f>
        <v>0</v>
      </c>
      <c r="AU68" s="141">
        <f ca="1">IF(AT87=0,0,1)*($P$68*(1+Assumptions!$H$69)^(AU11-1))</f>
        <v>0</v>
      </c>
      <c r="AV68" s="141">
        <f ca="1">IF(AU87=0,0,1)*($P$68*(1+Assumptions!$H$69)^(AV11-1))</f>
        <v>0</v>
      </c>
      <c r="AW68" s="141">
        <f ca="1">IF(AV87=0,0,1)*($P$68*(1+Assumptions!$H$69)^(AW11-1))</f>
        <v>0</v>
      </c>
      <c r="AX68" s="141">
        <f ca="1">IF(AW87=0,0,1)*($P$68*(1+Assumptions!$H$69)^(AX11-1))</f>
        <v>0</v>
      </c>
      <c r="AY68" s="141">
        <f ca="1">IF(AX87=0,0,1)*($P$68*(1+Assumptions!$H$69)^(AY11-1))</f>
        <v>0</v>
      </c>
      <c r="AZ68" s="141">
        <f ca="1">IF(AY87=0,0,1)*($P$68*(1+Assumptions!$H$69)^(AZ11-1))</f>
        <v>0</v>
      </c>
      <c r="BA68" s="141">
        <f ca="1">IF(AZ87=0,0,1)*($P$68*(1+Assumptions!$H$69)^(BA11-1))</f>
        <v>0</v>
      </c>
      <c r="BB68" s="141">
        <f ca="1">IF(BA87=0,0,1)*($P$68*(1+Assumptions!$H$69)^(BB11-1))</f>
        <v>0</v>
      </c>
      <c r="BC68" s="141">
        <f ca="1">IF(BB87=0,0,1)*($P$68*(1+Assumptions!$H$69)^(BC11-1))</f>
        <v>0</v>
      </c>
      <c r="BD68" s="141">
        <f ca="1">IF(BC87=0,0,1)*($P$68*(1+Assumptions!$H$69)^(BD11-1))</f>
        <v>0</v>
      </c>
      <c r="BE68" s="141">
        <f ca="1">IF(BD87=0,0,1)*($P$68*(1+Assumptions!$H$69)^(BE11-1))</f>
        <v>0</v>
      </c>
      <c r="BF68" s="141">
        <f ca="1">IF(BE87=0,0,1)*($P$68*(1+Assumptions!$H$69)^(BF11-1))</f>
        <v>0</v>
      </c>
      <c r="BG68" s="141">
        <f ca="1">IF(BF87=0,0,1)*($P$68*(1+Assumptions!$H$69)^(BG11-1))</f>
        <v>0</v>
      </c>
      <c r="BH68" s="141">
        <f ca="1">IF(BG87=0,0,1)*($P$68*(1+Assumptions!$H$69)^(BH11-1))</f>
        <v>0</v>
      </c>
      <c r="BI68" s="141">
        <f ca="1">IF(BH87=0,0,1)*($P$68*(1+Assumptions!$H$69)^(BI11-1))</f>
        <v>0</v>
      </c>
      <c r="BJ68" s="141">
        <f ca="1">IF(BI87=0,0,1)*($P$68*(1+Assumptions!$H$69)^(BJ11-1))</f>
        <v>0</v>
      </c>
      <c r="BK68" s="141">
        <f ca="1">IF(BJ87=0,0,1)*($P$68*(1+Assumptions!$H$69)^(BK11-1))</f>
        <v>0</v>
      </c>
      <c r="BL68" s="141">
        <f ca="1">IF(BK87=0,0,1)*($P$68*(1+Assumptions!$H$69)^(BL11-1))</f>
        <v>0</v>
      </c>
      <c r="BM68" s="141">
        <f ca="1">IF(BL87=0,0,1)*($P$68*(1+Assumptions!$H$69)^(BM11-1))</f>
        <v>0</v>
      </c>
      <c r="BN68" s="141">
        <f ca="1">IF(BM87=0,0,1)*($P$68*(1+Assumptions!$H$69)^(BN11-1))</f>
        <v>0</v>
      </c>
      <c r="BO68" s="141">
        <f ca="1">IF(BN87=0,0,1)*($P$68*(1+Assumptions!$H$69)^(BO11-1))</f>
        <v>0</v>
      </c>
      <c r="BP68" s="141">
        <f ca="1">IF(BO87=0,0,1)*($P$68*(1+Assumptions!$H$69)^(BP11-1))</f>
        <v>0</v>
      </c>
      <c r="BQ68" s="141">
        <f ca="1">IF(BP87=0,0,1)*($P$68*(1+Assumptions!$H$69)^(BQ11-1))</f>
        <v>0</v>
      </c>
      <c r="BR68" s="141">
        <f ca="1">IF(BQ87=0,0,1)*($P$68*(1+Assumptions!$H$69)^(BR11-1))</f>
        <v>0</v>
      </c>
      <c r="BS68" s="141">
        <f ca="1">IF(BR87=0,0,1)*($P$68*(1+Assumptions!$H$69)^(BS11-1))</f>
        <v>0</v>
      </c>
      <c r="BT68" s="141">
        <f ca="1">IF(BS87=0,0,1)*($P$68*(1+Assumptions!$H$69)^(BT11-1))</f>
        <v>0</v>
      </c>
      <c r="BU68" s="141">
        <f ca="1">IF(BT87=0,0,1)*($P$68*(1+Assumptions!$H$69)^(BU11-1))</f>
        <v>0</v>
      </c>
      <c r="BV68" s="141">
        <f ca="1">IF(BU87=0,0,1)*($P$68*(1+Assumptions!$H$69)^(BV11-1))</f>
        <v>0</v>
      </c>
      <c r="BW68" s="141">
        <f ca="1">IF(BV87=0,0,1)*($P$68*(1+Assumptions!$H$69)^(BW11-1))</f>
        <v>0</v>
      </c>
      <c r="BX68" s="141">
        <f ca="1">IF(BW87=0,0,1)*($P$68*(1+Assumptions!$H$69)^(BX11-1))</f>
        <v>0</v>
      </c>
      <c r="BY68" s="141">
        <f ca="1">IF(BX87=0,0,1)*($P$68*(1+Assumptions!$H$69)^(BY11-1))</f>
        <v>0</v>
      </c>
      <c r="BZ68" s="141">
        <f ca="1">IF(BY87=0,0,1)*($P$68*(1+Assumptions!$H$69)^(BZ11-1))</f>
        <v>0</v>
      </c>
      <c r="CA68" s="141">
        <f ca="1">IF(BZ87=0,0,1)*($P$68*(1+Assumptions!$H$69)^(CA11-1))</f>
        <v>0</v>
      </c>
      <c r="CB68" s="141">
        <f ca="1">IF(CA87=0,0,1)*($P$68*(1+Assumptions!$H$69)^(CB11-1))</f>
        <v>0</v>
      </c>
      <c r="CC68" s="141">
        <f ca="1">IF(CB87=0,0,1)*($P$68*(1+Assumptions!$H$69)^(CC11-1))</f>
        <v>0</v>
      </c>
      <c r="CD68" s="141">
        <f ca="1">IF(CC87=0,0,1)*($P$68*(1+Assumptions!$H$69)^(CD11-1))</f>
        <v>0</v>
      </c>
      <c r="CE68" s="141">
        <f ca="1">IF(CD87=0,0,1)*($P$68*(1+Assumptions!$H$69)^(CE11-1))</f>
        <v>0</v>
      </c>
      <c r="CF68" s="141">
        <f ca="1">IF(CE87=0,0,1)*($P$68*(1+Assumptions!$H$69)^(CF11-1))</f>
        <v>0</v>
      </c>
      <c r="CG68" s="141">
        <f ca="1">IF(CF87=0,0,1)*($P$68*(1+Assumptions!$H$69)^(CG11-1))</f>
        <v>0</v>
      </c>
      <c r="CH68" s="141">
        <f ca="1">IF(CG87=0,0,1)*($P$68*(1+Assumptions!$H$69)^(CH11-1))</f>
        <v>0</v>
      </c>
      <c r="CI68" s="141">
        <f ca="1">IF(CH87=0,0,1)*($P$68*(1+Assumptions!$H$69)^(CI11-1))</f>
        <v>0</v>
      </c>
      <c r="CJ68" s="141">
        <f ca="1">IF(CI87=0,0,1)*($P$68*(1+Assumptions!$H$69)^(CJ11-1))</f>
        <v>0</v>
      </c>
      <c r="CK68" s="141">
        <f ca="1">IF(CJ87=0,0,1)*($P$68*(1+Assumptions!$H$69)^(CK11-1))</f>
        <v>0</v>
      </c>
      <c r="CL68" s="141">
        <f ca="1">IF(CK87=0,0,1)*($P$68*(1+Assumptions!$H$69)^(CL11-1))</f>
        <v>0</v>
      </c>
      <c r="CM68" s="141">
        <f ca="1">IF(CL87=0,0,1)*($P$68*(1+Assumptions!$H$69)^(CM11-1))</f>
        <v>0</v>
      </c>
      <c r="CN68" s="141">
        <f ca="1">IF(CM87=0,0,1)*($P$68*(1+Assumptions!$H$69)^(CN11-1))</f>
        <v>0</v>
      </c>
      <c r="CO68" s="141">
        <f ca="1">IF(CN87=0,0,1)*($P$68*(1+Assumptions!$H$69)^(CO11-1))</f>
        <v>0</v>
      </c>
      <c r="CP68" s="141">
        <f ca="1">IF(CO87=0,0,1)*($P$68*(1+Assumptions!$H$69)^(CP11-1))</f>
        <v>0</v>
      </c>
      <c r="CQ68" s="141">
        <f ca="1">IF(CP87=0,0,1)*($P$68*(1+Assumptions!$H$69)^(CQ11-1))</f>
        <v>0</v>
      </c>
      <c r="CR68" s="141">
        <f ca="1">IF(CQ87=0,0,1)*($P$68*(1+Assumptions!$H$69)^(CR11-1))</f>
        <v>0</v>
      </c>
      <c r="CS68" s="141">
        <f ca="1">IF(CR87=0,0,1)*($P$68*(1+Assumptions!$H$69)^(CS11-1))</f>
        <v>0</v>
      </c>
      <c r="CT68" s="141">
        <f ca="1">IF(CS87=0,0,1)*($P$68*(1+Assumptions!$H$69)^(CT11-1))</f>
        <v>0</v>
      </c>
      <c r="CU68" s="141">
        <f ca="1">IF(CT87=0,0,1)*($P$68*(1+Assumptions!$H$69)^(CU11-1))</f>
        <v>0</v>
      </c>
      <c r="CV68" s="141">
        <f ca="1">IF(CU87=0,0,1)*($P$68*(1+Assumptions!$H$69)^(CV11-1))</f>
        <v>0</v>
      </c>
      <c r="CW68" s="141">
        <f ca="1">IF(CV87=0,0,1)*($P$68*(1+Assumptions!$H$69)^(CW11-1))</f>
        <v>0</v>
      </c>
      <c r="CX68" s="141">
        <f ca="1">IF(CW87=0,0,1)*($P$68*(1+Assumptions!$H$69)^(CX11-1))</f>
        <v>0</v>
      </c>
      <c r="CY68" s="141">
        <f ca="1">IF(CX87=0,0,1)*($P$68*(1+Assumptions!$H$69)^(CY11-1))</f>
        <v>0</v>
      </c>
      <c r="CZ68" s="141">
        <f ca="1">IF(CY87=0,0,1)*($P$68*(1+Assumptions!$H$69)^(CZ11-1))</f>
        <v>0</v>
      </c>
      <c r="DA68" s="141">
        <f ca="1">IF(CZ87=0,0,1)*($P$68*(1+Assumptions!$H$69)^(DA11-1))</f>
        <v>0</v>
      </c>
      <c r="DB68" s="141">
        <f ca="1">IF(DA87=0,0,1)*($P$68*(1+Assumptions!$H$69)^(DB11-1))</f>
        <v>0</v>
      </c>
      <c r="DC68" s="141">
        <f ca="1">IF(DB87=0,0,1)*($P$68*(1+Assumptions!$H$69)^(DC11-1))</f>
        <v>0</v>
      </c>
      <c r="DD68" s="141">
        <f ca="1">IF(DC87=0,0,1)*($P$68*(1+Assumptions!$H$69)^(DD11-1))</f>
        <v>0</v>
      </c>
      <c r="DE68" s="141">
        <f ca="1">IF(DD87=0,0,1)*($P$68*(1+Assumptions!$H$69)^(DE11-1))</f>
        <v>0</v>
      </c>
      <c r="DF68" s="141">
        <f ca="1">IF(DE87=0,0,1)*($P$68*(1+Assumptions!$H$69)^(DF11-1))</f>
        <v>0</v>
      </c>
      <c r="DG68" s="141">
        <f ca="1">IF(DF87=0,0,1)*($P$68*(1+Assumptions!$H$69)^(DG11-1))</f>
        <v>0</v>
      </c>
      <c r="DH68" s="141">
        <f ca="1">IF(DG87=0,0,1)*($P$68*(1+Assumptions!$H$69)^(DH11-1))</f>
        <v>0</v>
      </c>
      <c r="DI68" s="141">
        <f ca="1">IF(DH87=0,0,1)*($P$68*(1+Assumptions!$H$69)^(DI11-1))</f>
        <v>0</v>
      </c>
      <c r="DJ68" s="141">
        <f>IF(DI87=0,0,1)*($P$68*(1+Assumptions!$H$69)^(DJ11-1))</f>
        <v>0</v>
      </c>
      <c r="DK68" s="141">
        <f>IF(DJ87=0,0,1)*($P$68*(1+Assumptions!$H$69)^(DK11-1))</f>
        <v>0</v>
      </c>
      <c r="DL68" s="141">
        <f>IF(DK87=0,0,1)*($P$68*(1+Assumptions!$H$69)^(DL11-1))</f>
        <v>0</v>
      </c>
      <c r="DM68" s="141">
        <f>IF(DL87=0,0,1)*($P$68*(1+Assumptions!$H$69)^(DM11-1))</f>
        <v>0</v>
      </c>
      <c r="DN68" s="141">
        <f>IF(DM87=0,0,1)*($P$68*(1+Assumptions!$H$69)^(DN11-1))</f>
        <v>0</v>
      </c>
      <c r="DO68" s="141">
        <f>IF(DN87=0,0,1)*($P$68*(1+Assumptions!$H$69)^(DO11-1))</f>
        <v>0</v>
      </c>
      <c r="DP68" s="141">
        <f>IF(DO87=0,0,1)*($P$68*(1+Assumptions!$H$69)^(DP11-1))</f>
        <v>0</v>
      </c>
      <c r="DQ68" s="141">
        <f>IF(DP87=0,0,1)*($P$68*(1+Assumptions!$H$69)^(DQ11-1))</f>
        <v>0</v>
      </c>
      <c r="DR68" s="141">
        <f>IF(DQ87=0,0,1)*($P$68*(1+Assumptions!$H$69)^(DR11-1))</f>
        <v>0</v>
      </c>
      <c r="DS68" s="141">
        <f>IF(DR87=0,0,1)*($P$68*(1+Assumptions!$H$69)^(DS11-1))</f>
        <v>0</v>
      </c>
      <c r="DT68" s="141">
        <f>IF(DS87=0,0,1)*($P$68*(1+Assumptions!$H$69)^(DT11-1))</f>
        <v>0</v>
      </c>
      <c r="DU68" s="141">
        <f>IF(DT87=0,0,1)*($P$68*(1+Assumptions!$H$69)^(DU11-1))</f>
        <v>0</v>
      </c>
      <c r="DV68" s="141">
        <f>IF(DU87=0,0,1)*($P$68*(1+Assumptions!$H$69)^(DV11-1))</f>
        <v>0</v>
      </c>
      <c r="DW68" s="141">
        <f>IF(DV87=0,0,1)*($P$68*(1+Assumptions!$H$69)^(DW11-1))</f>
        <v>0</v>
      </c>
      <c r="DX68" s="141">
        <f>IF(DW87=0,0,1)*($P$68*(1+Assumptions!$H$69)^(DX11-1))</f>
        <v>0</v>
      </c>
      <c r="DY68" s="141">
        <f>IF(DX87=0,0,1)*($P$68*(1+Assumptions!$H$69)^(DY11-1))</f>
        <v>0</v>
      </c>
      <c r="DZ68" s="141">
        <f>IF(DY87=0,0,1)*($P$68*(1+Assumptions!$H$69)^(DZ11-1))</f>
        <v>0</v>
      </c>
      <c r="EA68" s="141">
        <f>IF(DZ87=0,0,1)*($P$68*(1+Assumptions!$H$69)^(EA11-1))</f>
        <v>0</v>
      </c>
      <c r="EB68" s="141">
        <f>IF(EA87=0,0,1)*($P$68*(1+Assumptions!$H$69)^(EB11-1))</f>
        <v>0</v>
      </c>
      <c r="EC68" s="141">
        <f>IF(EB87=0,0,1)*($P$68*(1+Assumptions!$H$69)^(EC11-1))</f>
        <v>0</v>
      </c>
      <c r="ED68" s="141">
        <f>IF(EC87=0,0,1)*($P$68*(1+Assumptions!$H$69)^(ED11-1))</f>
        <v>0</v>
      </c>
      <c r="EE68" s="141">
        <f>IF(ED87=0,0,1)*($P$68*(1+Assumptions!$H$69)^(EE11-1))</f>
        <v>0</v>
      </c>
      <c r="EF68" s="141">
        <f>IF(EE87=0,0,1)*($P$68*(1+Assumptions!$H$69)^(EF11-1))</f>
        <v>0</v>
      </c>
      <c r="EG68" s="141">
        <f>IF(EF87=0,0,1)*($P$68*(1+Assumptions!$H$69)^(EG11-1))</f>
        <v>0</v>
      </c>
      <c r="EH68" s="141">
        <f>IF(EG87=0,0,1)*($P$68*(1+Assumptions!$H$69)^(EH11-1))</f>
        <v>0</v>
      </c>
      <c r="EI68" s="141">
        <f>IF(EH87=0,0,1)*($P$68*(1+Assumptions!$H$69)^(EI11-1))</f>
        <v>0</v>
      </c>
      <c r="EJ68" s="141">
        <f>IF(EI87=0,0,1)*($P$68*(1+Assumptions!$H$69)^(EJ11-1))</f>
        <v>0</v>
      </c>
      <c r="EK68" s="141">
        <f>IF(EJ87=0,0,1)*($P$68*(1+Assumptions!$H$69)^(EK11-1))</f>
        <v>0</v>
      </c>
      <c r="EL68" s="141">
        <f>IF(EK87=0,0,1)*($P$68*(1+Assumptions!$H$69)^(EL11-1))</f>
        <v>0</v>
      </c>
      <c r="EM68" s="141">
        <f>IF(EL87=0,0,1)*($P$68*(1+Assumptions!$H$69)^(EM11-1))</f>
        <v>0</v>
      </c>
      <c r="EN68" s="141">
        <f>IF(EM87=0,0,1)*($P$68*(1+Assumptions!$H$69)^(EN11-1))</f>
        <v>0</v>
      </c>
      <c r="EO68" s="141">
        <f>IF(EN87=0,0,1)*($P$68*(1+Assumptions!$H$69)^(EO11-1))</f>
        <v>0</v>
      </c>
      <c r="EP68" s="141">
        <f>IF(EO87=0,0,1)*($P$68*(1+Assumptions!$H$69)^(EP11-1))</f>
        <v>0</v>
      </c>
      <c r="EQ68" s="141">
        <f>IF(EP87=0,0,1)*($P$68*(1+Assumptions!$H$69)^(EQ11-1))</f>
        <v>0</v>
      </c>
      <c r="ES68" s="421"/>
      <c r="ET68" s="63"/>
      <c r="EU68" s="98"/>
    </row>
    <row r="69" spans="7:151" ht="15.75">
      <c r="G69" s="145"/>
      <c r="H69" s="128" t="s">
        <v>110</v>
      </c>
      <c r="I69" s="504"/>
      <c r="J69" s="505"/>
      <c r="K69" s="130"/>
      <c r="L69" s="131"/>
      <c r="M69" s="131"/>
      <c r="N69" s="225">
        <f>'Annual Cash Flow'!C44</f>
        <v>0</v>
      </c>
      <c r="O69" s="787"/>
      <c r="P69" s="102">
        <f>-Assumptions!F57/12</f>
        <v>0</v>
      </c>
      <c r="Q69" s="141">
        <f ca="1">IF(P87=0,0,1)*($P$69*(1+Assumptions!$H$69)^(Q11-1))</f>
        <v>0</v>
      </c>
      <c r="R69" s="141">
        <f ca="1">IF(Q87=0,0,1)*($P$69*(1+Assumptions!$H$69)^(R11-1))</f>
        <v>0</v>
      </c>
      <c r="S69" s="141">
        <f ca="1">IF(R87=0,0,1)*($P$69*(1+Assumptions!$H$69)^(S11-1))</f>
        <v>0</v>
      </c>
      <c r="T69" s="141">
        <f ca="1">IF(S87=0,0,1)*($P$69*(1+Assumptions!$H$69)^(T11-1))</f>
        <v>0</v>
      </c>
      <c r="U69" s="141">
        <f ca="1">IF(T87=0,0,1)*($P$69*(1+Assumptions!$H$69)^(U11-1))</f>
        <v>0</v>
      </c>
      <c r="V69" s="141">
        <f ca="1">IF(U87=0,0,1)*($P$69*(1+Assumptions!$H$69)^(V11-1))</f>
        <v>0</v>
      </c>
      <c r="W69" s="141">
        <f ca="1">IF(V87=0,0,1)*($P$69*(1+Assumptions!$H$69)^(W11-1))</f>
        <v>0</v>
      </c>
      <c r="X69" s="141">
        <f ca="1">IF(W87=0,0,1)*($P$69*(1+Assumptions!$H$69)^(X11-1))</f>
        <v>0</v>
      </c>
      <c r="Y69" s="141">
        <f ca="1">IF(X87=0,0,1)*($P$69*(1+Assumptions!$H$69)^(Y11-1))</f>
        <v>0</v>
      </c>
      <c r="Z69" s="141">
        <f ca="1">IF(Y87=0,0,1)*($P$69*(1+Assumptions!$H$69)^(Z11-1))</f>
        <v>0</v>
      </c>
      <c r="AA69" s="141">
        <f ca="1">IF(Z87=0,0,1)*($P$69*(1+Assumptions!$H$69)^(AA11-1))</f>
        <v>0</v>
      </c>
      <c r="AB69" s="141">
        <f ca="1">IF(AA87=0,0,1)*($P$69*(1+Assumptions!$H$69)^(AB11-1))</f>
        <v>0</v>
      </c>
      <c r="AC69" s="141">
        <f ca="1">IF(AB87=0,0,1)*($P$69*(1+Assumptions!$H$69)^(AC11-1))</f>
        <v>0</v>
      </c>
      <c r="AD69" s="141">
        <f ca="1">IF(AC87=0,0,1)*($P$69*(1+Assumptions!$H$69)^(AD11-1))</f>
        <v>0</v>
      </c>
      <c r="AE69" s="141">
        <f ca="1">IF(AD87=0,0,1)*($P$69*(1+Assumptions!$H$69)^(AE11-1))</f>
        <v>0</v>
      </c>
      <c r="AF69" s="141">
        <f ca="1">IF(AE87=0,0,1)*($P$69*(1+Assumptions!$H$69)^(AF11-1))</f>
        <v>0</v>
      </c>
      <c r="AG69" s="141">
        <f ca="1">IF(AF87=0,0,1)*($P$69*(1+Assumptions!$H$69)^(AG11-1))</f>
        <v>0</v>
      </c>
      <c r="AH69" s="141">
        <f ca="1">IF(AG87=0,0,1)*($P$69*(1+Assumptions!$H$69)^(AH11-1))</f>
        <v>0</v>
      </c>
      <c r="AI69" s="141">
        <f ca="1">IF(AH87=0,0,1)*($P$69*(1+Assumptions!$H$69)^(AI11-1))</f>
        <v>0</v>
      </c>
      <c r="AJ69" s="141">
        <f ca="1">IF(AI87=0,0,1)*($P$69*(1+Assumptions!$H$69)^(AJ11-1))</f>
        <v>0</v>
      </c>
      <c r="AK69" s="141">
        <f ca="1">IF(AJ87=0,0,1)*($P$69*(1+Assumptions!$H$69)^(AK11-1))</f>
        <v>0</v>
      </c>
      <c r="AL69" s="141">
        <f ca="1">IF(AK87=0,0,1)*($P$69*(1+Assumptions!$H$69)^(AL11-1))</f>
        <v>0</v>
      </c>
      <c r="AM69" s="141">
        <f ca="1">IF(AL87=0,0,1)*($P$69*(1+Assumptions!$H$69)^(AM11-1))</f>
        <v>0</v>
      </c>
      <c r="AN69" s="141">
        <f ca="1">IF(AM87=0,0,1)*($P$69*(1+Assumptions!$H$69)^(AN11-1))</f>
        <v>0</v>
      </c>
      <c r="AO69" s="141">
        <f ca="1">IF(AN87=0,0,1)*($P$69*(1+Assumptions!$H$69)^(AO11-1))</f>
        <v>0</v>
      </c>
      <c r="AP69" s="141">
        <f ca="1">IF(AO87=0,0,1)*($P$69*(1+Assumptions!$H$69)^(AP11-1))</f>
        <v>0</v>
      </c>
      <c r="AQ69" s="141">
        <f ca="1">IF(AP87=0,0,1)*($P$69*(1+Assumptions!$H$69)^(AQ11-1))</f>
        <v>0</v>
      </c>
      <c r="AR69" s="141">
        <f ca="1">IF(AQ87=0,0,1)*($P$69*(1+Assumptions!$H$69)^(AR11-1))</f>
        <v>0</v>
      </c>
      <c r="AS69" s="141">
        <f ca="1">IF(AR87=0,0,1)*($P$69*(1+Assumptions!$H$69)^(AS11-1))</f>
        <v>0</v>
      </c>
      <c r="AT69" s="141">
        <f ca="1">IF(AS87=0,0,1)*($P$69*(1+Assumptions!$H$69)^(AT11-1))</f>
        <v>0</v>
      </c>
      <c r="AU69" s="141">
        <f ca="1">IF(AT87=0,0,1)*($P$69*(1+Assumptions!$H$69)^(AU11-1))</f>
        <v>0</v>
      </c>
      <c r="AV69" s="141">
        <f ca="1">IF(AU87=0,0,1)*($P$69*(1+Assumptions!$H$69)^(AV11-1))</f>
        <v>0</v>
      </c>
      <c r="AW69" s="141">
        <f ca="1">IF(AV87=0,0,1)*($P$69*(1+Assumptions!$H$69)^(AW11-1))</f>
        <v>0</v>
      </c>
      <c r="AX69" s="141">
        <f ca="1">IF(AW87=0,0,1)*($P$69*(1+Assumptions!$H$69)^(AX11-1))</f>
        <v>0</v>
      </c>
      <c r="AY69" s="141">
        <f ca="1">IF(AX87=0,0,1)*($P$69*(1+Assumptions!$H$69)^(AY11-1))</f>
        <v>0</v>
      </c>
      <c r="AZ69" s="141">
        <f ca="1">IF(AY87=0,0,1)*($P$69*(1+Assumptions!$H$69)^(AZ11-1))</f>
        <v>0</v>
      </c>
      <c r="BA69" s="141">
        <f ca="1">IF(AZ87=0,0,1)*($P$69*(1+Assumptions!$H$69)^(BA11-1))</f>
        <v>0</v>
      </c>
      <c r="BB69" s="141">
        <f ca="1">IF(BA87=0,0,1)*($P$69*(1+Assumptions!$H$69)^(BB11-1))</f>
        <v>0</v>
      </c>
      <c r="BC69" s="141">
        <f ca="1">IF(BB87=0,0,1)*($P$69*(1+Assumptions!$H$69)^(BC11-1))</f>
        <v>0</v>
      </c>
      <c r="BD69" s="141">
        <f ca="1">IF(BC87=0,0,1)*($P$69*(1+Assumptions!$H$69)^(BD11-1))</f>
        <v>0</v>
      </c>
      <c r="BE69" s="141">
        <f ca="1">IF(BD87=0,0,1)*($P$69*(1+Assumptions!$H$69)^(BE11-1))</f>
        <v>0</v>
      </c>
      <c r="BF69" s="141">
        <f ca="1">IF(BE87=0,0,1)*($P$69*(1+Assumptions!$H$69)^(BF11-1))</f>
        <v>0</v>
      </c>
      <c r="BG69" s="141">
        <f ca="1">IF(BF87=0,0,1)*($P$69*(1+Assumptions!$H$69)^(BG11-1))</f>
        <v>0</v>
      </c>
      <c r="BH69" s="141">
        <f ca="1">IF(BG87=0,0,1)*($P$69*(1+Assumptions!$H$69)^(BH11-1))</f>
        <v>0</v>
      </c>
      <c r="BI69" s="141">
        <f ca="1">IF(BH87=0,0,1)*($P$69*(1+Assumptions!$H$69)^(BI11-1))</f>
        <v>0</v>
      </c>
      <c r="BJ69" s="141">
        <f ca="1">IF(BI87=0,0,1)*($P$69*(1+Assumptions!$H$69)^(BJ11-1))</f>
        <v>0</v>
      </c>
      <c r="BK69" s="141">
        <f ca="1">IF(BJ87=0,0,1)*($P$69*(1+Assumptions!$H$69)^(BK11-1))</f>
        <v>0</v>
      </c>
      <c r="BL69" s="141">
        <f ca="1">IF(BK87=0,0,1)*($P$69*(1+Assumptions!$H$69)^(BL11-1))</f>
        <v>0</v>
      </c>
      <c r="BM69" s="141">
        <f ca="1">IF(BL87=0,0,1)*($P$69*(1+Assumptions!$H$69)^(BM11-1))</f>
        <v>0</v>
      </c>
      <c r="BN69" s="141">
        <f ca="1">IF(BM87=0,0,1)*($P$69*(1+Assumptions!$H$69)^(BN11-1))</f>
        <v>0</v>
      </c>
      <c r="BO69" s="141">
        <f ca="1">IF(BN87=0,0,1)*($P$69*(1+Assumptions!$H$69)^(BO11-1))</f>
        <v>0</v>
      </c>
      <c r="BP69" s="141">
        <f ca="1">IF(BO87=0,0,1)*($P$69*(1+Assumptions!$H$69)^(BP11-1))</f>
        <v>0</v>
      </c>
      <c r="BQ69" s="141">
        <f ca="1">IF(BP87=0,0,1)*($P$69*(1+Assumptions!$H$69)^(BQ11-1))</f>
        <v>0</v>
      </c>
      <c r="BR69" s="141">
        <f ca="1">IF(BQ87=0,0,1)*($P$69*(1+Assumptions!$H$69)^(BR11-1))</f>
        <v>0</v>
      </c>
      <c r="BS69" s="141">
        <f ca="1">IF(BR87=0,0,1)*($P$69*(1+Assumptions!$H$69)^(BS11-1))</f>
        <v>0</v>
      </c>
      <c r="BT69" s="141">
        <f ca="1">IF(BS87=0,0,1)*($P$69*(1+Assumptions!$H$69)^(BT11-1))</f>
        <v>0</v>
      </c>
      <c r="BU69" s="141">
        <f ca="1">IF(BT87=0,0,1)*($P$69*(1+Assumptions!$H$69)^(BU11-1))</f>
        <v>0</v>
      </c>
      <c r="BV69" s="141">
        <f ca="1">IF(BU87=0,0,1)*($P$69*(1+Assumptions!$H$69)^(BV11-1))</f>
        <v>0</v>
      </c>
      <c r="BW69" s="141">
        <f ca="1">IF(BV87=0,0,1)*($P$69*(1+Assumptions!$H$69)^(BW11-1))</f>
        <v>0</v>
      </c>
      <c r="BX69" s="141">
        <f ca="1">IF(BW87=0,0,1)*($P$69*(1+Assumptions!$H$69)^(BX11-1))</f>
        <v>0</v>
      </c>
      <c r="BY69" s="141">
        <f ca="1">IF(BX87=0,0,1)*($P$69*(1+Assumptions!$H$69)^(BY11-1))</f>
        <v>0</v>
      </c>
      <c r="BZ69" s="141">
        <f ca="1">IF(BY87=0,0,1)*($P$69*(1+Assumptions!$H$69)^(BZ11-1))</f>
        <v>0</v>
      </c>
      <c r="CA69" s="141">
        <f ca="1">IF(BZ87=0,0,1)*($P$69*(1+Assumptions!$H$69)^(CA11-1))</f>
        <v>0</v>
      </c>
      <c r="CB69" s="141">
        <f ca="1">IF(CA87=0,0,1)*($P$69*(1+Assumptions!$H$69)^(CB11-1))</f>
        <v>0</v>
      </c>
      <c r="CC69" s="141">
        <f ca="1">IF(CB87=0,0,1)*($P$69*(1+Assumptions!$H$69)^(CC11-1))</f>
        <v>0</v>
      </c>
      <c r="CD69" s="141">
        <f ca="1">IF(CC87=0,0,1)*($P$69*(1+Assumptions!$H$69)^(CD11-1))</f>
        <v>0</v>
      </c>
      <c r="CE69" s="141">
        <f ca="1">IF(CD87=0,0,1)*($P$69*(1+Assumptions!$H$69)^(CE11-1))</f>
        <v>0</v>
      </c>
      <c r="CF69" s="141">
        <f ca="1">IF(CE87=0,0,1)*($P$69*(1+Assumptions!$H$69)^(CF11-1))</f>
        <v>0</v>
      </c>
      <c r="CG69" s="141">
        <f ca="1">IF(CF87=0,0,1)*($P$69*(1+Assumptions!$H$69)^(CG11-1))</f>
        <v>0</v>
      </c>
      <c r="CH69" s="141">
        <f ca="1">IF(CG87=0,0,1)*($P$69*(1+Assumptions!$H$69)^(CH11-1))</f>
        <v>0</v>
      </c>
      <c r="CI69" s="141">
        <f ca="1">IF(CH87=0,0,1)*($P$69*(1+Assumptions!$H$69)^(CI11-1))</f>
        <v>0</v>
      </c>
      <c r="CJ69" s="141">
        <f ca="1">IF(CI87=0,0,1)*($P$69*(1+Assumptions!$H$69)^(CJ11-1))</f>
        <v>0</v>
      </c>
      <c r="CK69" s="141">
        <f ca="1">IF(CJ87=0,0,1)*($P$69*(1+Assumptions!$H$69)^(CK11-1))</f>
        <v>0</v>
      </c>
      <c r="CL69" s="141">
        <f ca="1">IF(CK87=0,0,1)*($P$69*(1+Assumptions!$H$69)^(CL11-1))</f>
        <v>0</v>
      </c>
      <c r="CM69" s="141">
        <f ca="1">IF(CL87=0,0,1)*($P$69*(1+Assumptions!$H$69)^(CM11-1))</f>
        <v>0</v>
      </c>
      <c r="CN69" s="141">
        <f ca="1">IF(CM87=0,0,1)*($P$69*(1+Assumptions!$H$69)^(CN11-1))</f>
        <v>0</v>
      </c>
      <c r="CO69" s="141">
        <f ca="1">IF(CN87=0,0,1)*($P$69*(1+Assumptions!$H$69)^(CO11-1))</f>
        <v>0</v>
      </c>
      <c r="CP69" s="141">
        <f ca="1">IF(CO87=0,0,1)*($P$69*(1+Assumptions!$H$69)^(CP11-1))</f>
        <v>0</v>
      </c>
      <c r="CQ69" s="141">
        <f ca="1">IF(CP87=0,0,1)*($P$69*(1+Assumptions!$H$69)^(CQ11-1))</f>
        <v>0</v>
      </c>
      <c r="CR69" s="141">
        <f ca="1">IF(CQ87=0,0,1)*($P$69*(1+Assumptions!$H$69)^(CR11-1))</f>
        <v>0</v>
      </c>
      <c r="CS69" s="141">
        <f ca="1">IF(CR87=0,0,1)*($P$69*(1+Assumptions!$H$69)^(CS11-1))</f>
        <v>0</v>
      </c>
      <c r="CT69" s="141">
        <f ca="1">IF(CS87=0,0,1)*($P$69*(1+Assumptions!$H$69)^(CT11-1))</f>
        <v>0</v>
      </c>
      <c r="CU69" s="141">
        <f ca="1">IF(CT87=0,0,1)*($P$69*(1+Assumptions!$H$69)^(CU11-1))</f>
        <v>0</v>
      </c>
      <c r="CV69" s="141">
        <f ca="1">IF(CU87=0,0,1)*($P$69*(1+Assumptions!$H$69)^(CV11-1))</f>
        <v>0</v>
      </c>
      <c r="CW69" s="141">
        <f ca="1">IF(CV87=0,0,1)*($P$69*(1+Assumptions!$H$69)^(CW11-1))</f>
        <v>0</v>
      </c>
      <c r="CX69" s="141">
        <f ca="1">IF(CW87=0,0,1)*($P$69*(1+Assumptions!$H$69)^(CX11-1))</f>
        <v>0</v>
      </c>
      <c r="CY69" s="141">
        <f ca="1">IF(CX87=0,0,1)*($P$69*(1+Assumptions!$H$69)^(CY11-1))</f>
        <v>0</v>
      </c>
      <c r="CZ69" s="141">
        <f ca="1">IF(CY87=0,0,1)*($P$69*(1+Assumptions!$H$69)^(CZ11-1))</f>
        <v>0</v>
      </c>
      <c r="DA69" s="141">
        <f ca="1">IF(CZ87=0,0,1)*($P$69*(1+Assumptions!$H$69)^(DA11-1))</f>
        <v>0</v>
      </c>
      <c r="DB69" s="141">
        <f ca="1">IF(DA87=0,0,1)*($P$69*(1+Assumptions!$H$69)^(DB11-1))</f>
        <v>0</v>
      </c>
      <c r="DC69" s="141">
        <f ca="1">IF(DB87=0,0,1)*($P$69*(1+Assumptions!$H$69)^(DC11-1))</f>
        <v>0</v>
      </c>
      <c r="DD69" s="141">
        <f ca="1">IF(DC87=0,0,1)*($P$69*(1+Assumptions!$H$69)^(DD11-1))</f>
        <v>0</v>
      </c>
      <c r="DE69" s="141">
        <f ca="1">IF(DD87=0,0,1)*($P$69*(1+Assumptions!$H$69)^(DE11-1))</f>
        <v>0</v>
      </c>
      <c r="DF69" s="141">
        <f ca="1">IF(DE87=0,0,1)*($P$69*(1+Assumptions!$H$69)^(DF11-1))</f>
        <v>0</v>
      </c>
      <c r="DG69" s="141">
        <f ca="1">IF(DF87=0,0,1)*($P$69*(1+Assumptions!$H$69)^(DG11-1))</f>
        <v>0</v>
      </c>
      <c r="DH69" s="141">
        <f ca="1">IF(DG87=0,0,1)*($P$69*(1+Assumptions!$H$69)^(DH11-1))</f>
        <v>0</v>
      </c>
      <c r="DI69" s="141">
        <f ca="1">IF(DH87=0,0,1)*($P$69*(1+Assumptions!$H$69)^(DI11-1))</f>
        <v>0</v>
      </c>
      <c r="DJ69" s="141">
        <f>IF(DI87=0,0,1)*($P$69*(1+Assumptions!$H$69)^(DJ11-1))</f>
        <v>0</v>
      </c>
      <c r="DK69" s="141">
        <f>IF(DJ87=0,0,1)*($P$69*(1+Assumptions!$H$69)^(DK11-1))</f>
        <v>0</v>
      </c>
      <c r="DL69" s="141">
        <f>IF(DK87=0,0,1)*($P$69*(1+Assumptions!$H$69)^(DL11-1))</f>
        <v>0</v>
      </c>
      <c r="DM69" s="141">
        <f>IF(DL87=0,0,1)*($P$69*(1+Assumptions!$H$69)^(DM11-1))</f>
        <v>0</v>
      </c>
      <c r="DN69" s="141">
        <f>IF(DM87=0,0,1)*($P$69*(1+Assumptions!$H$69)^(DN11-1))</f>
        <v>0</v>
      </c>
      <c r="DO69" s="141">
        <f>IF(DN87=0,0,1)*($P$69*(1+Assumptions!$H$69)^(DO11-1))</f>
        <v>0</v>
      </c>
      <c r="DP69" s="141">
        <f>IF(DO87=0,0,1)*($P$69*(1+Assumptions!$H$69)^(DP11-1))</f>
        <v>0</v>
      </c>
      <c r="DQ69" s="141">
        <f>IF(DP87=0,0,1)*($P$69*(1+Assumptions!$H$69)^(DQ11-1))</f>
        <v>0</v>
      </c>
      <c r="DR69" s="141">
        <f>IF(DQ87=0,0,1)*($P$69*(1+Assumptions!$H$69)^(DR11-1))</f>
        <v>0</v>
      </c>
      <c r="DS69" s="141">
        <f>IF(DR87=0,0,1)*($P$69*(1+Assumptions!$H$69)^(DS11-1))</f>
        <v>0</v>
      </c>
      <c r="DT69" s="141">
        <f>IF(DS87=0,0,1)*($P$69*(1+Assumptions!$H$69)^(DT11-1))</f>
        <v>0</v>
      </c>
      <c r="DU69" s="141">
        <f>IF(DT87=0,0,1)*($P$69*(1+Assumptions!$H$69)^(DU11-1))</f>
        <v>0</v>
      </c>
      <c r="DV69" s="141">
        <f>IF(DU87=0,0,1)*($P$69*(1+Assumptions!$H$69)^(DV11-1))</f>
        <v>0</v>
      </c>
      <c r="DW69" s="141">
        <f>IF(DV87=0,0,1)*($P$69*(1+Assumptions!$H$69)^(DW11-1))</f>
        <v>0</v>
      </c>
      <c r="DX69" s="141">
        <f>IF(DW87=0,0,1)*($P$69*(1+Assumptions!$H$69)^(DX11-1))</f>
        <v>0</v>
      </c>
      <c r="DY69" s="141">
        <f>IF(DX87=0,0,1)*($P$69*(1+Assumptions!$H$69)^(DY11-1))</f>
        <v>0</v>
      </c>
      <c r="DZ69" s="141">
        <f>IF(DY87=0,0,1)*($P$69*(1+Assumptions!$H$69)^(DZ11-1))</f>
        <v>0</v>
      </c>
      <c r="EA69" s="141">
        <f>IF(DZ87=0,0,1)*($P$69*(1+Assumptions!$H$69)^(EA11-1))</f>
        <v>0</v>
      </c>
      <c r="EB69" s="141">
        <f>IF(EA87=0,0,1)*($P$69*(1+Assumptions!$H$69)^(EB11-1))</f>
        <v>0</v>
      </c>
      <c r="EC69" s="141">
        <f>IF(EB87=0,0,1)*($P$69*(1+Assumptions!$H$69)^(EC11-1))</f>
        <v>0</v>
      </c>
      <c r="ED69" s="141">
        <f>IF(EC87=0,0,1)*($P$69*(1+Assumptions!$H$69)^(ED11-1))</f>
        <v>0</v>
      </c>
      <c r="EE69" s="141">
        <f>IF(ED87=0,0,1)*($P$69*(1+Assumptions!$H$69)^(EE11-1))</f>
        <v>0</v>
      </c>
      <c r="EF69" s="141">
        <f>IF(EE87=0,0,1)*($P$69*(1+Assumptions!$H$69)^(EF11-1))</f>
        <v>0</v>
      </c>
      <c r="EG69" s="141">
        <f>IF(EF87=0,0,1)*($P$69*(1+Assumptions!$H$69)^(EG11-1))</f>
        <v>0</v>
      </c>
      <c r="EH69" s="141">
        <f>IF(EG87=0,0,1)*($P$69*(1+Assumptions!$H$69)^(EH11-1))</f>
        <v>0</v>
      </c>
      <c r="EI69" s="141">
        <f>IF(EH87=0,0,1)*($P$69*(1+Assumptions!$H$69)^(EI11-1))</f>
        <v>0</v>
      </c>
      <c r="EJ69" s="141">
        <f>IF(EI87=0,0,1)*($P$69*(1+Assumptions!$H$69)^(EJ11-1))</f>
        <v>0</v>
      </c>
      <c r="EK69" s="141">
        <f>IF(EJ87=0,0,1)*($P$69*(1+Assumptions!$H$69)^(EK11-1))</f>
        <v>0</v>
      </c>
      <c r="EL69" s="141">
        <f>IF(EK87=0,0,1)*($P$69*(1+Assumptions!$H$69)^(EL11-1))</f>
        <v>0</v>
      </c>
      <c r="EM69" s="141">
        <f>IF(EL87=0,0,1)*($P$69*(1+Assumptions!$H$69)^(EM11-1))</f>
        <v>0</v>
      </c>
      <c r="EN69" s="141">
        <f>IF(EM87=0,0,1)*($P$69*(1+Assumptions!$H$69)^(EN11-1))</f>
        <v>0</v>
      </c>
      <c r="EO69" s="141">
        <f>IF(EN87=0,0,1)*($P$69*(1+Assumptions!$H$69)^(EO11-1))</f>
        <v>0</v>
      </c>
      <c r="EP69" s="141">
        <f>IF(EO87=0,0,1)*($P$69*(1+Assumptions!$H$69)^(EP11-1))</f>
        <v>0</v>
      </c>
      <c r="EQ69" s="141">
        <f>IF(EP87=0,0,1)*($P$69*(1+Assumptions!$H$69)^(EQ11-1))</f>
        <v>0</v>
      </c>
      <c r="ES69" s="421"/>
      <c r="ET69" s="63"/>
      <c r="EU69" s="98"/>
    </row>
    <row r="70" spans="7:151" s="65" customFormat="1" ht="15.75">
      <c r="G70" s="482"/>
      <c r="H70" s="198" t="s">
        <v>41</v>
      </c>
      <c r="I70" s="502"/>
      <c r="J70" s="503"/>
      <c r="K70" s="199"/>
      <c r="L70" s="200"/>
      <c r="M70" s="200"/>
      <c r="N70" s="224">
        <f>'Annual Cash Flow'!C45</f>
        <v>-9821</v>
      </c>
      <c r="O70" s="787"/>
      <c r="P70" s="140">
        <f>-Assumptions!F58/12</f>
        <v>-818.41666666666663</v>
      </c>
      <c r="Q70" s="141">
        <f ca="1">IF(P87=0,0,1)*($P$70*(1+Assumptions!$H$69)^(Q11-1))</f>
        <v>-818.41666666666663</v>
      </c>
      <c r="R70" s="141">
        <f ca="1">IF(Q87=0,0,1)*($P$70*(1+Assumptions!$H$69)^(R11-1))</f>
        <v>-818.41666666666663</v>
      </c>
      <c r="S70" s="141">
        <f ca="1">IF(R87=0,0,1)*($P$70*(1+Assumptions!$H$69)^(S11-1))</f>
        <v>-818.41666666666663</v>
      </c>
      <c r="T70" s="141">
        <f ca="1">IF(S87=0,0,1)*($P$70*(1+Assumptions!$H$69)^(T11-1))</f>
        <v>-818.41666666666663</v>
      </c>
      <c r="U70" s="141">
        <f ca="1">IF(T87=0,0,1)*($P$70*(1+Assumptions!$H$69)^(U11-1))</f>
        <v>-818.41666666666663</v>
      </c>
      <c r="V70" s="141">
        <f ca="1">IF(U87=0,0,1)*($P$70*(1+Assumptions!$H$69)^(V11-1))</f>
        <v>-818.41666666666663</v>
      </c>
      <c r="W70" s="141">
        <f ca="1">IF(V87=0,0,1)*($P$70*(1+Assumptions!$H$69)^(W11-1))</f>
        <v>-818.41666666666663</v>
      </c>
      <c r="X70" s="141">
        <f ca="1">IF(W87=0,0,1)*($P$70*(1+Assumptions!$H$69)^(X11-1))</f>
        <v>-818.41666666666663</v>
      </c>
      <c r="Y70" s="141">
        <f ca="1">IF(X87=0,0,1)*($P$70*(1+Assumptions!$H$69)^(Y11-1))</f>
        <v>-818.41666666666663</v>
      </c>
      <c r="Z70" s="141">
        <f ca="1">IF(Y87=0,0,1)*($P$70*(1+Assumptions!$H$69)^(Z11-1))</f>
        <v>-818.41666666666663</v>
      </c>
      <c r="AA70" s="141">
        <f ca="1">IF(Z87=0,0,1)*($P$70*(1+Assumptions!$H$69)^(AA11-1))</f>
        <v>-818.41666666666663</v>
      </c>
      <c r="AB70" s="141">
        <f ca="1">IF(AA87=0,0,1)*($P$70*(1+Assumptions!$H$69)^(AB11-1))</f>
        <v>-842.96916666666664</v>
      </c>
      <c r="AC70" s="141">
        <f ca="1">IF(AB87=0,0,1)*($P$70*(1+Assumptions!$H$69)^(AC11-1))</f>
        <v>-842.96916666666664</v>
      </c>
      <c r="AD70" s="141">
        <f ca="1">IF(AC87=0,0,1)*($P$70*(1+Assumptions!$H$69)^(AD11-1))</f>
        <v>-842.96916666666664</v>
      </c>
      <c r="AE70" s="141">
        <f ca="1">IF(AD87=0,0,1)*($P$70*(1+Assumptions!$H$69)^(AE11-1))</f>
        <v>-842.96916666666664</v>
      </c>
      <c r="AF70" s="141">
        <f ca="1">IF(AE87=0,0,1)*($P$70*(1+Assumptions!$H$69)^(AF11-1))</f>
        <v>-842.96916666666664</v>
      </c>
      <c r="AG70" s="141">
        <f ca="1">IF(AF87=0,0,1)*($P$70*(1+Assumptions!$H$69)^(AG11-1))</f>
        <v>-842.96916666666664</v>
      </c>
      <c r="AH70" s="141">
        <f ca="1">IF(AG87=0,0,1)*($P$70*(1+Assumptions!$H$69)^(AH11-1))</f>
        <v>-842.96916666666664</v>
      </c>
      <c r="AI70" s="141">
        <f ca="1">IF(AH87=0,0,1)*($P$70*(1+Assumptions!$H$69)^(AI11-1))</f>
        <v>-842.96916666666664</v>
      </c>
      <c r="AJ70" s="141">
        <f ca="1">IF(AI87=0,0,1)*($P$70*(1+Assumptions!$H$69)^(AJ11-1))</f>
        <v>-842.96916666666664</v>
      </c>
      <c r="AK70" s="141">
        <f ca="1">IF(AJ87=0,0,1)*($P$70*(1+Assumptions!$H$69)^(AK11-1))</f>
        <v>-842.96916666666664</v>
      </c>
      <c r="AL70" s="141">
        <f ca="1">IF(AK87=0,0,1)*($P$70*(1+Assumptions!$H$69)^(AL11-1))</f>
        <v>-842.96916666666664</v>
      </c>
      <c r="AM70" s="141">
        <f ca="1">IF(AL87=0,0,1)*($P$70*(1+Assumptions!$H$69)^(AM11-1))</f>
        <v>-842.96916666666664</v>
      </c>
      <c r="AN70" s="141">
        <f ca="1">IF(AM87=0,0,1)*($P$70*(1+Assumptions!$H$69)^(AN11-1))</f>
        <v>-868.25824166666655</v>
      </c>
      <c r="AO70" s="141">
        <f ca="1">IF(AN87=0,0,1)*($P$70*(1+Assumptions!$H$69)^(AO11-1))</f>
        <v>-868.25824166666655</v>
      </c>
      <c r="AP70" s="141">
        <f ca="1">IF(AO87=0,0,1)*($P$70*(1+Assumptions!$H$69)^(AP11-1))</f>
        <v>-868.25824166666655</v>
      </c>
      <c r="AQ70" s="141">
        <f ca="1">IF(AP87=0,0,1)*($P$70*(1+Assumptions!$H$69)^(AQ11-1))</f>
        <v>-868.25824166666655</v>
      </c>
      <c r="AR70" s="141">
        <f ca="1">IF(AQ87=0,0,1)*($P$70*(1+Assumptions!$H$69)^(AR11-1))</f>
        <v>-868.25824166666655</v>
      </c>
      <c r="AS70" s="141">
        <f ca="1">IF(AR87=0,0,1)*($P$70*(1+Assumptions!$H$69)^(AS11-1))</f>
        <v>-868.25824166666655</v>
      </c>
      <c r="AT70" s="141">
        <f ca="1">IF(AS87=0,0,1)*($P$70*(1+Assumptions!$H$69)^(AT11-1))</f>
        <v>-868.25824166666655</v>
      </c>
      <c r="AU70" s="141">
        <f ca="1">IF(AT87=0,0,1)*($P$70*(1+Assumptions!$H$69)^(AU11-1))</f>
        <v>-868.25824166666655</v>
      </c>
      <c r="AV70" s="141">
        <f ca="1">IF(AU87=0,0,1)*($P$70*(1+Assumptions!$H$69)^(AV11-1))</f>
        <v>-868.25824166666655</v>
      </c>
      <c r="AW70" s="141">
        <f ca="1">IF(AV87=0,0,1)*($P$70*(1+Assumptions!$H$69)^(AW11-1))</f>
        <v>-868.25824166666655</v>
      </c>
      <c r="AX70" s="141">
        <f ca="1">IF(AW87=0,0,1)*($P$70*(1+Assumptions!$H$69)^(AX11-1))</f>
        <v>-868.25824166666655</v>
      </c>
      <c r="AY70" s="141">
        <f ca="1">IF(AX87=0,0,1)*($P$70*(1+Assumptions!$H$69)^(AY11-1))</f>
        <v>-868.25824166666655</v>
      </c>
      <c r="AZ70" s="141">
        <f ca="1">IF(AY87=0,0,1)*($P$70*(1+Assumptions!$H$69)^(AZ11-1))</f>
        <v>-894.30598891666659</v>
      </c>
      <c r="BA70" s="141">
        <f ca="1">IF(AZ87=0,0,1)*($P$70*(1+Assumptions!$H$69)^(BA11-1))</f>
        <v>-894.30598891666659</v>
      </c>
      <c r="BB70" s="141">
        <f ca="1">IF(BA87=0,0,1)*($P$70*(1+Assumptions!$H$69)^(BB11-1))</f>
        <v>-894.30598891666659</v>
      </c>
      <c r="BC70" s="141">
        <f ca="1">IF(BB87=0,0,1)*($P$70*(1+Assumptions!$H$69)^(BC11-1))</f>
        <v>-894.30598891666659</v>
      </c>
      <c r="BD70" s="141">
        <f ca="1">IF(BC87=0,0,1)*($P$70*(1+Assumptions!$H$69)^(BD11-1))</f>
        <v>-894.30598891666659</v>
      </c>
      <c r="BE70" s="141">
        <f ca="1">IF(BD87=0,0,1)*($P$70*(1+Assumptions!$H$69)^(BE11-1))</f>
        <v>-894.30598891666659</v>
      </c>
      <c r="BF70" s="141">
        <f ca="1">IF(BE87=0,0,1)*($P$70*(1+Assumptions!$H$69)^(BF11-1))</f>
        <v>-894.30598891666659</v>
      </c>
      <c r="BG70" s="141">
        <f ca="1">IF(BF87=0,0,1)*($P$70*(1+Assumptions!$H$69)^(BG11-1))</f>
        <v>-894.30598891666659</v>
      </c>
      <c r="BH70" s="141">
        <f ca="1">IF(BG87=0,0,1)*($P$70*(1+Assumptions!$H$69)^(BH11-1))</f>
        <v>-894.30598891666659</v>
      </c>
      <c r="BI70" s="141">
        <f ca="1">IF(BH87=0,0,1)*($P$70*(1+Assumptions!$H$69)^(BI11-1))</f>
        <v>-894.30598891666659</v>
      </c>
      <c r="BJ70" s="141">
        <f ca="1">IF(BI87=0,0,1)*($P$70*(1+Assumptions!$H$69)^(BJ11-1))</f>
        <v>-894.30598891666659</v>
      </c>
      <c r="BK70" s="141">
        <f ca="1">IF(BJ87=0,0,1)*($P$70*(1+Assumptions!$H$69)^(BK11-1))</f>
        <v>-894.30598891666659</v>
      </c>
      <c r="BL70" s="141">
        <f ca="1">IF(BK87=0,0,1)*($P$70*(1+Assumptions!$H$69)^(BL11-1))</f>
        <v>-921.13516858416654</v>
      </c>
      <c r="BM70" s="141">
        <f ca="1">IF(BL87=0,0,1)*($P$70*(1+Assumptions!$H$69)^(BM11-1))</f>
        <v>-921.13516858416654</v>
      </c>
      <c r="BN70" s="141">
        <f ca="1">IF(BM87=0,0,1)*($P$70*(1+Assumptions!$H$69)^(BN11-1))</f>
        <v>-921.13516858416654</v>
      </c>
      <c r="BO70" s="141">
        <f ca="1">IF(BN87=0,0,1)*($P$70*(1+Assumptions!$H$69)^(BO11-1))</f>
        <v>-921.13516858416654</v>
      </c>
      <c r="BP70" s="141">
        <f ca="1">IF(BO87=0,0,1)*($P$70*(1+Assumptions!$H$69)^(BP11-1))</f>
        <v>-921.13516858416654</v>
      </c>
      <c r="BQ70" s="141">
        <f ca="1">IF(BP87=0,0,1)*($P$70*(1+Assumptions!$H$69)^(BQ11-1))</f>
        <v>-921.13516858416654</v>
      </c>
      <c r="BR70" s="141">
        <f ca="1">IF(BQ87=0,0,1)*($P$70*(1+Assumptions!$H$69)^(BR11-1))</f>
        <v>-921.13516858416654</v>
      </c>
      <c r="BS70" s="141">
        <f ca="1">IF(BR87=0,0,1)*($P$70*(1+Assumptions!$H$69)^(BS11-1))</f>
        <v>-921.13516858416654</v>
      </c>
      <c r="BT70" s="141">
        <f ca="1">IF(BS87=0,0,1)*($P$70*(1+Assumptions!$H$69)^(BT11-1))</f>
        <v>-921.13516858416654</v>
      </c>
      <c r="BU70" s="141">
        <f ca="1">IF(BT87=0,0,1)*($P$70*(1+Assumptions!$H$69)^(BU11-1))</f>
        <v>-921.13516858416654</v>
      </c>
      <c r="BV70" s="141">
        <f ca="1">IF(BU87=0,0,1)*($P$70*(1+Assumptions!$H$69)^(BV11-1))</f>
        <v>-921.13516858416654</v>
      </c>
      <c r="BW70" s="141">
        <f ca="1">IF(BV87=0,0,1)*($P$70*(1+Assumptions!$H$69)^(BW11-1))</f>
        <v>-921.13516858416654</v>
      </c>
      <c r="BX70" s="141">
        <f ca="1">IF(BW87=0,0,1)*($P$70*(1+Assumptions!$H$69)^(BX11-1))</f>
        <v>-948.7692236416915</v>
      </c>
      <c r="BY70" s="141">
        <f ca="1">IF(BX87=0,0,1)*($P$70*(1+Assumptions!$H$69)^(BY11-1))</f>
        <v>-948.7692236416915</v>
      </c>
      <c r="BZ70" s="141">
        <f ca="1">IF(BY87=0,0,1)*($P$70*(1+Assumptions!$H$69)^(BZ11-1))</f>
        <v>-948.7692236416915</v>
      </c>
      <c r="CA70" s="141">
        <f ca="1">IF(BZ87=0,0,1)*($P$70*(1+Assumptions!$H$69)^(CA11-1))</f>
        <v>-948.7692236416915</v>
      </c>
      <c r="CB70" s="141">
        <f ca="1">IF(CA87=0,0,1)*($P$70*(1+Assumptions!$H$69)^(CB11-1))</f>
        <v>-948.7692236416915</v>
      </c>
      <c r="CC70" s="141">
        <f ca="1">IF(CB87=0,0,1)*($P$70*(1+Assumptions!$H$69)^(CC11-1))</f>
        <v>-948.7692236416915</v>
      </c>
      <c r="CD70" s="141">
        <f ca="1">IF(CC87=0,0,1)*($P$70*(1+Assumptions!$H$69)^(CD11-1))</f>
        <v>-948.7692236416915</v>
      </c>
      <c r="CE70" s="141">
        <f ca="1">IF(CD87=0,0,1)*($P$70*(1+Assumptions!$H$69)^(CE11-1))</f>
        <v>-948.7692236416915</v>
      </c>
      <c r="CF70" s="141">
        <f ca="1">IF(CE87=0,0,1)*($P$70*(1+Assumptions!$H$69)^(CF11-1))</f>
        <v>-948.7692236416915</v>
      </c>
      <c r="CG70" s="141">
        <f ca="1">IF(CF87=0,0,1)*($P$70*(1+Assumptions!$H$69)^(CG11-1))</f>
        <v>-948.7692236416915</v>
      </c>
      <c r="CH70" s="141">
        <f ca="1">IF(CG87=0,0,1)*($P$70*(1+Assumptions!$H$69)^(CH11-1))</f>
        <v>-948.7692236416915</v>
      </c>
      <c r="CI70" s="141">
        <f ca="1">IF(CH87=0,0,1)*($P$70*(1+Assumptions!$H$69)^(CI11-1))</f>
        <v>-948.7692236416915</v>
      </c>
      <c r="CJ70" s="141">
        <f ca="1">IF(CI87=0,0,1)*($P$70*(1+Assumptions!$H$69)^(CJ11-1))</f>
        <v>-977.2323003509423</v>
      </c>
      <c r="CK70" s="141">
        <f ca="1">IF(CJ87=0,0,1)*($P$70*(1+Assumptions!$H$69)^(CK11-1))</f>
        <v>-977.2323003509423</v>
      </c>
      <c r="CL70" s="141">
        <f ca="1">IF(CK87=0,0,1)*($P$70*(1+Assumptions!$H$69)^(CL11-1))</f>
        <v>-977.2323003509423</v>
      </c>
      <c r="CM70" s="141">
        <f ca="1">IF(CL87=0,0,1)*($P$70*(1+Assumptions!$H$69)^(CM11-1))</f>
        <v>-977.2323003509423</v>
      </c>
      <c r="CN70" s="141">
        <f ca="1">IF(CM87=0,0,1)*($P$70*(1+Assumptions!$H$69)^(CN11-1))</f>
        <v>-977.2323003509423</v>
      </c>
      <c r="CO70" s="141">
        <f ca="1">IF(CN87=0,0,1)*($P$70*(1+Assumptions!$H$69)^(CO11-1))</f>
        <v>-977.2323003509423</v>
      </c>
      <c r="CP70" s="141">
        <f ca="1">IF(CO87=0,0,1)*($P$70*(1+Assumptions!$H$69)^(CP11-1))</f>
        <v>-977.2323003509423</v>
      </c>
      <c r="CQ70" s="141">
        <f ca="1">IF(CP87=0,0,1)*($P$70*(1+Assumptions!$H$69)^(CQ11-1))</f>
        <v>-977.2323003509423</v>
      </c>
      <c r="CR70" s="141">
        <f ca="1">IF(CQ87=0,0,1)*($P$70*(1+Assumptions!$H$69)^(CR11-1))</f>
        <v>-977.2323003509423</v>
      </c>
      <c r="CS70" s="141">
        <f ca="1">IF(CR87=0,0,1)*($P$70*(1+Assumptions!$H$69)^(CS11-1))</f>
        <v>-977.2323003509423</v>
      </c>
      <c r="CT70" s="141">
        <f ca="1">IF(CS87=0,0,1)*($P$70*(1+Assumptions!$H$69)^(CT11-1))</f>
        <v>-977.2323003509423</v>
      </c>
      <c r="CU70" s="141">
        <f ca="1">IF(CT87=0,0,1)*($P$70*(1+Assumptions!$H$69)^(CU11-1))</f>
        <v>-977.2323003509423</v>
      </c>
      <c r="CV70" s="141">
        <f ca="1">IF(CU87=0,0,1)*($P$70*(1+Assumptions!$H$69)^(CV11-1))</f>
        <v>-1006.5492693614706</v>
      </c>
      <c r="CW70" s="141">
        <f ca="1">IF(CV87=0,0,1)*($P$70*(1+Assumptions!$H$69)^(CW11-1))</f>
        <v>-1006.5492693614706</v>
      </c>
      <c r="CX70" s="141">
        <f ca="1">IF(CW87=0,0,1)*($P$70*(1+Assumptions!$H$69)^(CX11-1))</f>
        <v>-1006.5492693614706</v>
      </c>
      <c r="CY70" s="141">
        <f ca="1">IF(CX87=0,0,1)*($P$70*(1+Assumptions!$H$69)^(CY11-1))</f>
        <v>-1006.5492693614706</v>
      </c>
      <c r="CZ70" s="141">
        <f ca="1">IF(CY87=0,0,1)*($P$70*(1+Assumptions!$H$69)^(CZ11-1))</f>
        <v>-1006.5492693614706</v>
      </c>
      <c r="DA70" s="141">
        <f ca="1">IF(CZ87=0,0,1)*($P$70*(1+Assumptions!$H$69)^(DA11-1))</f>
        <v>-1006.5492693614706</v>
      </c>
      <c r="DB70" s="141">
        <f ca="1">IF(DA87=0,0,1)*($P$70*(1+Assumptions!$H$69)^(DB11-1))</f>
        <v>-1006.5492693614706</v>
      </c>
      <c r="DC70" s="141">
        <f ca="1">IF(DB87=0,0,1)*($P$70*(1+Assumptions!$H$69)^(DC11-1))</f>
        <v>-1006.5492693614706</v>
      </c>
      <c r="DD70" s="141">
        <f ca="1">IF(DC87=0,0,1)*($P$70*(1+Assumptions!$H$69)^(DD11-1))</f>
        <v>-1006.5492693614706</v>
      </c>
      <c r="DE70" s="141">
        <f ca="1">IF(DD87=0,0,1)*($P$70*(1+Assumptions!$H$69)^(DE11-1))</f>
        <v>-1006.5492693614706</v>
      </c>
      <c r="DF70" s="141">
        <f ca="1">IF(DE87=0,0,1)*($P$70*(1+Assumptions!$H$69)^(DF11-1))</f>
        <v>-1006.5492693614706</v>
      </c>
      <c r="DG70" s="141">
        <f ca="1">IF(DF87=0,0,1)*($P$70*(1+Assumptions!$H$69)^(DG11-1))</f>
        <v>-1006.5492693614706</v>
      </c>
      <c r="DH70" s="141">
        <f ca="1">IF(DG87=0,0,1)*($P$70*(1+Assumptions!$H$69)^(DH11-1))</f>
        <v>-1036.7457474423147</v>
      </c>
      <c r="DI70" s="141">
        <f ca="1">IF(DH87=0,0,1)*($P$70*(1+Assumptions!$H$69)^(DI11-1))</f>
        <v>-1036.7457474423147</v>
      </c>
      <c r="DJ70" s="141">
        <f>IF(DI87=0,0,1)*($P$70*(1+Assumptions!$H$69)^(DJ11-1))</f>
        <v>0</v>
      </c>
      <c r="DK70" s="141">
        <f>IF(DJ87=0,0,1)*($P$70*(1+Assumptions!$H$69)^(DK11-1))</f>
        <v>0</v>
      </c>
      <c r="DL70" s="141">
        <f>IF(DK87=0,0,1)*($P$70*(1+Assumptions!$H$69)^(DL11-1))</f>
        <v>0</v>
      </c>
      <c r="DM70" s="141">
        <f>IF(DL87=0,0,1)*($P$70*(1+Assumptions!$H$69)^(DM11-1))</f>
        <v>0</v>
      </c>
      <c r="DN70" s="141">
        <f>IF(DM87=0,0,1)*($P$70*(1+Assumptions!$H$69)^(DN11-1))</f>
        <v>0</v>
      </c>
      <c r="DO70" s="141">
        <f>IF(DN87=0,0,1)*($P$70*(1+Assumptions!$H$69)^(DO11-1))</f>
        <v>0</v>
      </c>
      <c r="DP70" s="141">
        <f>IF(DO87=0,0,1)*($P$70*(1+Assumptions!$H$69)^(DP11-1))</f>
        <v>0</v>
      </c>
      <c r="DQ70" s="141">
        <f>IF(DP87=0,0,1)*($P$70*(1+Assumptions!$H$69)^(DQ11-1))</f>
        <v>0</v>
      </c>
      <c r="DR70" s="141">
        <f>IF(DQ87=0,0,1)*($P$70*(1+Assumptions!$H$69)^(DR11-1))</f>
        <v>0</v>
      </c>
      <c r="DS70" s="141">
        <f>IF(DR87=0,0,1)*($P$70*(1+Assumptions!$H$69)^(DS11-1))</f>
        <v>0</v>
      </c>
      <c r="DT70" s="141">
        <f>IF(DS87=0,0,1)*($P$70*(1+Assumptions!$H$69)^(DT11-1))</f>
        <v>0</v>
      </c>
      <c r="DU70" s="141">
        <f>IF(DT87=0,0,1)*($P$70*(1+Assumptions!$H$69)^(DU11-1))</f>
        <v>0</v>
      </c>
      <c r="DV70" s="141">
        <f>IF(DU87=0,0,1)*($P$70*(1+Assumptions!$H$69)^(DV11-1))</f>
        <v>0</v>
      </c>
      <c r="DW70" s="141">
        <f>IF(DV87=0,0,1)*($P$70*(1+Assumptions!$H$69)^(DW11-1))</f>
        <v>0</v>
      </c>
      <c r="DX70" s="141">
        <f>IF(DW87=0,0,1)*($P$70*(1+Assumptions!$H$69)^(DX11-1))</f>
        <v>0</v>
      </c>
      <c r="DY70" s="141">
        <f>IF(DX87=0,0,1)*($P$70*(1+Assumptions!$H$69)^(DY11-1))</f>
        <v>0</v>
      </c>
      <c r="DZ70" s="141">
        <f>IF(DY87=0,0,1)*($P$70*(1+Assumptions!$H$69)^(DZ11-1))</f>
        <v>0</v>
      </c>
      <c r="EA70" s="141">
        <f>IF(DZ87=0,0,1)*($P$70*(1+Assumptions!$H$69)^(EA11-1))</f>
        <v>0</v>
      </c>
      <c r="EB70" s="141">
        <f>IF(EA87=0,0,1)*($P$70*(1+Assumptions!$H$69)^(EB11-1))</f>
        <v>0</v>
      </c>
      <c r="EC70" s="141">
        <f>IF(EB87=0,0,1)*($P$70*(1+Assumptions!$H$69)^(EC11-1))</f>
        <v>0</v>
      </c>
      <c r="ED70" s="141">
        <f>IF(EC87=0,0,1)*($P$70*(1+Assumptions!$H$69)^(ED11-1))</f>
        <v>0</v>
      </c>
      <c r="EE70" s="141">
        <f>IF(ED87=0,0,1)*($P$70*(1+Assumptions!$H$69)^(EE11-1))</f>
        <v>0</v>
      </c>
      <c r="EF70" s="141">
        <f>IF(EE87=0,0,1)*($P$70*(1+Assumptions!$H$69)^(EF11-1))</f>
        <v>0</v>
      </c>
      <c r="EG70" s="141">
        <f>IF(EF87=0,0,1)*($P$70*(1+Assumptions!$H$69)^(EG11-1))</f>
        <v>0</v>
      </c>
      <c r="EH70" s="141">
        <f>IF(EG87=0,0,1)*($P$70*(1+Assumptions!$H$69)^(EH11-1))</f>
        <v>0</v>
      </c>
      <c r="EI70" s="141">
        <f>IF(EH87=0,0,1)*($P$70*(1+Assumptions!$H$69)^(EI11-1))</f>
        <v>0</v>
      </c>
      <c r="EJ70" s="141">
        <f>IF(EI87=0,0,1)*($P$70*(1+Assumptions!$H$69)^(EJ11-1))</f>
        <v>0</v>
      </c>
      <c r="EK70" s="141">
        <f>IF(EJ87=0,0,1)*($P$70*(1+Assumptions!$H$69)^(EK11-1))</f>
        <v>0</v>
      </c>
      <c r="EL70" s="141">
        <f>IF(EK87=0,0,1)*($P$70*(1+Assumptions!$H$69)^(EL11-1))</f>
        <v>0</v>
      </c>
      <c r="EM70" s="141">
        <f>IF(EL87=0,0,1)*($P$70*(1+Assumptions!$H$69)^(EM11-1))</f>
        <v>0</v>
      </c>
      <c r="EN70" s="141">
        <f>IF(EM87=0,0,1)*($P$70*(1+Assumptions!$H$69)^(EN11-1))</f>
        <v>0</v>
      </c>
      <c r="EO70" s="141">
        <f>IF(EN87=0,0,1)*($P$70*(1+Assumptions!$H$69)^(EO11-1))</f>
        <v>0</v>
      </c>
      <c r="EP70" s="141">
        <f>IF(EO87=0,0,1)*($P$70*(1+Assumptions!$H$69)^(EP11-1))</f>
        <v>0</v>
      </c>
      <c r="EQ70" s="141">
        <f>IF(EP87=0,0,1)*($P$70*(1+Assumptions!$H$69)^(EQ11-1))</f>
        <v>0</v>
      </c>
      <c r="ES70" s="421"/>
      <c r="ET70" s="67"/>
      <c r="EU70" s="195"/>
    </row>
    <row r="71" spans="7:151" s="65" customFormat="1" ht="15.75">
      <c r="G71" s="482"/>
      <c r="H71" s="274" t="s">
        <v>114</v>
      </c>
      <c r="I71" s="502"/>
      <c r="J71" s="503"/>
      <c r="K71" s="199"/>
      <c r="L71" s="200"/>
      <c r="M71" s="200"/>
      <c r="N71" s="224"/>
      <c r="O71" s="787"/>
      <c r="P71" s="796">
        <f ca="1">-(P70/unit)*Assumptions!$H$17*(SUM($O$36:OFFSET(O36,0,-$C$37+1)))</f>
        <v>0</v>
      </c>
      <c r="Q71" s="796">
        <f ca="1">-(Q70/unit)*Assumptions!$H$17*(SUM($O$36:OFFSET(P36,0,-$C$37+1)))</f>
        <v>0</v>
      </c>
      <c r="R71" s="796">
        <f ca="1">-(R70/unit)*Assumptions!$H$17*(SUM($O$36:OFFSET(Q36,0,-$C$37+1)))</f>
        <v>0</v>
      </c>
      <c r="S71" s="796">
        <f ca="1">-(S70/unit)*Assumptions!$H$17*(SUM($O$36:OFFSET(R36,0,-$C$37+1)))</f>
        <v>0</v>
      </c>
      <c r="T71" s="796">
        <f ca="1">-(T70/unit)*Assumptions!$H$17*(SUM($O$36:OFFSET(S36,0,-$C$37+1)))</f>
        <v>13.640277777777778</v>
      </c>
      <c r="U71" s="796">
        <f ca="1">-(U70/unit)*Assumptions!$H$17*(SUM($O$36:OFFSET(T36,0,-$C$37+1)))</f>
        <v>68.201388888888886</v>
      </c>
      <c r="V71" s="796">
        <f ca="1">-(V70/unit)*Assumptions!$H$17*(SUM($O$36:OFFSET(U36,0,-$C$37+1)))</f>
        <v>136.40277777777777</v>
      </c>
      <c r="W71" s="796">
        <f ca="1">-(W70/unit)*Assumptions!$H$17*(SUM($O$36:OFFSET(V36,0,-$C$37+1)))</f>
        <v>136.40277777777777</v>
      </c>
      <c r="X71" s="796">
        <f ca="1">-(X70/unit)*Assumptions!$H$17*(SUM($O$36:OFFSET(W36,0,-$C$37+1)))</f>
        <v>136.40277777777777</v>
      </c>
      <c r="Y71" s="796">
        <f ca="1">-(Y70/unit)*Assumptions!$H$17*(SUM($O$36:OFFSET(X36,0,-$C$37+1)))</f>
        <v>136.40277777777777</v>
      </c>
      <c r="Z71" s="796">
        <f ca="1">-(Z70/unit)*Assumptions!$H$17*(SUM($O$36:OFFSET(Y36,0,-$C$37+1)))</f>
        <v>136.40277777777777</v>
      </c>
      <c r="AA71" s="796">
        <f ca="1">-(AA70/unit)*Assumptions!$H$17*(SUM($O$36:OFFSET(Z36,0,-$C$37+1)))</f>
        <v>136.40277777777777</v>
      </c>
      <c r="AB71" s="796">
        <f ca="1">-(AB70/unit)*Assumptions!$H$17*(SUM($O$36:OFFSET(AA36,0,-$C$37+1)))</f>
        <v>140.49486111111111</v>
      </c>
      <c r="AC71" s="796">
        <f ca="1">-(AC70/unit)*Assumptions!$H$17*(SUM($O$36:OFFSET(AB36,0,-$C$37+1)))</f>
        <v>140.49486111111111</v>
      </c>
      <c r="AD71" s="796">
        <f ca="1">-(AD70/unit)*Assumptions!$H$17*(SUM($O$36:OFFSET(AC36,0,-$C$37+1)))</f>
        <v>140.49486111111111</v>
      </c>
      <c r="AE71" s="796">
        <f ca="1">-(AE70/unit)*Assumptions!$H$17*(SUM($O$36:OFFSET(AD36,0,-$C$37+1)))</f>
        <v>210.74229166666666</v>
      </c>
      <c r="AF71" s="796">
        <f ca="1">-(AF70/unit)*Assumptions!$H$17*(SUM($O$36:OFFSET(AE36,0,-$C$37+1)))</f>
        <v>280.98972222222221</v>
      </c>
      <c r="AG71" s="796">
        <f ca="1">-(AG70/unit)*Assumptions!$H$17*(SUM($O$36:OFFSET(AF36,0,-$C$37+1)))</f>
        <v>280.98972222222221</v>
      </c>
      <c r="AH71" s="796">
        <f ca="1">-(AH70/unit)*Assumptions!$H$17*(SUM($O$36:OFFSET(AG36,0,-$C$37+1)))</f>
        <v>351.23715277777779</v>
      </c>
      <c r="AI71" s="796">
        <f ca="1">-(AI70/unit)*Assumptions!$H$17*(SUM($O$36:OFFSET(AH36,0,-$C$37+1)))</f>
        <v>351.23715277777779</v>
      </c>
      <c r="AJ71" s="796">
        <f ca="1">-(AJ70/unit)*Assumptions!$H$17*(SUM($O$36:OFFSET(AI36,0,-$C$37+1)))</f>
        <v>351.23715277777779</v>
      </c>
      <c r="AK71" s="796">
        <f ca="1">-(AK70/unit)*Assumptions!$H$17*(SUM($O$36:OFFSET(AJ36,0,-$C$37+1)))</f>
        <v>351.23715277777779</v>
      </c>
      <c r="AL71" s="796">
        <f ca="1">-(AL70/unit)*Assumptions!$H$17*(SUM($O$36:OFFSET(AK36,0,-$C$37+1)))</f>
        <v>351.23715277777779</v>
      </c>
      <c r="AM71" s="796">
        <f ca="1">-(AM70/unit)*Assumptions!$H$17*(SUM($O$36:OFFSET(AL36,0,-$C$37+1)))</f>
        <v>351.23715277777779</v>
      </c>
      <c r="AN71" s="796">
        <f ca="1">-(AN70/unit)*Assumptions!$H$17*(SUM($O$36:OFFSET(AM36,0,-$C$37+1)))</f>
        <v>361.77426736111107</v>
      </c>
      <c r="AO71" s="796">
        <f ca="1">-(AO70/unit)*Assumptions!$H$17*(SUM($O$36:OFFSET(AN36,0,-$C$37+1)))</f>
        <v>361.77426736111107</v>
      </c>
      <c r="AP71" s="796">
        <f ca="1">-(AP70/unit)*Assumptions!$H$17*(SUM($O$36:OFFSET(AO36,0,-$C$37+1)))</f>
        <v>361.77426736111107</v>
      </c>
      <c r="AQ71" s="796">
        <f ca="1">-(AQ70/unit)*Assumptions!$H$17*(SUM($O$36:OFFSET(AP36,0,-$C$37+1)))</f>
        <v>361.77426736111107</v>
      </c>
      <c r="AR71" s="796">
        <f ca="1">-(AR70/unit)*Assumptions!$H$17*(SUM($O$36:OFFSET(AQ36,0,-$C$37+1)))</f>
        <v>361.77426736111107</v>
      </c>
      <c r="AS71" s="796">
        <f ca="1">-(AS70/unit)*Assumptions!$H$17*(SUM($O$36:OFFSET(AR36,0,-$C$37+1)))</f>
        <v>361.77426736111107</v>
      </c>
      <c r="AT71" s="796">
        <f ca="1">-(AT70/unit)*Assumptions!$H$17*(SUM($O$36:OFFSET(AS36,0,-$C$37+1)))</f>
        <v>419.65815013888886</v>
      </c>
      <c r="AU71" s="796">
        <f ca="1">-(AU70/unit)*Assumptions!$H$17*(SUM($O$36:OFFSET(AT36,0,-$C$37+1)))</f>
        <v>419.65815013888886</v>
      </c>
      <c r="AV71" s="796">
        <f ca="1">-(AV70/unit)*Assumptions!$H$17*(SUM($O$36:OFFSET(AU36,0,-$C$37+1)))</f>
        <v>434.12912083333327</v>
      </c>
      <c r="AW71" s="796">
        <f ca="1">-(AW70/unit)*Assumptions!$H$17*(SUM($O$36:OFFSET(AV36,0,-$C$37+1)))</f>
        <v>434.12912083333327</v>
      </c>
      <c r="AX71" s="796">
        <f ca="1">-(AX70/unit)*Assumptions!$H$17*(SUM($O$36:OFFSET(AW36,0,-$C$37+1)))</f>
        <v>434.12912083333327</v>
      </c>
      <c r="AY71" s="796">
        <f ca="1">-(AY70/unit)*Assumptions!$H$17*(SUM($O$36:OFFSET(AX36,0,-$C$37+1)))</f>
        <v>434.12912083333327</v>
      </c>
      <c r="AZ71" s="796">
        <f ca="1">-(AZ70/unit)*Assumptions!$H$17*(SUM($O$36:OFFSET(AY36,0,-$C$37+1)))</f>
        <v>447.1529944583333</v>
      </c>
      <c r="BA71" s="796">
        <f ca="1">-(BA70/unit)*Assumptions!$H$17*(SUM($O$36:OFFSET(AZ36,0,-$C$37+1)))</f>
        <v>447.1529944583333</v>
      </c>
      <c r="BB71" s="796">
        <f ca="1">-(BB70/unit)*Assumptions!$H$17*(SUM($O$36:OFFSET(BA36,0,-$C$37+1)))</f>
        <v>447.1529944583333</v>
      </c>
      <c r="BC71" s="796">
        <f ca="1">-(BC70/unit)*Assumptions!$H$17*(SUM($O$36:OFFSET(BB36,0,-$C$37+1)))</f>
        <v>447.1529944583333</v>
      </c>
      <c r="BD71" s="796">
        <f ca="1">-(BD70/unit)*Assumptions!$H$17*(SUM($O$36:OFFSET(BC36,0,-$C$37+1)))</f>
        <v>447.1529944583333</v>
      </c>
      <c r="BE71" s="796">
        <f ca="1">-(BE70/unit)*Assumptions!$H$17*(SUM($O$36:OFFSET(BD36,0,-$C$37+1)))</f>
        <v>447.1529944583333</v>
      </c>
      <c r="BF71" s="796">
        <f ca="1">-(BF70/unit)*Assumptions!$H$17*(SUM($O$36:OFFSET(BE36,0,-$C$37+1)))</f>
        <v>447.1529944583333</v>
      </c>
      <c r="BG71" s="796">
        <f ca="1">-(BG70/unit)*Assumptions!$H$17*(SUM($O$36:OFFSET(BF36,0,-$C$37+1)))</f>
        <v>447.1529944583333</v>
      </c>
      <c r="BH71" s="796">
        <f ca="1">-(BH70/unit)*Assumptions!$H$17*(SUM($O$36:OFFSET(BG36,0,-$C$37+1)))</f>
        <v>447.1529944583333</v>
      </c>
      <c r="BI71" s="796">
        <f ca="1">-(BI70/unit)*Assumptions!$H$17*(SUM($O$36:OFFSET(BH36,0,-$C$37+1)))</f>
        <v>447.1529944583333</v>
      </c>
      <c r="BJ71" s="796">
        <f ca="1">-(BJ70/unit)*Assumptions!$H$17*(SUM($O$36:OFFSET(BI36,0,-$C$37+1)))</f>
        <v>447.1529944583333</v>
      </c>
      <c r="BK71" s="796">
        <f ca="1">-(BK70/unit)*Assumptions!$H$17*(SUM($O$36:OFFSET(BJ36,0,-$C$37+1)))</f>
        <v>447.1529944583333</v>
      </c>
      <c r="BL71" s="796">
        <f ca="1">-(BL70/unit)*Assumptions!$H$17*(SUM($O$36:OFFSET(BK36,0,-$C$37+1)))</f>
        <v>460.56758429208327</v>
      </c>
      <c r="BM71" s="796">
        <f ca="1">-(BM70/unit)*Assumptions!$H$17*(SUM($O$36:OFFSET(BL36,0,-$C$37+1)))</f>
        <v>460.56758429208327</v>
      </c>
      <c r="BN71" s="796">
        <f ca="1">-(BN70/unit)*Assumptions!$H$17*(SUM($O$36:OFFSET(BM36,0,-$C$37+1)))</f>
        <v>460.56758429208327</v>
      </c>
      <c r="BO71" s="796">
        <f ca="1">-(BO70/unit)*Assumptions!$H$17*(SUM($O$36:OFFSET(BN36,0,-$C$37+1)))</f>
        <v>460.56758429208327</v>
      </c>
      <c r="BP71" s="796">
        <f ca="1">-(BP70/unit)*Assumptions!$H$17*(SUM($O$36:OFFSET(BO36,0,-$C$37+1)))</f>
        <v>460.56758429208327</v>
      </c>
      <c r="BQ71" s="796">
        <f ca="1">-(BQ70/unit)*Assumptions!$H$17*(SUM($O$36:OFFSET(BP36,0,-$C$37+1)))</f>
        <v>460.56758429208327</v>
      </c>
      <c r="BR71" s="796">
        <f ca="1">-(BR70/unit)*Assumptions!$H$17*(SUM($O$36:OFFSET(BQ36,0,-$C$37+1)))</f>
        <v>460.56758429208327</v>
      </c>
      <c r="BS71" s="796">
        <f ca="1">-(BS70/unit)*Assumptions!$H$17*(SUM($O$36:OFFSET(BR36,0,-$C$37+1)))</f>
        <v>460.56758429208327</v>
      </c>
      <c r="BT71" s="796">
        <f ca="1">-(BT70/unit)*Assumptions!$H$17*(SUM($O$36:OFFSET(BS36,0,-$C$37+1)))</f>
        <v>460.56758429208327</v>
      </c>
      <c r="BU71" s="796">
        <f ca="1">-(BU70/unit)*Assumptions!$H$17*(SUM($O$36:OFFSET(BT36,0,-$C$37+1)))</f>
        <v>460.56758429208327</v>
      </c>
      <c r="BV71" s="796">
        <f ca="1">-(BV70/unit)*Assumptions!$H$17*(SUM($O$36:OFFSET(BU36,0,-$C$37+1)))</f>
        <v>460.56758429208327</v>
      </c>
      <c r="BW71" s="796">
        <f ca="1">-(BW70/unit)*Assumptions!$H$17*(SUM($O$36:OFFSET(BV36,0,-$C$37+1)))</f>
        <v>460.56758429208327</v>
      </c>
      <c r="BX71" s="796">
        <f ca="1">-(BX70/unit)*Assumptions!$H$17*(SUM($O$36:OFFSET(BW36,0,-$C$37+1)))</f>
        <v>474.38461182084575</v>
      </c>
      <c r="BY71" s="796">
        <f ca="1">-(BY70/unit)*Assumptions!$H$17*(SUM($O$36:OFFSET(BX36,0,-$C$37+1)))</f>
        <v>474.38461182084575</v>
      </c>
      <c r="BZ71" s="796">
        <f ca="1">-(BZ70/unit)*Assumptions!$H$17*(SUM($O$36:OFFSET(BY36,0,-$C$37+1)))</f>
        <v>474.38461182084575</v>
      </c>
      <c r="CA71" s="796">
        <f ca="1">-(CA70/unit)*Assumptions!$H$17*(SUM($O$36:OFFSET(BZ36,0,-$C$37+1)))</f>
        <v>474.38461182084575</v>
      </c>
      <c r="CB71" s="796">
        <f ca="1">-(CB70/unit)*Assumptions!$H$17*(SUM($O$36:OFFSET(CA36,0,-$C$37+1)))</f>
        <v>474.38461182084575</v>
      </c>
      <c r="CC71" s="796">
        <f ca="1">-(CC70/unit)*Assumptions!$H$17*(SUM($O$36:OFFSET(CB36,0,-$C$37+1)))</f>
        <v>474.38461182084575</v>
      </c>
      <c r="CD71" s="796">
        <f ca="1">-(CD70/unit)*Assumptions!$H$17*(SUM($O$36:OFFSET(CC36,0,-$C$37+1)))</f>
        <v>474.38461182084575</v>
      </c>
      <c r="CE71" s="796">
        <f ca="1">-(CE70/unit)*Assumptions!$H$17*(SUM($O$36:OFFSET(CD36,0,-$C$37+1)))</f>
        <v>474.38461182084575</v>
      </c>
      <c r="CF71" s="796">
        <f ca="1">-(CF70/unit)*Assumptions!$H$17*(SUM($O$36:OFFSET(CE36,0,-$C$37+1)))</f>
        <v>474.38461182084575</v>
      </c>
      <c r="CG71" s="796">
        <f ca="1">-(CG70/unit)*Assumptions!$H$17*(SUM($O$36:OFFSET(CF36,0,-$C$37+1)))</f>
        <v>474.38461182084575</v>
      </c>
      <c r="CH71" s="796">
        <f ca="1">-(CH70/unit)*Assumptions!$H$17*(SUM($O$36:OFFSET(CG36,0,-$C$37+1)))</f>
        <v>474.38461182084575</v>
      </c>
      <c r="CI71" s="796">
        <f ca="1">-(CI70/unit)*Assumptions!$H$17*(SUM($O$36:OFFSET(CH36,0,-$C$37+1)))</f>
        <v>474.38461182084575</v>
      </c>
      <c r="CJ71" s="796">
        <f ca="1">-(CJ70/unit)*Assumptions!$H$17*(SUM($O$36:OFFSET(CI36,0,-$C$37+1)))</f>
        <v>488.61615017547115</v>
      </c>
      <c r="CK71" s="796">
        <f ca="1">-(CK70/unit)*Assumptions!$H$17*(SUM($O$36:OFFSET(CJ36,0,-$C$37+1)))</f>
        <v>488.61615017547115</v>
      </c>
      <c r="CL71" s="796">
        <f ca="1">-(CL70/unit)*Assumptions!$H$17*(SUM($O$36:OFFSET(CK36,0,-$C$37+1)))</f>
        <v>488.61615017547115</v>
      </c>
      <c r="CM71" s="796">
        <f ca="1">-(CM70/unit)*Assumptions!$H$17*(SUM($O$36:OFFSET(CL36,0,-$C$37+1)))</f>
        <v>488.61615017547115</v>
      </c>
      <c r="CN71" s="796">
        <f ca="1">-(CN70/unit)*Assumptions!$H$17*(SUM($O$36:OFFSET(CM36,0,-$C$37+1)))</f>
        <v>488.61615017547115</v>
      </c>
      <c r="CO71" s="796">
        <f ca="1">-(CO70/unit)*Assumptions!$H$17*(SUM($O$36:OFFSET(CN36,0,-$C$37+1)))</f>
        <v>488.61615017547115</v>
      </c>
      <c r="CP71" s="796">
        <f ca="1">-(CP70/unit)*Assumptions!$H$17*(SUM($O$36:OFFSET(CO36,0,-$C$37+1)))</f>
        <v>488.61615017547115</v>
      </c>
      <c r="CQ71" s="796">
        <f ca="1">-(CQ70/unit)*Assumptions!$H$17*(SUM($O$36:OFFSET(CP36,0,-$C$37+1)))</f>
        <v>488.61615017547115</v>
      </c>
      <c r="CR71" s="796">
        <f ca="1">-(CR70/unit)*Assumptions!$H$17*(SUM($O$36:OFFSET(CQ36,0,-$C$37+1)))</f>
        <v>488.61615017547115</v>
      </c>
      <c r="CS71" s="796">
        <f ca="1">-(CS70/unit)*Assumptions!$H$17*(SUM($O$36:OFFSET(CR36,0,-$C$37+1)))</f>
        <v>488.61615017547115</v>
      </c>
      <c r="CT71" s="796">
        <f ca="1">-(CT70/unit)*Assumptions!$H$17*(SUM($O$36:OFFSET(CS36,0,-$C$37+1)))</f>
        <v>488.61615017547115</v>
      </c>
      <c r="CU71" s="796">
        <f ca="1">-(CU70/unit)*Assumptions!$H$17*(SUM($O$36:OFFSET(CT36,0,-$C$37+1)))</f>
        <v>488.61615017547115</v>
      </c>
      <c r="CV71" s="796">
        <f ca="1">-(CV70/unit)*Assumptions!$H$17*(SUM($O$36:OFFSET(CU36,0,-$C$37+1)))</f>
        <v>503.27463468073529</v>
      </c>
      <c r="CW71" s="796">
        <f ca="1">-(CW70/unit)*Assumptions!$H$17*(SUM($O$36:OFFSET(CV36,0,-$C$37+1)))</f>
        <v>503.27463468073529</v>
      </c>
      <c r="CX71" s="796">
        <f ca="1">-(CX70/unit)*Assumptions!$H$17*(SUM($O$36:OFFSET(CW36,0,-$C$37+1)))</f>
        <v>503.27463468073529</v>
      </c>
      <c r="CY71" s="796">
        <f ca="1">-(CY70/unit)*Assumptions!$H$17*(SUM($O$36:OFFSET(CX36,0,-$C$37+1)))</f>
        <v>503.27463468073529</v>
      </c>
      <c r="CZ71" s="796">
        <f ca="1">-(CZ70/unit)*Assumptions!$H$17*(SUM($O$36:OFFSET(CY36,0,-$C$37+1)))</f>
        <v>503.27463468073529</v>
      </c>
      <c r="DA71" s="796">
        <f ca="1">-(DA70/unit)*Assumptions!$H$17*(SUM($O$36:OFFSET(CZ36,0,-$C$37+1)))</f>
        <v>503.27463468073529</v>
      </c>
      <c r="DB71" s="796">
        <f ca="1">-(DB70/unit)*Assumptions!$H$17*(SUM($O$36:OFFSET(DA36,0,-$C$37+1)))</f>
        <v>503.27463468073529</v>
      </c>
      <c r="DC71" s="796">
        <f ca="1">-(DC70/unit)*Assumptions!$H$17*(SUM($O$36:OFFSET(DB36,0,-$C$37+1)))</f>
        <v>503.27463468073529</v>
      </c>
      <c r="DD71" s="796">
        <f ca="1">-(DD70/unit)*Assumptions!$H$17*(SUM($O$36:OFFSET(DC36,0,-$C$37+1)))</f>
        <v>503.27463468073529</v>
      </c>
      <c r="DE71" s="796">
        <f ca="1">-(DE70/unit)*Assumptions!$H$17*(SUM($O$36:OFFSET(DD36,0,-$C$37+1)))</f>
        <v>503.27463468073529</v>
      </c>
      <c r="DF71" s="796">
        <f ca="1">-(DF70/unit)*Assumptions!$H$17*(SUM($O$36:OFFSET(DE36,0,-$C$37+1)))</f>
        <v>503.27463468073529</v>
      </c>
      <c r="DG71" s="796">
        <f ca="1">-(DG70/unit)*Assumptions!$H$17*(SUM($O$36:OFFSET(DF36,0,-$C$37+1)))</f>
        <v>503.27463468073529</v>
      </c>
      <c r="DH71" s="796">
        <f ca="1">-(DH70/unit)*Assumptions!$H$17*(SUM($O$36:OFFSET(DG36,0,-$C$37+1)))</f>
        <v>518.37287372115736</v>
      </c>
      <c r="DI71" s="796">
        <f ca="1">-(DI70/unit)*Assumptions!$H$17*(SUM($O$36:OFFSET(DH36,0,-$C$37+1)))</f>
        <v>518.37287372115736</v>
      </c>
      <c r="DJ71" s="796">
        <f ca="1">-(DJ70/unit)*Assumptions!$H$17*(SUM($O$36:OFFSET(DI36,0,-$C$37+1)))</f>
        <v>0</v>
      </c>
      <c r="DK71" s="796">
        <f ca="1">-(DK70/unit)*Assumptions!$H$17*(SUM($O$36:OFFSET(DJ36,0,-$C$37+1)))</f>
        <v>0</v>
      </c>
      <c r="DL71" s="796">
        <f ca="1">-(DL70/unit)*Assumptions!$H$17*(SUM($O$36:OFFSET(DK36,0,-$C$37+1)))</f>
        <v>0</v>
      </c>
      <c r="DM71" s="796">
        <f ca="1">-(DM70/unit)*Assumptions!$H$17*(SUM($O$36:OFFSET(DL36,0,-$C$37+1)))</f>
        <v>0</v>
      </c>
      <c r="DN71" s="796">
        <f ca="1">-(DN70/unit)*Assumptions!$H$17*(SUM($O$36:OFFSET(DM36,0,-$C$37+1)))</f>
        <v>0</v>
      </c>
      <c r="DO71" s="796">
        <f ca="1">-(DO70/unit)*Assumptions!$H$17*(SUM($O$36:OFFSET(DN36,0,-$C$37+1)))</f>
        <v>0</v>
      </c>
      <c r="DP71" s="796">
        <f ca="1">-(DP70/unit)*Assumptions!$H$17*(SUM($O$36:OFFSET(DO36,0,-$C$37+1)))</f>
        <v>0</v>
      </c>
      <c r="DQ71" s="796">
        <f ca="1">-(DQ70/unit)*Assumptions!$H$17*(SUM($O$36:OFFSET(DP36,0,-$C$37+1)))</f>
        <v>0</v>
      </c>
      <c r="DR71" s="796">
        <f ca="1">-(DR70/unit)*Assumptions!$H$17*(SUM($O$36:OFFSET(DQ36,0,-$C$37+1)))</f>
        <v>0</v>
      </c>
      <c r="DS71" s="796">
        <f ca="1">-(DS70/unit)*Assumptions!$H$17*(SUM($O$36:OFFSET(DR36,0,-$C$37+1)))</f>
        <v>0</v>
      </c>
      <c r="DT71" s="796">
        <f ca="1">-(DT70/unit)*Assumptions!$H$17*(SUM($O$36:OFFSET(DS36,0,-$C$37+1)))</f>
        <v>0</v>
      </c>
      <c r="DU71" s="796">
        <f ca="1">-(DU70/unit)*Assumptions!$H$17*(SUM($O$36:OFFSET(DT36,0,-$C$37+1)))</f>
        <v>0</v>
      </c>
      <c r="DV71" s="796">
        <f ca="1">-(DV70/unit)*Assumptions!$H$17*(SUM($O$36:OFFSET(DU36,0,-$C$37+1)))</f>
        <v>0</v>
      </c>
      <c r="DW71" s="796">
        <f ca="1">-(DW70/unit)*Assumptions!$H$17*(SUM($O$36:OFFSET(DV36,0,-$C$37+1)))</f>
        <v>0</v>
      </c>
      <c r="DX71" s="796">
        <f ca="1">-(DX70/unit)*Assumptions!$H$17*(SUM($O$36:OFFSET(DW36,0,-$C$37+1)))</f>
        <v>0</v>
      </c>
      <c r="DY71" s="796">
        <f ca="1">-(DY70/unit)*Assumptions!$H$17*(SUM($O$36:OFFSET(DX36,0,-$C$37+1)))</f>
        <v>0</v>
      </c>
      <c r="DZ71" s="796">
        <f ca="1">-(DZ70/unit)*Assumptions!$H$17*(SUM($O$36:OFFSET(DY36,0,-$C$37+1)))</f>
        <v>0</v>
      </c>
      <c r="EA71" s="796">
        <f ca="1">-(EA70/unit)*Assumptions!$H$17*(SUM($O$36:OFFSET(DZ36,0,-$C$37+1)))</f>
        <v>0</v>
      </c>
      <c r="EB71" s="796">
        <f ca="1">-(EB70/unit)*Assumptions!$H$17*(SUM($O$36:OFFSET(EA36,0,-$C$37+1)))</f>
        <v>0</v>
      </c>
      <c r="EC71" s="796">
        <f ca="1">-(EC70/unit)*Assumptions!$H$17*(SUM($O$36:OFFSET(EB36,0,-$C$37+1)))</f>
        <v>0</v>
      </c>
      <c r="ED71" s="796">
        <f ca="1">-(ED70/unit)*Assumptions!$H$17*(SUM($O$36:OFFSET(EC36,0,-$C$37+1)))</f>
        <v>0</v>
      </c>
      <c r="EE71" s="796">
        <f ca="1">-(EE70/unit)*Assumptions!$H$17*(SUM($O$36:OFFSET(ED36,0,-$C$37+1)))</f>
        <v>0</v>
      </c>
      <c r="EF71" s="796">
        <f ca="1">-(EF70/unit)*Assumptions!$H$17*(SUM($O$36:OFFSET(EE36,0,-$C$37+1)))</f>
        <v>0</v>
      </c>
      <c r="EG71" s="796">
        <f ca="1">-(EG70/unit)*Assumptions!$H$17*(SUM($O$36:OFFSET(EF36,0,-$C$37+1)))</f>
        <v>0</v>
      </c>
      <c r="EH71" s="796">
        <f ca="1">-(EH70/unit)*Assumptions!$H$17*(SUM($O$36:OFFSET(EG36,0,-$C$37+1)))</f>
        <v>0</v>
      </c>
      <c r="EI71" s="796">
        <f ca="1">-(EI70/unit)*Assumptions!$H$17*(SUM($O$36:OFFSET(EH36,0,-$C$37+1)))</f>
        <v>0</v>
      </c>
      <c r="EJ71" s="796">
        <f ca="1">-(EJ70/unit)*Assumptions!$H$17*(SUM($O$36:OFFSET(EI36,0,-$C$37+1)))</f>
        <v>0</v>
      </c>
      <c r="EK71" s="796">
        <f ca="1">-(EK70/unit)*Assumptions!$H$17*(SUM($O$36:OFFSET(EJ36,0,-$C$37+1)))</f>
        <v>0</v>
      </c>
      <c r="EL71" s="796">
        <f ca="1">-(EL70/unit)*Assumptions!$H$17*(SUM($O$36:OFFSET(EK36,0,-$C$37+1)))</f>
        <v>0</v>
      </c>
      <c r="EM71" s="796">
        <f ca="1">-(EM70/unit)*Assumptions!$H$17*(SUM($O$36:OFFSET(EL36,0,-$C$37+1)))</f>
        <v>0</v>
      </c>
      <c r="EN71" s="796">
        <f ca="1">-(EN70/unit)*Assumptions!$H$17*(SUM($O$36:OFFSET(EM36,0,-$C$37+1)))</f>
        <v>0</v>
      </c>
      <c r="EO71" s="796">
        <f ca="1">-(EO70/unit)*Assumptions!$H$17*(SUM($O$36:OFFSET(EN36,0,-$C$37+1)))</f>
        <v>0</v>
      </c>
      <c r="EP71" s="796">
        <f ca="1">-(EP70/unit)*Assumptions!$H$17*(SUM($O$36:OFFSET(EO36,0,-$C$37+1)))</f>
        <v>0</v>
      </c>
      <c r="EQ71" s="796">
        <f ca="1">-(EQ70/unit)*Assumptions!$H$17*(SUM($O$36:OFFSET(EP36,0,-$C$37+1)))</f>
        <v>0</v>
      </c>
      <c r="ES71" s="421"/>
      <c r="ET71" s="67"/>
      <c r="EU71" s="195"/>
    </row>
    <row r="72" spans="7:151" ht="15.75">
      <c r="G72" s="145"/>
      <c r="H72" s="128" t="s">
        <v>5</v>
      </c>
      <c r="I72" s="504"/>
      <c r="J72" s="505"/>
      <c r="K72" s="130"/>
      <c r="L72" s="131"/>
      <c r="M72" s="131"/>
      <c r="N72" s="225">
        <f>'Annual Cash Flow'!C47</f>
        <v>-17748</v>
      </c>
      <c r="O72" s="787"/>
      <c r="P72" s="102">
        <f>-Assumptions!F59/12</f>
        <v>-1479</v>
      </c>
      <c r="Q72" s="141">
        <f ca="1">IF(P87=0,0,1)*($P$72*(1+Assumptions!$H$69)^(Q11-1))</f>
        <v>-1479</v>
      </c>
      <c r="R72" s="141">
        <f ca="1">IF(Q87=0,0,1)*($P$72*(1+Assumptions!$H$69)^(R11-1))</f>
        <v>-1479</v>
      </c>
      <c r="S72" s="141">
        <f ca="1">IF(R87=0,0,1)*($P$72*(1+Assumptions!$H$69)^(S11-1))</f>
        <v>-1479</v>
      </c>
      <c r="T72" s="141">
        <f ca="1">IF(S87=0,0,1)*($P$72*(1+Assumptions!$H$69)^(T11-1))</f>
        <v>-1479</v>
      </c>
      <c r="U72" s="141">
        <f ca="1">IF(T87=0,0,1)*($P$72*(1+Assumptions!$H$69)^(U11-1))</f>
        <v>-1479</v>
      </c>
      <c r="V72" s="141">
        <f ca="1">IF(U87=0,0,1)*($P$72*(1+Assumptions!$H$69)^(V11-1))</f>
        <v>-1479</v>
      </c>
      <c r="W72" s="141">
        <f ca="1">IF(V87=0,0,1)*($P$72*(1+Assumptions!$H$69)^(W11-1))</f>
        <v>-1479</v>
      </c>
      <c r="X72" s="141">
        <f ca="1">IF(W87=0,0,1)*($P$72*(1+Assumptions!$H$69)^(X11-1))</f>
        <v>-1479</v>
      </c>
      <c r="Y72" s="141">
        <f ca="1">IF(X87=0,0,1)*($P$72*(1+Assumptions!$H$69)^(Y11-1))</f>
        <v>-1479</v>
      </c>
      <c r="Z72" s="141">
        <f ca="1">IF(Y87=0,0,1)*($P$72*(1+Assumptions!$H$69)^(Z11-1))</f>
        <v>-1479</v>
      </c>
      <c r="AA72" s="141">
        <f ca="1">IF(Z87=0,0,1)*($P$72*(1+Assumptions!$H$69)^(AA11-1))</f>
        <v>-1479</v>
      </c>
      <c r="AB72" s="141">
        <f ca="1">IF(AA87=0,0,1)*($P$72*(1+Assumptions!$H$69)^(AB11-1))</f>
        <v>-1523.3700000000001</v>
      </c>
      <c r="AC72" s="141">
        <f ca="1">IF(AB87=0,0,1)*($P$72*(1+Assumptions!$H$69)^(AC11-1))</f>
        <v>-1523.3700000000001</v>
      </c>
      <c r="AD72" s="141">
        <f ca="1">IF(AC87=0,0,1)*($P$72*(1+Assumptions!$H$69)^(AD11-1))</f>
        <v>-1523.3700000000001</v>
      </c>
      <c r="AE72" s="141">
        <f ca="1">IF(AD87=0,0,1)*($P$72*(1+Assumptions!$H$69)^(AE11-1))</f>
        <v>-1523.3700000000001</v>
      </c>
      <c r="AF72" s="141">
        <f ca="1">IF(AE87=0,0,1)*($P$72*(1+Assumptions!$H$69)^(AF11-1))</f>
        <v>-1523.3700000000001</v>
      </c>
      <c r="AG72" s="141">
        <f ca="1">IF(AF87=0,0,1)*($P$72*(1+Assumptions!$H$69)^(AG11-1))</f>
        <v>-1523.3700000000001</v>
      </c>
      <c r="AH72" s="141">
        <f ca="1">IF(AG87=0,0,1)*($P$72*(1+Assumptions!$H$69)^(AH11-1))</f>
        <v>-1523.3700000000001</v>
      </c>
      <c r="AI72" s="141">
        <f ca="1">IF(AH87=0,0,1)*($P$72*(1+Assumptions!$H$69)^(AI11-1))</f>
        <v>-1523.3700000000001</v>
      </c>
      <c r="AJ72" s="141">
        <f ca="1">IF(AI87=0,0,1)*($P$72*(1+Assumptions!$H$69)^(AJ11-1))</f>
        <v>-1523.3700000000001</v>
      </c>
      <c r="AK72" s="141">
        <f ca="1">IF(AJ87=0,0,1)*($P$72*(1+Assumptions!$H$69)^(AK11-1))</f>
        <v>-1523.3700000000001</v>
      </c>
      <c r="AL72" s="141">
        <f ca="1">IF(AK87=0,0,1)*($P$72*(1+Assumptions!$H$69)^(AL11-1))</f>
        <v>-1523.3700000000001</v>
      </c>
      <c r="AM72" s="141">
        <f ca="1">IF(AL87=0,0,1)*($P$72*(1+Assumptions!$H$69)^(AM11-1))</f>
        <v>-1523.3700000000001</v>
      </c>
      <c r="AN72" s="141">
        <f ca="1">IF(AM87=0,0,1)*($P$72*(1+Assumptions!$H$69)^(AN11-1))</f>
        <v>-1569.0710999999999</v>
      </c>
      <c r="AO72" s="141">
        <f ca="1">IF(AN87=0,0,1)*($P$72*(1+Assumptions!$H$69)^(AO11-1))</f>
        <v>-1569.0710999999999</v>
      </c>
      <c r="AP72" s="141">
        <f ca="1">IF(AO87=0,0,1)*($P$72*(1+Assumptions!$H$69)^(AP11-1))</f>
        <v>-1569.0710999999999</v>
      </c>
      <c r="AQ72" s="141">
        <f ca="1">IF(AP87=0,0,1)*($P$72*(1+Assumptions!$H$69)^(AQ11-1))</f>
        <v>-1569.0710999999999</v>
      </c>
      <c r="AR72" s="141">
        <f ca="1">IF(AQ87=0,0,1)*($P$72*(1+Assumptions!$H$69)^(AR11-1))</f>
        <v>-1569.0710999999999</v>
      </c>
      <c r="AS72" s="141">
        <f ca="1">IF(AR87=0,0,1)*($P$72*(1+Assumptions!$H$69)^(AS11-1))</f>
        <v>-1569.0710999999999</v>
      </c>
      <c r="AT72" s="141">
        <f ca="1">IF(AS87=0,0,1)*($P$72*(1+Assumptions!$H$69)^(AT11-1))</f>
        <v>-1569.0710999999999</v>
      </c>
      <c r="AU72" s="141">
        <f ca="1">IF(AT87=0,0,1)*($P$72*(1+Assumptions!$H$69)^(AU11-1))</f>
        <v>-1569.0710999999999</v>
      </c>
      <c r="AV72" s="141">
        <f ca="1">IF(AU87=0,0,1)*($P$72*(1+Assumptions!$H$69)^(AV11-1))</f>
        <v>-1569.0710999999999</v>
      </c>
      <c r="AW72" s="141">
        <f ca="1">IF(AV87=0,0,1)*($P$72*(1+Assumptions!$H$69)^(AW11-1))</f>
        <v>-1569.0710999999999</v>
      </c>
      <c r="AX72" s="141">
        <f ca="1">IF(AW87=0,0,1)*($P$72*(1+Assumptions!$H$69)^(AX11-1))</f>
        <v>-1569.0710999999999</v>
      </c>
      <c r="AY72" s="141">
        <f ca="1">IF(AX87=0,0,1)*($P$72*(1+Assumptions!$H$69)^(AY11-1))</f>
        <v>-1569.0710999999999</v>
      </c>
      <c r="AZ72" s="141">
        <f ca="1">IF(AY87=0,0,1)*($P$72*(1+Assumptions!$H$69)^(AZ11-1))</f>
        <v>-1616.143233</v>
      </c>
      <c r="BA72" s="141">
        <f ca="1">IF(AZ87=0,0,1)*($P$72*(1+Assumptions!$H$69)^(BA11-1))</f>
        <v>-1616.143233</v>
      </c>
      <c r="BB72" s="141">
        <f ca="1">IF(BA87=0,0,1)*($P$72*(1+Assumptions!$H$69)^(BB11-1))</f>
        <v>-1616.143233</v>
      </c>
      <c r="BC72" s="141">
        <f ca="1">IF(BB87=0,0,1)*($P$72*(1+Assumptions!$H$69)^(BC11-1))</f>
        <v>-1616.143233</v>
      </c>
      <c r="BD72" s="141">
        <f ca="1">IF(BC87=0,0,1)*($P$72*(1+Assumptions!$H$69)^(BD11-1))</f>
        <v>-1616.143233</v>
      </c>
      <c r="BE72" s="141">
        <f ca="1">IF(BD87=0,0,1)*($P$72*(1+Assumptions!$H$69)^(BE11-1))</f>
        <v>-1616.143233</v>
      </c>
      <c r="BF72" s="141">
        <f ca="1">IF(BE87=0,0,1)*($P$72*(1+Assumptions!$H$69)^(BF11-1))</f>
        <v>-1616.143233</v>
      </c>
      <c r="BG72" s="141">
        <f ca="1">IF(BF87=0,0,1)*($P$72*(1+Assumptions!$H$69)^(BG11-1))</f>
        <v>-1616.143233</v>
      </c>
      <c r="BH72" s="141">
        <f ca="1">IF(BG87=0,0,1)*($P$72*(1+Assumptions!$H$69)^(BH11-1))</f>
        <v>-1616.143233</v>
      </c>
      <c r="BI72" s="141">
        <f ca="1">IF(BH87=0,0,1)*($P$72*(1+Assumptions!$H$69)^(BI11-1))</f>
        <v>-1616.143233</v>
      </c>
      <c r="BJ72" s="141">
        <f ca="1">IF(BI87=0,0,1)*($P$72*(1+Assumptions!$H$69)^(BJ11-1))</f>
        <v>-1616.143233</v>
      </c>
      <c r="BK72" s="141">
        <f ca="1">IF(BJ87=0,0,1)*($P$72*(1+Assumptions!$H$69)^(BK11-1))</f>
        <v>-1616.143233</v>
      </c>
      <c r="BL72" s="141">
        <f ca="1">IF(BK87=0,0,1)*($P$72*(1+Assumptions!$H$69)^(BL11-1))</f>
        <v>-1664.6275299899999</v>
      </c>
      <c r="BM72" s="141">
        <f ca="1">IF(BL87=0,0,1)*($P$72*(1+Assumptions!$H$69)^(BM11-1))</f>
        <v>-1664.6275299899999</v>
      </c>
      <c r="BN72" s="141">
        <f ca="1">IF(BM87=0,0,1)*($P$72*(1+Assumptions!$H$69)^(BN11-1))</f>
        <v>-1664.6275299899999</v>
      </c>
      <c r="BO72" s="141">
        <f ca="1">IF(BN87=0,0,1)*($P$72*(1+Assumptions!$H$69)^(BO11-1))</f>
        <v>-1664.6275299899999</v>
      </c>
      <c r="BP72" s="141">
        <f ca="1">IF(BO87=0,0,1)*($P$72*(1+Assumptions!$H$69)^(BP11-1))</f>
        <v>-1664.6275299899999</v>
      </c>
      <c r="BQ72" s="141">
        <f ca="1">IF(BP87=0,0,1)*($P$72*(1+Assumptions!$H$69)^(BQ11-1))</f>
        <v>-1664.6275299899999</v>
      </c>
      <c r="BR72" s="141">
        <f ca="1">IF(BQ87=0,0,1)*($P$72*(1+Assumptions!$H$69)^(BR11-1))</f>
        <v>-1664.6275299899999</v>
      </c>
      <c r="BS72" s="141">
        <f ca="1">IF(BR87=0,0,1)*($P$72*(1+Assumptions!$H$69)^(BS11-1))</f>
        <v>-1664.6275299899999</v>
      </c>
      <c r="BT72" s="141">
        <f ca="1">IF(BS87=0,0,1)*($P$72*(1+Assumptions!$H$69)^(BT11-1))</f>
        <v>-1664.6275299899999</v>
      </c>
      <c r="BU72" s="141">
        <f ca="1">IF(BT87=0,0,1)*($P$72*(1+Assumptions!$H$69)^(BU11-1))</f>
        <v>-1664.6275299899999</v>
      </c>
      <c r="BV72" s="141">
        <f ca="1">IF(BU87=0,0,1)*($P$72*(1+Assumptions!$H$69)^(BV11-1))</f>
        <v>-1664.6275299899999</v>
      </c>
      <c r="BW72" s="141">
        <f ca="1">IF(BV87=0,0,1)*($P$72*(1+Assumptions!$H$69)^(BW11-1))</f>
        <v>-1664.6275299899999</v>
      </c>
      <c r="BX72" s="141">
        <f ca="1">IF(BW87=0,0,1)*($P$72*(1+Assumptions!$H$69)^(BX11-1))</f>
        <v>-1714.5663558896997</v>
      </c>
      <c r="BY72" s="141">
        <f ca="1">IF(BX87=0,0,1)*($P$72*(1+Assumptions!$H$69)^(BY11-1))</f>
        <v>-1714.5663558896997</v>
      </c>
      <c r="BZ72" s="141">
        <f ca="1">IF(BY87=0,0,1)*($P$72*(1+Assumptions!$H$69)^(BZ11-1))</f>
        <v>-1714.5663558896997</v>
      </c>
      <c r="CA72" s="141">
        <f ca="1">IF(BZ87=0,0,1)*($P$72*(1+Assumptions!$H$69)^(CA11-1))</f>
        <v>-1714.5663558896997</v>
      </c>
      <c r="CB72" s="141">
        <f ca="1">IF(CA87=0,0,1)*($P$72*(1+Assumptions!$H$69)^(CB11-1))</f>
        <v>-1714.5663558896997</v>
      </c>
      <c r="CC72" s="141">
        <f ca="1">IF(CB87=0,0,1)*($P$72*(1+Assumptions!$H$69)^(CC11-1))</f>
        <v>-1714.5663558896997</v>
      </c>
      <c r="CD72" s="141">
        <f ca="1">IF(CC87=0,0,1)*($P$72*(1+Assumptions!$H$69)^(CD11-1))</f>
        <v>-1714.5663558896997</v>
      </c>
      <c r="CE72" s="141">
        <f ca="1">IF(CD87=0,0,1)*($P$72*(1+Assumptions!$H$69)^(CE11-1))</f>
        <v>-1714.5663558896997</v>
      </c>
      <c r="CF72" s="141">
        <f ca="1">IF(CE87=0,0,1)*($P$72*(1+Assumptions!$H$69)^(CF11-1))</f>
        <v>-1714.5663558896997</v>
      </c>
      <c r="CG72" s="141">
        <f ca="1">IF(CF87=0,0,1)*($P$72*(1+Assumptions!$H$69)^(CG11-1))</f>
        <v>-1714.5663558896997</v>
      </c>
      <c r="CH72" s="141">
        <f ca="1">IF(CG87=0,0,1)*($P$72*(1+Assumptions!$H$69)^(CH11-1))</f>
        <v>-1714.5663558896997</v>
      </c>
      <c r="CI72" s="141">
        <f ca="1">IF(CH87=0,0,1)*($P$72*(1+Assumptions!$H$69)^(CI11-1))</f>
        <v>-1714.5663558896997</v>
      </c>
      <c r="CJ72" s="141">
        <f ca="1">IF(CI87=0,0,1)*($P$72*(1+Assumptions!$H$69)^(CJ11-1))</f>
        <v>-1766.003346566391</v>
      </c>
      <c r="CK72" s="141">
        <f ca="1">IF(CJ87=0,0,1)*($P$72*(1+Assumptions!$H$69)^(CK11-1))</f>
        <v>-1766.003346566391</v>
      </c>
      <c r="CL72" s="141">
        <f ca="1">IF(CK87=0,0,1)*($P$72*(1+Assumptions!$H$69)^(CL11-1))</f>
        <v>-1766.003346566391</v>
      </c>
      <c r="CM72" s="141">
        <f ca="1">IF(CL87=0,0,1)*($P$72*(1+Assumptions!$H$69)^(CM11-1))</f>
        <v>-1766.003346566391</v>
      </c>
      <c r="CN72" s="141">
        <f ca="1">IF(CM87=0,0,1)*($P$72*(1+Assumptions!$H$69)^(CN11-1))</f>
        <v>-1766.003346566391</v>
      </c>
      <c r="CO72" s="141">
        <f ca="1">IF(CN87=0,0,1)*($P$72*(1+Assumptions!$H$69)^(CO11-1))</f>
        <v>-1766.003346566391</v>
      </c>
      <c r="CP72" s="141">
        <f ca="1">IF(CO87=0,0,1)*($P$72*(1+Assumptions!$H$69)^(CP11-1))</f>
        <v>-1766.003346566391</v>
      </c>
      <c r="CQ72" s="141">
        <f ca="1">IF(CP87=0,0,1)*($P$72*(1+Assumptions!$H$69)^(CQ11-1))</f>
        <v>-1766.003346566391</v>
      </c>
      <c r="CR72" s="141">
        <f ca="1">IF(CQ87=0,0,1)*($P$72*(1+Assumptions!$H$69)^(CR11-1))</f>
        <v>-1766.003346566391</v>
      </c>
      <c r="CS72" s="141">
        <f ca="1">IF(CR87=0,0,1)*($P$72*(1+Assumptions!$H$69)^(CS11-1))</f>
        <v>-1766.003346566391</v>
      </c>
      <c r="CT72" s="141">
        <f ca="1">IF(CS87=0,0,1)*($P$72*(1+Assumptions!$H$69)^(CT11-1))</f>
        <v>-1766.003346566391</v>
      </c>
      <c r="CU72" s="141">
        <f ca="1">IF(CT87=0,0,1)*($P$72*(1+Assumptions!$H$69)^(CU11-1))</f>
        <v>-1766.003346566391</v>
      </c>
      <c r="CV72" s="141">
        <f ca="1">IF(CU87=0,0,1)*($P$72*(1+Assumptions!$H$69)^(CV11-1))</f>
        <v>-1818.9834469633827</v>
      </c>
      <c r="CW72" s="141">
        <f ca="1">IF(CV87=0,0,1)*($P$72*(1+Assumptions!$H$69)^(CW11-1))</f>
        <v>-1818.9834469633827</v>
      </c>
      <c r="CX72" s="141">
        <f ca="1">IF(CW87=0,0,1)*($P$72*(1+Assumptions!$H$69)^(CX11-1))</f>
        <v>-1818.9834469633827</v>
      </c>
      <c r="CY72" s="141">
        <f ca="1">IF(CX87=0,0,1)*($P$72*(1+Assumptions!$H$69)^(CY11-1))</f>
        <v>-1818.9834469633827</v>
      </c>
      <c r="CZ72" s="141">
        <f ca="1">IF(CY87=0,0,1)*($P$72*(1+Assumptions!$H$69)^(CZ11-1))</f>
        <v>-1818.9834469633827</v>
      </c>
      <c r="DA72" s="141">
        <f ca="1">IF(CZ87=0,0,1)*($P$72*(1+Assumptions!$H$69)^(DA11-1))</f>
        <v>-1818.9834469633827</v>
      </c>
      <c r="DB72" s="141">
        <f ca="1">IF(DA87=0,0,1)*($P$72*(1+Assumptions!$H$69)^(DB11-1))</f>
        <v>-1818.9834469633827</v>
      </c>
      <c r="DC72" s="141">
        <f ca="1">IF(DB87=0,0,1)*($P$72*(1+Assumptions!$H$69)^(DC11-1))</f>
        <v>-1818.9834469633827</v>
      </c>
      <c r="DD72" s="141">
        <f ca="1">IF(DC87=0,0,1)*($P$72*(1+Assumptions!$H$69)^(DD11-1))</f>
        <v>-1818.9834469633827</v>
      </c>
      <c r="DE72" s="141">
        <f ca="1">IF(DD87=0,0,1)*($P$72*(1+Assumptions!$H$69)^(DE11-1))</f>
        <v>-1818.9834469633827</v>
      </c>
      <c r="DF72" s="141">
        <f ca="1">IF(DE87=0,0,1)*($P$72*(1+Assumptions!$H$69)^(DF11-1))</f>
        <v>-1818.9834469633827</v>
      </c>
      <c r="DG72" s="141">
        <f ca="1">IF(DF87=0,0,1)*($P$72*(1+Assumptions!$H$69)^(DG11-1))</f>
        <v>-1818.9834469633827</v>
      </c>
      <c r="DH72" s="141">
        <f ca="1">IF(DG87=0,0,1)*($P$72*(1+Assumptions!$H$69)^(DH11-1))</f>
        <v>-1873.5529503722839</v>
      </c>
      <c r="DI72" s="141">
        <f ca="1">IF(DH87=0,0,1)*($P$72*(1+Assumptions!$H$69)^(DI11-1))</f>
        <v>-1873.5529503722839</v>
      </c>
      <c r="DJ72" s="141">
        <f>IF(DI87=0,0,1)*($P$72*(1+Assumptions!$H$69)^(DJ11-1))</f>
        <v>0</v>
      </c>
      <c r="DK72" s="141">
        <f>IF(DJ87=0,0,1)*($P$72*(1+Assumptions!$H$69)^(DK11-1))</f>
        <v>0</v>
      </c>
      <c r="DL72" s="141">
        <f>IF(DK87=0,0,1)*($P$72*(1+Assumptions!$H$69)^(DL11-1))</f>
        <v>0</v>
      </c>
      <c r="DM72" s="141">
        <f>IF(DL87=0,0,1)*($P$72*(1+Assumptions!$H$69)^(DM11-1))</f>
        <v>0</v>
      </c>
      <c r="DN72" s="141">
        <f>IF(DM87=0,0,1)*($P$72*(1+Assumptions!$H$69)^(DN11-1))</f>
        <v>0</v>
      </c>
      <c r="DO72" s="141">
        <f>IF(DN87=0,0,1)*($P$72*(1+Assumptions!$H$69)^(DO11-1))</f>
        <v>0</v>
      </c>
      <c r="DP72" s="141">
        <f>IF(DO87=0,0,1)*($P$72*(1+Assumptions!$H$69)^(DP11-1))</f>
        <v>0</v>
      </c>
      <c r="DQ72" s="141">
        <f>IF(DP87=0,0,1)*($P$72*(1+Assumptions!$H$69)^(DQ11-1))</f>
        <v>0</v>
      </c>
      <c r="DR72" s="141">
        <f>IF(DQ87=0,0,1)*($P$72*(1+Assumptions!$H$69)^(DR11-1))</f>
        <v>0</v>
      </c>
      <c r="DS72" s="141">
        <f>IF(DR87=0,0,1)*($P$72*(1+Assumptions!$H$69)^(DS11-1))</f>
        <v>0</v>
      </c>
      <c r="DT72" s="141">
        <f>IF(DS87=0,0,1)*($P$72*(1+Assumptions!$H$69)^(DT11-1))</f>
        <v>0</v>
      </c>
      <c r="DU72" s="141">
        <f>IF(DT87=0,0,1)*($P$72*(1+Assumptions!$H$69)^(DU11-1))</f>
        <v>0</v>
      </c>
      <c r="DV72" s="141">
        <f>IF(DU87=0,0,1)*($P$72*(1+Assumptions!$H$69)^(DV11-1))</f>
        <v>0</v>
      </c>
      <c r="DW72" s="141">
        <f>IF(DV87=0,0,1)*($P$72*(1+Assumptions!$H$69)^(DW11-1))</f>
        <v>0</v>
      </c>
      <c r="DX72" s="141">
        <f>IF(DW87=0,0,1)*($P$72*(1+Assumptions!$H$69)^(DX11-1))</f>
        <v>0</v>
      </c>
      <c r="DY72" s="141">
        <f>IF(DX87=0,0,1)*($P$72*(1+Assumptions!$H$69)^(DY11-1))</f>
        <v>0</v>
      </c>
      <c r="DZ72" s="141">
        <f>IF(DY87=0,0,1)*($P$72*(1+Assumptions!$H$69)^(DZ11-1))</f>
        <v>0</v>
      </c>
      <c r="EA72" s="141">
        <f>IF(DZ87=0,0,1)*($P$72*(1+Assumptions!$H$69)^(EA11-1))</f>
        <v>0</v>
      </c>
      <c r="EB72" s="141">
        <f>IF(EA87=0,0,1)*($P$72*(1+Assumptions!$H$69)^(EB11-1))</f>
        <v>0</v>
      </c>
      <c r="EC72" s="141">
        <f>IF(EB87=0,0,1)*($P$72*(1+Assumptions!$H$69)^(EC11-1))</f>
        <v>0</v>
      </c>
      <c r="ED72" s="141">
        <f>IF(EC87=0,0,1)*($P$72*(1+Assumptions!$H$69)^(ED11-1))</f>
        <v>0</v>
      </c>
      <c r="EE72" s="141">
        <f>IF(ED87=0,0,1)*($P$72*(1+Assumptions!$H$69)^(EE11-1))</f>
        <v>0</v>
      </c>
      <c r="EF72" s="141">
        <f>IF(EE87=0,0,1)*($P$72*(1+Assumptions!$H$69)^(EF11-1))</f>
        <v>0</v>
      </c>
      <c r="EG72" s="141">
        <f>IF(EF87=0,0,1)*($P$72*(1+Assumptions!$H$69)^(EG11-1))</f>
        <v>0</v>
      </c>
      <c r="EH72" s="141">
        <f>IF(EG87=0,0,1)*($P$72*(1+Assumptions!$H$69)^(EH11-1))</f>
        <v>0</v>
      </c>
      <c r="EI72" s="141">
        <f>IF(EH87=0,0,1)*($P$72*(1+Assumptions!$H$69)^(EI11-1))</f>
        <v>0</v>
      </c>
      <c r="EJ72" s="141">
        <f>IF(EI87=0,0,1)*($P$72*(1+Assumptions!$H$69)^(EJ11-1))</f>
        <v>0</v>
      </c>
      <c r="EK72" s="141">
        <f>IF(EJ87=0,0,1)*($P$72*(1+Assumptions!$H$69)^(EK11-1))</f>
        <v>0</v>
      </c>
      <c r="EL72" s="141">
        <f>IF(EK87=0,0,1)*($P$72*(1+Assumptions!$H$69)^(EL11-1))</f>
        <v>0</v>
      </c>
      <c r="EM72" s="141">
        <f>IF(EL87=0,0,1)*($P$72*(1+Assumptions!$H$69)^(EM11-1))</f>
        <v>0</v>
      </c>
      <c r="EN72" s="141">
        <f>IF(EM87=0,0,1)*($P$72*(1+Assumptions!$H$69)^(EN11-1))</f>
        <v>0</v>
      </c>
      <c r="EO72" s="141">
        <f>IF(EN87=0,0,1)*($P$72*(1+Assumptions!$H$69)^(EO11-1))</f>
        <v>0</v>
      </c>
      <c r="EP72" s="141">
        <f>IF(EO87=0,0,1)*($P$72*(1+Assumptions!$H$69)^(EP11-1))</f>
        <v>0</v>
      </c>
      <c r="EQ72" s="141">
        <f>IF(EP87=0,0,1)*($P$72*(1+Assumptions!$H$69)^(EQ11-1))</f>
        <v>0</v>
      </c>
      <c r="ES72" s="421"/>
      <c r="ET72" s="63"/>
      <c r="EU72" s="98"/>
    </row>
    <row r="73" spans="7:151" ht="15.75">
      <c r="G73" s="145"/>
      <c r="H73" s="128" t="s">
        <v>45</v>
      </c>
      <c r="I73" s="504"/>
      <c r="J73" s="505"/>
      <c r="K73" s="130"/>
      <c r="L73" s="131"/>
      <c r="M73" s="131"/>
      <c r="N73" s="225">
        <f>'Annual Cash Flow'!C48</f>
        <v>0</v>
      </c>
      <c r="O73" s="787"/>
      <c r="P73" s="102">
        <f>-Assumptions!F60/12</f>
        <v>0</v>
      </c>
      <c r="Q73" s="141">
        <f ca="1">IF(P87=0,0,1)*($P$73*(1+Assumptions!$H$69)^(Q11-1))</f>
        <v>0</v>
      </c>
      <c r="R73" s="141">
        <f ca="1">IF(Q87=0,0,1)*($P$73*(1+Assumptions!$H$69)^(R11-1))</f>
        <v>0</v>
      </c>
      <c r="S73" s="141">
        <f ca="1">IF(R87=0,0,1)*($P$73*(1+Assumptions!$H$69)^(S11-1))</f>
        <v>0</v>
      </c>
      <c r="T73" s="141">
        <f ca="1">IF(S87=0,0,1)*($P$73*(1+Assumptions!$H$69)^(T11-1))</f>
        <v>0</v>
      </c>
      <c r="U73" s="141">
        <f ca="1">IF(T87=0,0,1)*($P$73*(1+Assumptions!$H$69)^(U11-1))</f>
        <v>0</v>
      </c>
      <c r="V73" s="141">
        <f ca="1">IF(U87=0,0,1)*($P$73*(1+Assumptions!$H$69)^(V11-1))</f>
        <v>0</v>
      </c>
      <c r="W73" s="141">
        <f ca="1">IF(V87=0,0,1)*($P$73*(1+Assumptions!$H$69)^(W11-1))</f>
        <v>0</v>
      </c>
      <c r="X73" s="141">
        <f ca="1">IF(W87=0,0,1)*($P$73*(1+Assumptions!$H$69)^(X11-1))</f>
        <v>0</v>
      </c>
      <c r="Y73" s="141">
        <f ca="1">IF(X87=0,0,1)*($P$73*(1+Assumptions!$H$69)^(Y11-1))</f>
        <v>0</v>
      </c>
      <c r="Z73" s="141">
        <f ca="1">IF(Y87=0,0,1)*($P$73*(1+Assumptions!$H$69)^(Z11-1))</f>
        <v>0</v>
      </c>
      <c r="AA73" s="141">
        <f ca="1">IF(Z87=0,0,1)*($P$73*(1+Assumptions!$H$69)^(AA11-1))</f>
        <v>0</v>
      </c>
      <c r="AB73" s="141">
        <f ca="1">IF(AA87=0,0,1)*($P$73*(1+Assumptions!$H$69)^(AB11-1))</f>
        <v>0</v>
      </c>
      <c r="AC73" s="141">
        <f ca="1">IF(AB87=0,0,1)*($P$73*(1+Assumptions!$H$69)^(AC11-1))</f>
        <v>0</v>
      </c>
      <c r="AD73" s="141">
        <f ca="1">IF(AC87=0,0,1)*($P$73*(1+Assumptions!$H$69)^(AD11-1))</f>
        <v>0</v>
      </c>
      <c r="AE73" s="141">
        <f ca="1">IF(AD87=0,0,1)*($P$73*(1+Assumptions!$H$69)^(AE11-1))</f>
        <v>0</v>
      </c>
      <c r="AF73" s="141">
        <f ca="1">IF(AE87=0,0,1)*($P$73*(1+Assumptions!$H$69)^(AF11-1))</f>
        <v>0</v>
      </c>
      <c r="AG73" s="141">
        <f ca="1">IF(AF87=0,0,1)*($P$73*(1+Assumptions!$H$69)^(AG11-1))</f>
        <v>0</v>
      </c>
      <c r="AH73" s="141">
        <f ca="1">IF(AG87=0,0,1)*($P$73*(1+Assumptions!$H$69)^(AH11-1))</f>
        <v>0</v>
      </c>
      <c r="AI73" s="141">
        <f ca="1">IF(AH87=0,0,1)*($P$73*(1+Assumptions!$H$69)^(AI11-1))</f>
        <v>0</v>
      </c>
      <c r="AJ73" s="141">
        <f ca="1">IF(AI87=0,0,1)*($P$73*(1+Assumptions!$H$69)^(AJ11-1))</f>
        <v>0</v>
      </c>
      <c r="AK73" s="141">
        <f ca="1">IF(AJ87=0,0,1)*($P$73*(1+Assumptions!$H$69)^(AK11-1))</f>
        <v>0</v>
      </c>
      <c r="AL73" s="141">
        <f ca="1">IF(AK87=0,0,1)*($P$73*(1+Assumptions!$H$69)^(AL11-1))</f>
        <v>0</v>
      </c>
      <c r="AM73" s="141">
        <f ca="1">IF(AL87=0,0,1)*($P$73*(1+Assumptions!$H$69)^(AM11-1))</f>
        <v>0</v>
      </c>
      <c r="AN73" s="141">
        <f ca="1">IF(AM87=0,0,1)*($P$73*(1+Assumptions!$H$69)^(AN11-1))</f>
        <v>0</v>
      </c>
      <c r="AO73" s="141">
        <f ca="1">IF(AN87=0,0,1)*($P$73*(1+Assumptions!$H$69)^(AO11-1))</f>
        <v>0</v>
      </c>
      <c r="AP73" s="141">
        <f ca="1">IF(AO87=0,0,1)*($P$73*(1+Assumptions!$H$69)^(AP11-1))</f>
        <v>0</v>
      </c>
      <c r="AQ73" s="141">
        <f ca="1">IF(AP87=0,0,1)*($P$73*(1+Assumptions!$H$69)^(AQ11-1))</f>
        <v>0</v>
      </c>
      <c r="AR73" s="141">
        <f ca="1">IF(AQ87=0,0,1)*($P$73*(1+Assumptions!$H$69)^(AR11-1))</f>
        <v>0</v>
      </c>
      <c r="AS73" s="141">
        <f ca="1">IF(AR87=0,0,1)*($P$73*(1+Assumptions!$H$69)^(AS11-1))</f>
        <v>0</v>
      </c>
      <c r="AT73" s="141">
        <f ca="1">IF(AS87=0,0,1)*($P$73*(1+Assumptions!$H$69)^(AT11-1))</f>
        <v>0</v>
      </c>
      <c r="AU73" s="141">
        <f ca="1">IF(AT87=0,0,1)*($P$73*(1+Assumptions!$H$69)^(AU11-1))</f>
        <v>0</v>
      </c>
      <c r="AV73" s="141">
        <f ca="1">IF(AU87=0,0,1)*($P$73*(1+Assumptions!$H$69)^(AV11-1))</f>
        <v>0</v>
      </c>
      <c r="AW73" s="141">
        <f ca="1">IF(AV87=0,0,1)*($P$73*(1+Assumptions!$H$69)^(AW11-1))</f>
        <v>0</v>
      </c>
      <c r="AX73" s="141">
        <f ca="1">IF(AW87=0,0,1)*($P$73*(1+Assumptions!$H$69)^(AX11-1))</f>
        <v>0</v>
      </c>
      <c r="AY73" s="141">
        <f ca="1">IF(AX87=0,0,1)*($P$73*(1+Assumptions!$H$69)^(AY11-1))</f>
        <v>0</v>
      </c>
      <c r="AZ73" s="141">
        <f ca="1">IF(AY87=0,0,1)*($P$73*(1+Assumptions!$H$69)^(AZ11-1))</f>
        <v>0</v>
      </c>
      <c r="BA73" s="141">
        <f ca="1">IF(AZ87=0,0,1)*($P$73*(1+Assumptions!$H$69)^(BA11-1))</f>
        <v>0</v>
      </c>
      <c r="BB73" s="141">
        <f ca="1">IF(BA87=0,0,1)*($P$73*(1+Assumptions!$H$69)^(BB11-1))</f>
        <v>0</v>
      </c>
      <c r="BC73" s="141">
        <f ca="1">IF(BB87=0,0,1)*($P$73*(1+Assumptions!$H$69)^(BC11-1))</f>
        <v>0</v>
      </c>
      <c r="BD73" s="141">
        <f ca="1">IF(BC87=0,0,1)*($P$73*(1+Assumptions!$H$69)^(BD11-1))</f>
        <v>0</v>
      </c>
      <c r="BE73" s="141">
        <f ca="1">IF(BD87=0,0,1)*($P$73*(1+Assumptions!$H$69)^(BE11-1))</f>
        <v>0</v>
      </c>
      <c r="BF73" s="141">
        <f ca="1">IF(BE87=0,0,1)*($P$73*(1+Assumptions!$H$69)^(BF11-1))</f>
        <v>0</v>
      </c>
      <c r="BG73" s="141">
        <f ca="1">IF(BF87=0,0,1)*($P$73*(1+Assumptions!$H$69)^(BG11-1))</f>
        <v>0</v>
      </c>
      <c r="BH73" s="141">
        <f ca="1">IF(BG87=0,0,1)*($P$73*(1+Assumptions!$H$69)^(BH11-1))</f>
        <v>0</v>
      </c>
      <c r="BI73" s="141">
        <f ca="1">IF(BH87=0,0,1)*($P$73*(1+Assumptions!$H$69)^(BI11-1))</f>
        <v>0</v>
      </c>
      <c r="BJ73" s="141">
        <f ca="1">IF(BI87=0,0,1)*($P$73*(1+Assumptions!$H$69)^(BJ11-1))</f>
        <v>0</v>
      </c>
      <c r="BK73" s="141">
        <f ca="1">IF(BJ87=0,0,1)*($P$73*(1+Assumptions!$H$69)^(BK11-1))</f>
        <v>0</v>
      </c>
      <c r="BL73" s="141">
        <f ca="1">IF(BK87=0,0,1)*($P$73*(1+Assumptions!$H$69)^(BL11-1))</f>
        <v>0</v>
      </c>
      <c r="BM73" s="141">
        <f ca="1">IF(BL87=0,0,1)*($P$73*(1+Assumptions!$H$69)^(BM11-1))</f>
        <v>0</v>
      </c>
      <c r="BN73" s="141">
        <f ca="1">IF(BM87=0,0,1)*($P$73*(1+Assumptions!$H$69)^(BN11-1))</f>
        <v>0</v>
      </c>
      <c r="BO73" s="141">
        <f ca="1">IF(BN87=0,0,1)*($P$73*(1+Assumptions!$H$69)^(BO11-1))</f>
        <v>0</v>
      </c>
      <c r="BP73" s="141">
        <f ca="1">IF(BO87=0,0,1)*($P$73*(1+Assumptions!$H$69)^(BP11-1))</f>
        <v>0</v>
      </c>
      <c r="BQ73" s="141">
        <f ca="1">IF(BP87=0,0,1)*($P$73*(1+Assumptions!$H$69)^(BQ11-1))</f>
        <v>0</v>
      </c>
      <c r="BR73" s="141">
        <f ca="1">IF(BQ87=0,0,1)*($P$73*(1+Assumptions!$H$69)^(BR11-1))</f>
        <v>0</v>
      </c>
      <c r="BS73" s="141">
        <f ca="1">IF(BR87=0,0,1)*($P$73*(1+Assumptions!$H$69)^(BS11-1))</f>
        <v>0</v>
      </c>
      <c r="BT73" s="141">
        <f ca="1">IF(BS87=0,0,1)*($P$73*(1+Assumptions!$H$69)^(BT11-1))</f>
        <v>0</v>
      </c>
      <c r="BU73" s="141">
        <f ca="1">IF(BT87=0,0,1)*($P$73*(1+Assumptions!$H$69)^(BU11-1))</f>
        <v>0</v>
      </c>
      <c r="BV73" s="141">
        <f ca="1">IF(BU87=0,0,1)*($P$73*(1+Assumptions!$H$69)^(BV11-1))</f>
        <v>0</v>
      </c>
      <c r="BW73" s="141">
        <f ca="1">IF(BV87=0,0,1)*($P$73*(1+Assumptions!$H$69)^(BW11-1))</f>
        <v>0</v>
      </c>
      <c r="BX73" s="141">
        <f ca="1">IF(BW87=0,0,1)*($P$73*(1+Assumptions!$H$69)^(BX11-1))</f>
        <v>0</v>
      </c>
      <c r="BY73" s="141">
        <f ca="1">IF(BX87=0,0,1)*($P$73*(1+Assumptions!$H$69)^(BY11-1))</f>
        <v>0</v>
      </c>
      <c r="BZ73" s="141">
        <f ca="1">IF(BY87=0,0,1)*($P$73*(1+Assumptions!$H$69)^(BZ11-1))</f>
        <v>0</v>
      </c>
      <c r="CA73" s="141">
        <f ca="1">IF(BZ87=0,0,1)*($P$73*(1+Assumptions!$H$69)^(CA11-1))</f>
        <v>0</v>
      </c>
      <c r="CB73" s="141">
        <f ca="1">IF(CA87=0,0,1)*($P$73*(1+Assumptions!$H$69)^(CB11-1))</f>
        <v>0</v>
      </c>
      <c r="CC73" s="141">
        <f ca="1">IF(CB87=0,0,1)*($P$73*(1+Assumptions!$H$69)^(CC11-1))</f>
        <v>0</v>
      </c>
      <c r="CD73" s="141">
        <f ca="1">IF(CC87=0,0,1)*($P$73*(1+Assumptions!$H$69)^(CD11-1))</f>
        <v>0</v>
      </c>
      <c r="CE73" s="141">
        <f ca="1">IF(CD87=0,0,1)*($P$73*(1+Assumptions!$H$69)^(CE11-1))</f>
        <v>0</v>
      </c>
      <c r="CF73" s="141">
        <f ca="1">IF(CE87=0,0,1)*($P$73*(1+Assumptions!$H$69)^(CF11-1))</f>
        <v>0</v>
      </c>
      <c r="CG73" s="141">
        <f ca="1">IF(CF87=0,0,1)*($P$73*(1+Assumptions!$H$69)^(CG11-1))</f>
        <v>0</v>
      </c>
      <c r="CH73" s="141">
        <f ca="1">IF(CG87=0,0,1)*($P$73*(1+Assumptions!$H$69)^(CH11-1))</f>
        <v>0</v>
      </c>
      <c r="CI73" s="141">
        <f ca="1">IF(CH87=0,0,1)*($P$73*(1+Assumptions!$H$69)^(CI11-1))</f>
        <v>0</v>
      </c>
      <c r="CJ73" s="141">
        <f ca="1">IF(CI87=0,0,1)*($P$73*(1+Assumptions!$H$69)^(CJ11-1))</f>
        <v>0</v>
      </c>
      <c r="CK73" s="141">
        <f ca="1">IF(CJ87=0,0,1)*($P$73*(1+Assumptions!$H$69)^(CK11-1))</f>
        <v>0</v>
      </c>
      <c r="CL73" s="141">
        <f ca="1">IF(CK87=0,0,1)*($P$73*(1+Assumptions!$H$69)^(CL11-1))</f>
        <v>0</v>
      </c>
      <c r="CM73" s="141">
        <f ca="1">IF(CL87=0,0,1)*($P$73*(1+Assumptions!$H$69)^(CM11-1))</f>
        <v>0</v>
      </c>
      <c r="CN73" s="141">
        <f ca="1">IF(CM87=0,0,1)*($P$73*(1+Assumptions!$H$69)^(CN11-1))</f>
        <v>0</v>
      </c>
      <c r="CO73" s="141">
        <f ca="1">IF(CN87=0,0,1)*($P$73*(1+Assumptions!$H$69)^(CO11-1))</f>
        <v>0</v>
      </c>
      <c r="CP73" s="141">
        <f ca="1">IF(CO87=0,0,1)*($P$73*(1+Assumptions!$H$69)^(CP11-1))</f>
        <v>0</v>
      </c>
      <c r="CQ73" s="141">
        <f ca="1">IF(CP87=0,0,1)*($P$73*(1+Assumptions!$H$69)^(CQ11-1))</f>
        <v>0</v>
      </c>
      <c r="CR73" s="141">
        <f ca="1">IF(CQ87=0,0,1)*($P$73*(1+Assumptions!$H$69)^(CR11-1))</f>
        <v>0</v>
      </c>
      <c r="CS73" s="141">
        <f ca="1">IF(CR87=0,0,1)*($P$73*(1+Assumptions!$H$69)^(CS11-1))</f>
        <v>0</v>
      </c>
      <c r="CT73" s="141">
        <f ca="1">IF(CS87=0,0,1)*($P$73*(1+Assumptions!$H$69)^(CT11-1))</f>
        <v>0</v>
      </c>
      <c r="CU73" s="141">
        <f ca="1">IF(CT87=0,0,1)*($P$73*(1+Assumptions!$H$69)^(CU11-1))</f>
        <v>0</v>
      </c>
      <c r="CV73" s="141">
        <f ca="1">IF(CU87=0,0,1)*($P$73*(1+Assumptions!$H$69)^(CV11-1))</f>
        <v>0</v>
      </c>
      <c r="CW73" s="141">
        <f ca="1">IF(CV87=0,0,1)*($P$73*(1+Assumptions!$H$69)^(CW11-1))</f>
        <v>0</v>
      </c>
      <c r="CX73" s="141">
        <f ca="1">IF(CW87=0,0,1)*($P$73*(1+Assumptions!$H$69)^(CX11-1))</f>
        <v>0</v>
      </c>
      <c r="CY73" s="141">
        <f ca="1">IF(CX87=0,0,1)*($P$73*(1+Assumptions!$H$69)^(CY11-1))</f>
        <v>0</v>
      </c>
      <c r="CZ73" s="141">
        <f ca="1">IF(CY87=0,0,1)*($P$73*(1+Assumptions!$H$69)^(CZ11-1))</f>
        <v>0</v>
      </c>
      <c r="DA73" s="141">
        <f ca="1">IF(CZ87=0,0,1)*($P$73*(1+Assumptions!$H$69)^(DA11-1))</f>
        <v>0</v>
      </c>
      <c r="DB73" s="141">
        <f ca="1">IF(DA87=0,0,1)*($P$73*(1+Assumptions!$H$69)^(DB11-1))</f>
        <v>0</v>
      </c>
      <c r="DC73" s="141">
        <f ca="1">IF(DB87=0,0,1)*($P$73*(1+Assumptions!$H$69)^(DC11-1))</f>
        <v>0</v>
      </c>
      <c r="DD73" s="141">
        <f ca="1">IF(DC87=0,0,1)*($P$73*(1+Assumptions!$H$69)^(DD11-1))</f>
        <v>0</v>
      </c>
      <c r="DE73" s="141">
        <f ca="1">IF(DD87=0,0,1)*($P$73*(1+Assumptions!$H$69)^(DE11-1))</f>
        <v>0</v>
      </c>
      <c r="DF73" s="141">
        <f ca="1">IF(DE87=0,0,1)*($P$73*(1+Assumptions!$H$69)^(DF11-1))</f>
        <v>0</v>
      </c>
      <c r="DG73" s="141">
        <f ca="1">IF(DF87=0,0,1)*($P$73*(1+Assumptions!$H$69)^(DG11-1))</f>
        <v>0</v>
      </c>
      <c r="DH73" s="141">
        <f ca="1">IF(DG87=0,0,1)*($P$73*(1+Assumptions!$H$69)^(DH11-1))</f>
        <v>0</v>
      </c>
      <c r="DI73" s="141">
        <f ca="1">IF(DH87=0,0,1)*($P$73*(1+Assumptions!$H$69)^(DI11-1))</f>
        <v>0</v>
      </c>
      <c r="DJ73" s="141">
        <f>IF(DI87=0,0,1)*($P$73*(1+Assumptions!$H$69)^(DJ11-1))</f>
        <v>0</v>
      </c>
      <c r="DK73" s="141">
        <f>IF(DJ87=0,0,1)*($P$73*(1+Assumptions!$H$69)^(DK11-1))</f>
        <v>0</v>
      </c>
      <c r="DL73" s="141">
        <f>IF(DK87=0,0,1)*($P$73*(1+Assumptions!$H$69)^(DL11-1))</f>
        <v>0</v>
      </c>
      <c r="DM73" s="141">
        <f>IF(DL87=0,0,1)*($P$73*(1+Assumptions!$H$69)^(DM11-1))</f>
        <v>0</v>
      </c>
      <c r="DN73" s="141">
        <f>IF(DM87=0,0,1)*($P$73*(1+Assumptions!$H$69)^(DN11-1))</f>
        <v>0</v>
      </c>
      <c r="DO73" s="141">
        <f>IF(DN87=0,0,1)*($P$73*(1+Assumptions!$H$69)^(DO11-1))</f>
        <v>0</v>
      </c>
      <c r="DP73" s="141">
        <f>IF(DO87=0,0,1)*($P$73*(1+Assumptions!$H$69)^(DP11-1))</f>
        <v>0</v>
      </c>
      <c r="DQ73" s="141">
        <f>IF(DP87=0,0,1)*($P$73*(1+Assumptions!$H$69)^(DQ11-1))</f>
        <v>0</v>
      </c>
      <c r="DR73" s="141">
        <f>IF(DQ87=0,0,1)*($P$73*(1+Assumptions!$H$69)^(DR11-1))</f>
        <v>0</v>
      </c>
      <c r="DS73" s="141">
        <f>IF(DR87=0,0,1)*($P$73*(1+Assumptions!$H$69)^(DS11-1))</f>
        <v>0</v>
      </c>
      <c r="DT73" s="141">
        <f>IF(DS87=0,0,1)*($P$73*(1+Assumptions!$H$69)^(DT11-1))</f>
        <v>0</v>
      </c>
      <c r="DU73" s="141">
        <f>IF(DT87=0,0,1)*($P$73*(1+Assumptions!$H$69)^(DU11-1))</f>
        <v>0</v>
      </c>
      <c r="DV73" s="141">
        <f>IF(DU87=0,0,1)*($P$73*(1+Assumptions!$H$69)^(DV11-1))</f>
        <v>0</v>
      </c>
      <c r="DW73" s="141">
        <f>IF(DV87=0,0,1)*($P$73*(1+Assumptions!$H$69)^(DW11-1))</f>
        <v>0</v>
      </c>
      <c r="DX73" s="141">
        <f>IF(DW87=0,0,1)*($P$73*(1+Assumptions!$H$69)^(DX11-1))</f>
        <v>0</v>
      </c>
      <c r="DY73" s="141">
        <f>IF(DX87=0,0,1)*($P$73*(1+Assumptions!$H$69)^(DY11-1))</f>
        <v>0</v>
      </c>
      <c r="DZ73" s="141">
        <f>IF(DY87=0,0,1)*($P$73*(1+Assumptions!$H$69)^(DZ11-1))</f>
        <v>0</v>
      </c>
      <c r="EA73" s="141">
        <f>IF(DZ87=0,0,1)*($P$73*(1+Assumptions!$H$69)^(EA11-1))</f>
        <v>0</v>
      </c>
      <c r="EB73" s="141">
        <f>IF(EA87=0,0,1)*($P$73*(1+Assumptions!$H$69)^(EB11-1))</f>
        <v>0</v>
      </c>
      <c r="EC73" s="141">
        <f>IF(EB87=0,0,1)*($P$73*(1+Assumptions!$H$69)^(EC11-1))</f>
        <v>0</v>
      </c>
      <c r="ED73" s="141">
        <f>IF(EC87=0,0,1)*($P$73*(1+Assumptions!$H$69)^(ED11-1))</f>
        <v>0</v>
      </c>
      <c r="EE73" s="141">
        <f>IF(ED87=0,0,1)*($P$73*(1+Assumptions!$H$69)^(EE11-1))</f>
        <v>0</v>
      </c>
      <c r="EF73" s="141">
        <f>IF(EE87=0,0,1)*($P$73*(1+Assumptions!$H$69)^(EF11-1))</f>
        <v>0</v>
      </c>
      <c r="EG73" s="141">
        <f>IF(EF87=0,0,1)*($P$73*(1+Assumptions!$H$69)^(EG11-1))</f>
        <v>0</v>
      </c>
      <c r="EH73" s="141">
        <f>IF(EG87=0,0,1)*($P$73*(1+Assumptions!$H$69)^(EH11-1))</f>
        <v>0</v>
      </c>
      <c r="EI73" s="141">
        <f>IF(EH87=0,0,1)*($P$73*(1+Assumptions!$H$69)^(EI11-1))</f>
        <v>0</v>
      </c>
      <c r="EJ73" s="141">
        <f>IF(EI87=0,0,1)*($P$73*(1+Assumptions!$H$69)^(EJ11-1))</f>
        <v>0</v>
      </c>
      <c r="EK73" s="141">
        <f>IF(EJ87=0,0,1)*($P$73*(1+Assumptions!$H$69)^(EK11-1))</f>
        <v>0</v>
      </c>
      <c r="EL73" s="141">
        <f>IF(EK87=0,0,1)*($P$73*(1+Assumptions!$H$69)^(EL11-1))</f>
        <v>0</v>
      </c>
      <c r="EM73" s="141">
        <f>IF(EL87=0,0,1)*($P$73*(1+Assumptions!$H$69)^(EM11-1))</f>
        <v>0</v>
      </c>
      <c r="EN73" s="141">
        <f>IF(EM87=0,0,1)*($P$73*(1+Assumptions!$H$69)^(EN11-1))</f>
        <v>0</v>
      </c>
      <c r="EO73" s="141">
        <f>IF(EN87=0,0,1)*($P$73*(1+Assumptions!$H$69)^(EO11-1))</f>
        <v>0</v>
      </c>
      <c r="EP73" s="141">
        <f>IF(EO87=0,0,1)*($P$73*(1+Assumptions!$H$69)^(EP11-1))</f>
        <v>0</v>
      </c>
      <c r="EQ73" s="141">
        <f>IF(EP87=0,0,1)*($P$73*(1+Assumptions!$H$69)^(EQ11-1))</f>
        <v>0</v>
      </c>
      <c r="ES73" s="421"/>
      <c r="ET73" s="63"/>
      <c r="EU73" s="98"/>
    </row>
    <row r="74" spans="7:151" ht="15.75">
      <c r="G74" s="145"/>
      <c r="H74" s="128" t="s">
        <v>111</v>
      </c>
      <c r="I74" s="504"/>
      <c r="J74" s="506"/>
      <c r="K74" s="130"/>
      <c r="L74" s="131"/>
      <c r="M74" s="131"/>
      <c r="N74" s="225">
        <f>'Annual Cash Flow'!C49</f>
        <v>-23604</v>
      </c>
      <c r="O74" s="787"/>
      <c r="P74" s="102">
        <f>-Assumptions!F63/12</f>
        <v>-1967</v>
      </c>
      <c r="Q74" s="141">
        <f ca="1">IF(P87=0,0,1)*($P$74*(1+Assumptions!$H$69)^(Q11-1))</f>
        <v>-1967</v>
      </c>
      <c r="R74" s="141">
        <f ca="1">IF(Q87=0,0,1)*($P$74*(1+Assumptions!$H$69)^(R11-1))</f>
        <v>-1967</v>
      </c>
      <c r="S74" s="141">
        <f ca="1">IF(R87=0,0,1)*($P$74*(1+Assumptions!$H$69)^(S11-1))</f>
        <v>-1967</v>
      </c>
      <c r="T74" s="141">
        <f ca="1">IF(S87=0,0,1)*($P$74*(1+Assumptions!$H$69)^(T11-1))</f>
        <v>-1967</v>
      </c>
      <c r="U74" s="141">
        <f ca="1">IF(T87=0,0,1)*($P$74*(1+Assumptions!$H$69)^(U11-1))</f>
        <v>-1967</v>
      </c>
      <c r="V74" s="141">
        <f ca="1">IF(U87=0,0,1)*($P$74*(1+Assumptions!$H$69)^(V11-1))</f>
        <v>-1967</v>
      </c>
      <c r="W74" s="141">
        <f ca="1">IF(V87=0,0,1)*($P$74*(1+Assumptions!$H$69)^(W11-1))</f>
        <v>-1967</v>
      </c>
      <c r="X74" s="141">
        <f ca="1">IF(W87=0,0,1)*($P$74*(1+Assumptions!$H$69)^(X11-1))</f>
        <v>-1967</v>
      </c>
      <c r="Y74" s="141">
        <f ca="1">IF(X87=0,0,1)*($P$74*(1+Assumptions!$H$69)^(Y11-1))</f>
        <v>-1967</v>
      </c>
      <c r="Z74" s="141">
        <f ca="1">IF(Y87=0,0,1)*($P$74*(1+Assumptions!$H$69)^(Z11-1))</f>
        <v>-1967</v>
      </c>
      <c r="AA74" s="141">
        <f ca="1">IF(Z87=0,0,1)*($P$74*(1+Assumptions!$H$69)^(AA11-1))</f>
        <v>-1967</v>
      </c>
      <c r="AB74" s="141">
        <f ca="1">IF(AA87=0,0,1)*($P$74*(1+Assumptions!$H$69)^(AB11-1))</f>
        <v>-2026.01</v>
      </c>
      <c r="AC74" s="141">
        <f ca="1">IF(AB87=0,0,1)*($P$74*(1+Assumptions!$H$69)^(AC11-1))</f>
        <v>-2026.01</v>
      </c>
      <c r="AD74" s="141">
        <f ca="1">IF(AC87=0,0,1)*($P$74*(1+Assumptions!$H$69)^(AD11-1))</f>
        <v>-2026.01</v>
      </c>
      <c r="AE74" s="141">
        <f ca="1">IF(AD87=0,0,1)*($P$74*(1+Assumptions!$H$69)^(AE11-1))</f>
        <v>-2026.01</v>
      </c>
      <c r="AF74" s="141">
        <f ca="1">IF(AE87=0,0,1)*($P$74*(1+Assumptions!$H$69)^(AF11-1))</f>
        <v>-2026.01</v>
      </c>
      <c r="AG74" s="141">
        <f ca="1">IF(AF87=0,0,1)*($P$74*(1+Assumptions!$H$69)^(AG11-1))</f>
        <v>-2026.01</v>
      </c>
      <c r="AH74" s="141">
        <f ca="1">IF(AG87=0,0,1)*($P$74*(1+Assumptions!$H$69)^(AH11-1))</f>
        <v>-2026.01</v>
      </c>
      <c r="AI74" s="141">
        <f ca="1">IF(AH87=0,0,1)*($P$74*(1+Assumptions!$H$69)^(AI11-1))</f>
        <v>-2026.01</v>
      </c>
      <c r="AJ74" s="141">
        <f ca="1">IF(AI87=0,0,1)*($P$74*(1+Assumptions!$H$69)^(AJ11-1))</f>
        <v>-2026.01</v>
      </c>
      <c r="AK74" s="141">
        <f ca="1">IF(AJ87=0,0,1)*($P$74*(1+Assumptions!$H$69)^(AK11-1))</f>
        <v>-2026.01</v>
      </c>
      <c r="AL74" s="141">
        <f ca="1">IF(AK87=0,0,1)*($P$74*(1+Assumptions!$H$69)^(AL11-1))</f>
        <v>-2026.01</v>
      </c>
      <c r="AM74" s="141">
        <f ca="1">IF(AL87=0,0,1)*($P$74*(1+Assumptions!$H$69)^(AM11-1))</f>
        <v>-2026.01</v>
      </c>
      <c r="AN74" s="141">
        <f ca="1">IF(AM87=0,0,1)*($P$74*(1+Assumptions!$H$69)^(AN11-1))</f>
        <v>-2086.7903000000001</v>
      </c>
      <c r="AO74" s="141">
        <f ca="1">IF(AN87=0,0,1)*($P$74*(1+Assumptions!$H$69)^(AO11-1))</f>
        <v>-2086.7903000000001</v>
      </c>
      <c r="AP74" s="141">
        <f ca="1">IF(AO87=0,0,1)*($P$74*(1+Assumptions!$H$69)^(AP11-1))</f>
        <v>-2086.7903000000001</v>
      </c>
      <c r="AQ74" s="141">
        <f ca="1">IF(AP87=0,0,1)*($P$74*(1+Assumptions!$H$69)^(AQ11-1))</f>
        <v>-2086.7903000000001</v>
      </c>
      <c r="AR74" s="141">
        <f ca="1">IF(AQ87=0,0,1)*($P$74*(1+Assumptions!$H$69)^(AR11-1))</f>
        <v>-2086.7903000000001</v>
      </c>
      <c r="AS74" s="141">
        <f ca="1">IF(AR87=0,0,1)*($P$74*(1+Assumptions!$H$69)^(AS11-1))</f>
        <v>-2086.7903000000001</v>
      </c>
      <c r="AT74" s="141">
        <f ca="1">IF(AS87=0,0,1)*($P$74*(1+Assumptions!$H$69)^(AT11-1))</f>
        <v>-2086.7903000000001</v>
      </c>
      <c r="AU74" s="141">
        <f ca="1">IF(AT87=0,0,1)*($P$74*(1+Assumptions!$H$69)^(AU11-1))</f>
        <v>-2086.7903000000001</v>
      </c>
      <c r="AV74" s="141">
        <f ca="1">IF(AU87=0,0,1)*($P$74*(1+Assumptions!$H$69)^(AV11-1))</f>
        <v>-2086.7903000000001</v>
      </c>
      <c r="AW74" s="141">
        <f ca="1">IF(AV87=0,0,1)*($P$74*(1+Assumptions!$H$69)^(AW11-1))</f>
        <v>-2086.7903000000001</v>
      </c>
      <c r="AX74" s="141">
        <f ca="1">IF(AW87=0,0,1)*($P$74*(1+Assumptions!$H$69)^(AX11-1))</f>
        <v>-2086.7903000000001</v>
      </c>
      <c r="AY74" s="141">
        <f ca="1">IF(AX87=0,0,1)*($P$74*(1+Assumptions!$H$69)^(AY11-1))</f>
        <v>-2086.7903000000001</v>
      </c>
      <c r="AZ74" s="141">
        <f ca="1">IF(AY87=0,0,1)*($P$74*(1+Assumptions!$H$69)^(AZ11-1))</f>
        <v>-2149.3940090000001</v>
      </c>
      <c r="BA74" s="141">
        <f ca="1">IF(AZ87=0,0,1)*($P$74*(1+Assumptions!$H$69)^(BA11-1))</f>
        <v>-2149.3940090000001</v>
      </c>
      <c r="BB74" s="141">
        <f ca="1">IF(BA87=0,0,1)*($P$74*(1+Assumptions!$H$69)^(BB11-1))</f>
        <v>-2149.3940090000001</v>
      </c>
      <c r="BC74" s="141">
        <f ca="1">IF(BB87=0,0,1)*($P$74*(1+Assumptions!$H$69)^(BC11-1))</f>
        <v>-2149.3940090000001</v>
      </c>
      <c r="BD74" s="141">
        <f ca="1">IF(BC87=0,0,1)*($P$74*(1+Assumptions!$H$69)^(BD11-1))</f>
        <v>-2149.3940090000001</v>
      </c>
      <c r="BE74" s="141">
        <f ca="1">IF(BD87=0,0,1)*($P$74*(1+Assumptions!$H$69)^(BE11-1))</f>
        <v>-2149.3940090000001</v>
      </c>
      <c r="BF74" s="141">
        <f ca="1">IF(BE87=0,0,1)*($P$74*(1+Assumptions!$H$69)^(BF11-1))</f>
        <v>-2149.3940090000001</v>
      </c>
      <c r="BG74" s="141">
        <f ca="1">IF(BF87=0,0,1)*($P$74*(1+Assumptions!$H$69)^(BG11-1))</f>
        <v>-2149.3940090000001</v>
      </c>
      <c r="BH74" s="141">
        <f ca="1">IF(BG87=0,0,1)*($P$74*(1+Assumptions!$H$69)^(BH11-1))</f>
        <v>-2149.3940090000001</v>
      </c>
      <c r="BI74" s="141">
        <f ca="1">IF(BH87=0,0,1)*($P$74*(1+Assumptions!$H$69)^(BI11-1))</f>
        <v>-2149.3940090000001</v>
      </c>
      <c r="BJ74" s="141">
        <f ca="1">IF(BI87=0,0,1)*($P$74*(1+Assumptions!$H$69)^(BJ11-1))</f>
        <v>-2149.3940090000001</v>
      </c>
      <c r="BK74" s="141">
        <f ca="1">IF(BJ87=0,0,1)*($P$74*(1+Assumptions!$H$69)^(BK11-1))</f>
        <v>-2149.3940090000001</v>
      </c>
      <c r="BL74" s="141">
        <f ca="1">IF(BK87=0,0,1)*($P$74*(1+Assumptions!$H$69)^(BL11-1))</f>
        <v>-2213.8758292699999</v>
      </c>
      <c r="BM74" s="141">
        <f ca="1">IF(BL87=0,0,1)*($P$74*(1+Assumptions!$H$69)^(BM11-1))</f>
        <v>-2213.8758292699999</v>
      </c>
      <c r="BN74" s="141">
        <f ca="1">IF(BM87=0,0,1)*($P$74*(1+Assumptions!$H$69)^(BN11-1))</f>
        <v>-2213.8758292699999</v>
      </c>
      <c r="BO74" s="141">
        <f ca="1">IF(BN87=0,0,1)*($P$74*(1+Assumptions!$H$69)^(BO11-1))</f>
        <v>-2213.8758292699999</v>
      </c>
      <c r="BP74" s="141">
        <f ca="1">IF(BO87=0,0,1)*($P$74*(1+Assumptions!$H$69)^(BP11-1))</f>
        <v>-2213.8758292699999</v>
      </c>
      <c r="BQ74" s="141">
        <f ca="1">IF(BP87=0,0,1)*($P$74*(1+Assumptions!$H$69)^(BQ11-1))</f>
        <v>-2213.8758292699999</v>
      </c>
      <c r="BR74" s="141">
        <f ca="1">IF(BQ87=0,0,1)*($P$74*(1+Assumptions!$H$69)^(BR11-1))</f>
        <v>-2213.8758292699999</v>
      </c>
      <c r="BS74" s="141">
        <f ca="1">IF(BR87=0,0,1)*($P$74*(1+Assumptions!$H$69)^(BS11-1))</f>
        <v>-2213.8758292699999</v>
      </c>
      <c r="BT74" s="141">
        <f ca="1">IF(BS87=0,0,1)*($P$74*(1+Assumptions!$H$69)^(BT11-1))</f>
        <v>-2213.8758292699999</v>
      </c>
      <c r="BU74" s="141">
        <f ca="1">IF(BT87=0,0,1)*($P$74*(1+Assumptions!$H$69)^(BU11-1))</f>
        <v>-2213.8758292699999</v>
      </c>
      <c r="BV74" s="141">
        <f ca="1">IF(BU87=0,0,1)*($P$74*(1+Assumptions!$H$69)^(BV11-1))</f>
        <v>-2213.8758292699999</v>
      </c>
      <c r="BW74" s="141">
        <f ca="1">IF(BV87=0,0,1)*($P$74*(1+Assumptions!$H$69)^(BW11-1))</f>
        <v>-2213.8758292699999</v>
      </c>
      <c r="BX74" s="141">
        <f ca="1">IF(BW87=0,0,1)*($P$74*(1+Assumptions!$H$69)^(BX11-1))</f>
        <v>-2280.2921041480995</v>
      </c>
      <c r="BY74" s="141">
        <f ca="1">IF(BX87=0,0,1)*($P$74*(1+Assumptions!$H$69)^(BY11-1))</f>
        <v>-2280.2921041480995</v>
      </c>
      <c r="BZ74" s="141">
        <f ca="1">IF(BY87=0,0,1)*($P$74*(1+Assumptions!$H$69)^(BZ11-1))</f>
        <v>-2280.2921041480995</v>
      </c>
      <c r="CA74" s="141">
        <f ca="1">IF(BZ87=0,0,1)*($P$74*(1+Assumptions!$H$69)^(CA11-1))</f>
        <v>-2280.2921041480995</v>
      </c>
      <c r="CB74" s="141">
        <f ca="1">IF(CA87=0,0,1)*($P$74*(1+Assumptions!$H$69)^(CB11-1))</f>
        <v>-2280.2921041480995</v>
      </c>
      <c r="CC74" s="141">
        <f ca="1">IF(CB87=0,0,1)*($P$74*(1+Assumptions!$H$69)^(CC11-1))</f>
        <v>-2280.2921041480995</v>
      </c>
      <c r="CD74" s="141">
        <f ca="1">IF(CC87=0,0,1)*($P$74*(1+Assumptions!$H$69)^(CD11-1))</f>
        <v>-2280.2921041480995</v>
      </c>
      <c r="CE74" s="141">
        <f ca="1">IF(CD87=0,0,1)*($P$74*(1+Assumptions!$H$69)^(CE11-1))</f>
        <v>-2280.2921041480995</v>
      </c>
      <c r="CF74" s="141">
        <f ca="1">IF(CE87=0,0,1)*($P$74*(1+Assumptions!$H$69)^(CF11-1))</f>
        <v>-2280.2921041480995</v>
      </c>
      <c r="CG74" s="141">
        <f ca="1">IF(CF87=0,0,1)*($P$74*(1+Assumptions!$H$69)^(CG11-1))</f>
        <v>-2280.2921041480995</v>
      </c>
      <c r="CH74" s="141">
        <f ca="1">IF(CG87=0,0,1)*($P$74*(1+Assumptions!$H$69)^(CH11-1))</f>
        <v>-2280.2921041480995</v>
      </c>
      <c r="CI74" s="141">
        <f ca="1">IF(CH87=0,0,1)*($P$74*(1+Assumptions!$H$69)^(CI11-1))</f>
        <v>-2280.2921041480995</v>
      </c>
      <c r="CJ74" s="141">
        <f ca="1">IF(CI87=0,0,1)*($P$74*(1+Assumptions!$H$69)^(CJ11-1))</f>
        <v>-2348.7008672725428</v>
      </c>
      <c r="CK74" s="141">
        <f ca="1">IF(CJ87=0,0,1)*($P$74*(1+Assumptions!$H$69)^(CK11-1))</f>
        <v>-2348.7008672725428</v>
      </c>
      <c r="CL74" s="141">
        <f ca="1">IF(CK87=0,0,1)*($P$74*(1+Assumptions!$H$69)^(CL11-1))</f>
        <v>-2348.7008672725428</v>
      </c>
      <c r="CM74" s="141">
        <f ca="1">IF(CL87=0,0,1)*($P$74*(1+Assumptions!$H$69)^(CM11-1))</f>
        <v>-2348.7008672725428</v>
      </c>
      <c r="CN74" s="141">
        <f ca="1">IF(CM87=0,0,1)*($P$74*(1+Assumptions!$H$69)^(CN11-1))</f>
        <v>-2348.7008672725428</v>
      </c>
      <c r="CO74" s="141">
        <f ca="1">IF(CN87=0,0,1)*($P$74*(1+Assumptions!$H$69)^(CO11-1))</f>
        <v>-2348.7008672725428</v>
      </c>
      <c r="CP74" s="141">
        <f ca="1">IF(CO87=0,0,1)*($P$74*(1+Assumptions!$H$69)^(CP11-1))</f>
        <v>-2348.7008672725428</v>
      </c>
      <c r="CQ74" s="141">
        <f ca="1">IF(CP87=0,0,1)*($P$74*(1+Assumptions!$H$69)^(CQ11-1))</f>
        <v>-2348.7008672725428</v>
      </c>
      <c r="CR74" s="141">
        <f ca="1">IF(CQ87=0,0,1)*($P$74*(1+Assumptions!$H$69)^(CR11-1))</f>
        <v>-2348.7008672725428</v>
      </c>
      <c r="CS74" s="141">
        <f ca="1">IF(CR87=0,0,1)*($P$74*(1+Assumptions!$H$69)^(CS11-1))</f>
        <v>-2348.7008672725428</v>
      </c>
      <c r="CT74" s="141">
        <f ca="1">IF(CS87=0,0,1)*($P$74*(1+Assumptions!$H$69)^(CT11-1))</f>
        <v>-2348.7008672725428</v>
      </c>
      <c r="CU74" s="141">
        <f ca="1">IF(CT87=0,0,1)*($P$74*(1+Assumptions!$H$69)^(CU11-1))</f>
        <v>-2348.7008672725428</v>
      </c>
      <c r="CV74" s="141">
        <f ca="1">IF(CU87=0,0,1)*($P$74*(1+Assumptions!$H$69)^(CV11-1))</f>
        <v>-2419.161893290719</v>
      </c>
      <c r="CW74" s="141">
        <f ca="1">IF(CV87=0,0,1)*($P$74*(1+Assumptions!$H$69)^(CW11-1))</f>
        <v>-2419.161893290719</v>
      </c>
      <c r="CX74" s="141">
        <f ca="1">IF(CW87=0,0,1)*($P$74*(1+Assumptions!$H$69)^(CX11-1))</f>
        <v>-2419.161893290719</v>
      </c>
      <c r="CY74" s="141">
        <f ca="1">IF(CX87=0,0,1)*($P$74*(1+Assumptions!$H$69)^(CY11-1))</f>
        <v>-2419.161893290719</v>
      </c>
      <c r="CZ74" s="141">
        <f ca="1">IF(CY87=0,0,1)*($P$74*(1+Assumptions!$H$69)^(CZ11-1))</f>
        <v>-2419.161893290719</v>
      </c>
      <c r="DA74" s="141">
        <f ca="1">IF(CZ87=0,0,1)*($P$74*(1+Assumptions!$H$69)^(DA11-1))</f>
        <v>-2419.161893290719</v>
      </c>
      <c r="DB74" s="141">
        <f ca="1">IF(DA87=0,0,1)*($P$74*(1+Assumptions!$H$69)^(DB11-1))</f>
        <v>-2419.161893290719</v>
      </c>
      <c r="DC74" s="141">
        <f ca="1">IF(DB87=0,0,1)*($P$74*(1+Assumptions!$H$69)^(DC11-1))</f>
        <v>-2419.161893290719</v>
      </c>
      <c r="DD74" s="141">
        <f ca="1">IF(DC87=0,0,1)*($P$74*(1+Assumptions!$H$69)^(DD11-1))</f>
        <v>-2419.161893290719</v>
      </c>
      <c r="DE74" s="141">
        <f ca="1">IF(DD87=0,0,1)*($P$74*(1+Assumptions!$H$69)^(DE11-1))</f>
        <v>-2419.161893290719</v>
      </c>
      <c r="DF74" s="141">
        <f ca="1">IF(DE87=0,0,1)*($P$74*(1+Assumptions!$H$69)^(DF11-1))</f>
        <v>-2419.161893290719</v>
      </c>
      <c r="DG74" s="141">
        <f ca="1">IF(DF87=0,0,1)*($P$74*(1+Assumptions!$H$69)^(DG11-1))</f>
        <v>-2419.161893290719</v>
      </c>
      <c r="DH74" s="141">
        <f ca="1">IF(DG87=0,0,1)*($P$74*(1+Assumptions!$H$69)^(DH11-1))</f>
        <v>-2491.7367500894406</v>
      </c>
      <c r="DI74" s="141">
        <f ca="1">IF(DH87=0,0,1)*($P$74*(1+Assumptions!$H$69)^(DI11-1))</f>
        <v>-2491.7367500894406</v>
      </c>
      <c r="DJ74" s="141">
        <f>IF(DI87=0,0,1)*($P$74*(1+Assumptions!$H$69)^(DJ11-1))</f>
        <v>0</v>
      </c>
      <c r="DK74" s="141">
        <f>IF(DJ87=0,0,1)*($P$74*(1+Assumptions!$H$69)^(DK11-1))</f>
        <v>0</v>
      </c>
      <c r="DL74" s="141">
        <f>IF(DK87=0,0,1)*($P$74*(1+Assumptions!$H$69)^(DL11-1))</f>
        <v>0</v>
      </c>
      <c r="DM74" s="141">
        <f>IF(DL87=0,0,1)*($P$74*(1+Assumptions!$H$69)^(DM11-1))</f>
        <v>0</v>
      </c>
      <c r="DN74" s="141">
        <f>IF(DM87=0,0,1)*($P$74*(1+Assumptions!$H$69)^(DN11-1))</f>
        <v>0</v>
      </c>
      <c r="DO74" s="141">
        <f>IF(DN87=0,0,1)*($P$74*(1+Assumptions!$H$69)^(DO11-1))</f>
        <v>0</v>
      </c>
      <c r="DP74" s="141">
        <f>IF(DO87=0,0,1)*($P$74*(1+Assumptions!$H$69)^(DP11-1))</f>
        <v>0</v>
      </c>
      <c r="DQ74" s="141">
        <f>IF(DP87=0,0,1)*($P$74*(1+Assumptions!$H$69)^(DQ11-1))</f>
        <v>0</v>
      </c>
      <c r="DR74" s="141">
        <f>IF(DQ87=0,0,1)*($P$74*(1+Assumptions!$H$69)^(DR11-1))</f>
        <v>0</v>
      </c>
      <c r="DS74" s="141">
        <f>IF(DR87=0,0,1)*($P$74*(1+Assumptions!$H$69)^(DS11-1))</f>
        <v>0</v>
      </c>
      <c r="DT74" s="141">
        <f>IF(DS87=0,0,1)*($P$74*(1+Assumptions!$H$69)^(DT11-1))</f>
        <v>0</v>
      </c>
      <c r="DU74" s="141">
        <f>IF(DT87=0,0,1)*($P$74*(1+Assumptions!$H$69)^(DU11-1))</f>
        <v>0</v>
      </c>
      <c r="DV74" s="141">
        <f>IF(DU87=0,0,1)*($P$74*(1+Assumptions!$H$69)^(DV11-1))</f>
        <v>0</v>
      </c>
      <c r="DW74" s="141">
        <f>IF(DV87=0,0,1)*($P$74*(1+Assumptions!$H$69)^(DW11-1))</f>
        <v>0</v>
      </c>
      <c r="DX74" s="141">
        <f>IF(DW87=0,0,1)*($P$74*(1+Assumptions!$H$69)^(DX11-1))</f>
        <v>0</v>
      </c>
      <c r="DY74" s="141">
        <f>IF(DX87=0,0,1)*($P$74*(1+Assumptions!$H$69)^(DY11-1))</f>
        <v>0</v>
      </c>
      <c r="DZ74" s="141">
        <f>IF(DY87=0,0,1)*($P$74*(1+Assumptions!$H$69)^(DZ11-1))</f>
        <v>0</v>
      </c>
      <c r="EA74" s="141">
        <f>IF(DZ87=0,0,1)*($P$74*(1+Assumptions!$H$69)^(EA11-1))</f>
        <v>0</v>
      </c>
      <c r="EB74" s="141">
        <f>IF(EA87=0,0,1)*($P$74*(1+Assumptions!$H$69)^(EB11-1))</f>
        <v>0</v>
      </c>
      <c r="EC74" s="141">
        <f>IF(EB87=0,0,1)*($P$74*(1+Assumptions!$H$69)^(EC11-1))</f>
        <v>0</v>
      </c>
      <c r="ED74" s="141">
        <f>IF(EC87=0,0,1)*($P$74*(1+Assumptions!$H$69)^(ED11-1))</f>
        <v>0</v>
      </c>
      <c r="EE74" s="141">
        <f>IF(ED87=0,0,1)*($P$74*(1+Assumptions!$H$69)^(EE11-1))</f>
        <v>0</v>
      </c>
      <c r="EF74" s="141">
        <f>IF(EE87=0,0,1)*($P$74*(1+Assumptions!$H$69)^(EF11-1))</f>
        <v>0</v>
      </c>
      <c r="EG74" s="141">
        <f>IF(EF87=0,0,1)*($P$74*(1+Assumptions!$H$69)^(EG11-1))</f>
        <v>0</v>
      </c>
      <c r="EH74" s="141">
        <f>IF(EG87=0,0,1)*($P$74*(1+Assumptions!$H$69)^(EH11-1))</f>
        <v>0</v>
      </c>
      <c r="EI74" s="141">
        <f>IF(EH87=0,0,1)*($P$74*(1+Assumptions!$H$69)^(EI11-1))</f>
        <v>0</v>
      </c>
      <c r="EJ74" s="141">
        <f>IF(EI87=0,0,1)*($P$74*(1+Assumptions!$H$69)^(EJ11-1))</f>
        <v>0</v>
      </c>
      <c r="EK74" s="141">
        <f>IF(EJ87=0,0,1)*($P$74*(1+Assumptions!$H$69)^(EK11-1))</f>
        <v>0</v>
      </c>
      <c r="EL74" s="141">
        <f>IF(EK87=0,0,1)*($P$74*(1+Assumptions!$H$69)^(EL11-1))</f>
        <v>0</v>
      </c>
      <c r="EM74" s="141">
        <f>IF(EL87=0,0,1)*($P$74*(1+Assumptions!$H$69)^(EM11-1))</f>
        <v>0</v>
      </c>
      <c r="EN74" s="141">
        <f>IF(EM87=0,0,1)*($P$74*(1+Assumptions!$H$69)^(EN11-1))</f>
        <v>0</v>
      </c>
      <c r="EO74" s="141">
        <f>IF(EN87=0,0,1)*($P$74*(1+Assumptions!$H$69)^(EO11-1))</f>
        <v>0</v>
      </c>
      <c r="EP74" s="141">
        <f>IF(EO87=0,0,1)*($P$74*(1+Assumptions!$H$69)^(EP11-1))</f>
        <v>0</v>
      </c>
      <c r="EQ74" s="141">
        <f>IF(EP87=0,0,1)*($P$74*(1+Assumptions!$H$69)^(EQ11-1))</f>
        <v>0</v>
      </c>
      <c r="ES74" s="421"/>
      <c r="ET74" s="63"/>
      <c r="EU74" s="98"/>
    </row>
    <row r="75" spans="7:151" ht="15.75">
      <c r="G75" s="145"/>
      <c r="H75" s="128" t="s">
        <v>17</v>
      </c>
      <c r="I75" s="504"/>
      <c r="J75" s="507"/>
      <c r="K75" s="130"/>
      <c r="L75" s="131"/>
      <c r="M75" s="131"/>
      <c r="N75" s="225">
        <f>'Annual Cash Flow'!C50</f>
        <v>-15000</v>
      </c>
      <c r="O75" s="787"/>
      <c r="P75" s="102">
        <f>-Assumptions!F64/12</f>
        <v>-1250</v>
      </c>
      <c r="Q75" s="141">
        <f ca="1">IF(P87=0,0,1)*($P$75*(1+Assumptions!$H$69)^(Q11-1))</f>
        <v>-1250</v>
      </c>
      <c r="R75" s="141">
        <f ca="1">IF(Q87=0,0,1)*($P$75*(1+Assumptions!$H$69)^(R11-1))</f>
        <v>-1250</v>
      </c>
      <c r="S75" s="141">
        <f ca="1">IF(R87=0,0,1)*($P$75*(1+Assumptions!$H$69)^(S11-1))</f>
        <v>-1250</v>
      </c>
      <c r="T75" s="141">
        <f ca="1">IF(S87=0,0,1)*($P$75*(1+Assumptions!$H$69)^(T11-1))</f>
        <v>-1250</v>
      </c>
      <c r="U75" s="141">
        <f ca="1">IF(T87=0,0,1)*($P$75*(1+Assumptions!$H$69)^(U11-1))</f>
        <v>-1250</v>
      </c>
      <c r="V75" s="141">
        <f ca="1">IF(U87=0,0,1)*($P$75*(1+Assumptions!$H$69)^(V11-1))</f>
        <v>-1250</v>
      </c>
      <c r="W75" s="141">
        <f ca="1">IF(V87=0,0,1)*($P$75*(1+Assumptions!$H$69)^(W11-1))</f>
        <v>-1250</v>
      </c>
      <c r="X75" s="141">
        <f ca="1">IF(W87=0,0,1)*($P$75*(1+Assumptions!$H$69)^(X11-1))</f>
        <v>-1250</v>
      </c>
      <c r="Y75" s="141">
        <f ca="1">IF(X87=0,0,1)*($P$75*(1+Assumptions!$H$69)^(Y11-1))</f>
        <v>-1250</v>
      </c>
      <c r="Z75" s="141">
        <f ca="1">IF(Y87=0,0,1)*($P$75*(1+Assumptions!$H$69)^(Z11-1))</f>
        <v>-1250</v>
      </c>
      <c r="AA75" s="141">
        <f ca="1">IF(Z87=0,0,1)*($P$75*(1+Assumptions!$H$69)^(AA11-1))</f>
        <v>-1250</v>
      </c>
      <c r="AB75" s="141">
        <f ca="1">IF(AA87=0,0,1)*($P$75*(1+Assumptions!$H$69)^(AB11-1))</f>
        <v>-1287.5</v>
      </c>
      <c r="AC75" s="141">
        <f ca="1">IF(AB87=0,0,1)*($P$75*(1+Assumptions!$H$69)^(AC11-1))</f>
        <v>-1287.5</v>
      </c>
      <c r="AD75" s="141">
        <f ca="1">IF(AC87=0,0,1)*($P$75*(1+Assumptions!$H$69)^(AD11-1))</f>
        <v>-1287.5</v>
      </c>
      <c r="AE75" s="141">
        <f ca="1">IF(AD87=0,0,1)*($P$75*(1+Assumptions!$H$69)^(AE11-1))</f>
        <v>-1287.5</v>
      </c>
      <c r="AF75" s="141">
        <f ca="1">IF(AE87=0,0,1)*($P$75*(1+Assumptions!$H$69)^(AF11-1))</f>
        <v>-1287.5</v>
      </c>
      <c r="AG75" s="141">
        <f ca="1">IF(AF87=0,0,1)*($P$75*(1+Assumptions!$H$69)^(AG11-1))</f>
        <v>-1287.5</v>
      </c>
      <c r="AH75" s="141">
        <f ca="1">IF(AG87=0,0,1)*($P$75*(1+Assumptions!$H$69)^(AH11-1))</f>
        <v>-1287.5</v>
      </c>
      <c r="AI75" s="141">
        <f ca="1">IF(AH87=0,0,1)*($P$75*(1+Assumptions!$H$69)^(AI11-1))</f>
        <v>-1287.5</v>
      </c>
      <c r="AJ75" s="141">
        <f ca="1">IF(AI87=0,0,1)*($P$75*(1+Assumptions!$H$69)^(AJ11-1))</f>
        <v>-1287.5</v>
      </c>
      <c r="AK75" s="141">
        <f ca="1">IF(AJ87=0,0,1)*($P$75*(1+Assumptions!$H$69)^(AK11-1))</f>
        <v>-1287.5</v>
      </c>
      <c r="AL75" s="141">
        <f ca="1">IF(AK87=0,0,1)*($P$75*(1+Assumptions!$H$69)^(AL11-1))</f>
        <v>-1287.5</v>
      </c>
      <c r="AM75" s="141">
        <f ca="1">IF(AL87=0,0,1)*($P$75*(1+Assumptions!$H$69)^(AM11-1))</f>
        <v>-1287.5</v>
      </c>
      <c r="AN75" s="141">
        <f ca="1">IF(AM87=0,0,1)*($P$75*(1+Assumptions!$H$69)^(AN11-1))</f>
        <v>-1326.125</v>
      </c>
      <c r="AO75" s="141">
        <f ca="1">IF(AN87=0,0,1)*($P$75*(1+Assumptions!$H$69)^(AO11-1))</f>
        <v>-1326.125</v>
      </c>
      <c r="AP75" s="141">
        <f ca="1">IF(AO87=0,0,1)*($P$75*(1+Assumptions!$H$69)^(AP11-1))</f>
        <v>-1326.125</v>
      </c>
      <c r="AQ75" s="141">
        <f ca="1">IF(AP87=0,0,1)*($P$75*(1+Assumptions!$H$69)^(AQ11-1))</f>
        <v>-1326.125</v>
      </c>
      <c r="AR75" s="141">
        <f ca="1">IF(AQ87=0,0,1)*($P$75*(1+Assumptions!$H$69)^(AR11-1))</f>
        <v>-1326.125</v>
      </c>
      <c r="AS75" s="141">
        <f ca="1">IF(AR87=0,0,1)*($P$75*(1+Assumptions!$H$69)^(AS11-1))</f>
        <v>-1326.125</v>
      </c>
      <c r="AT75" s="141">
        <f ca="1">IF(AS87=0,0,1)*($P$75*(1+Assumptions!$H$69)^(AT11-1))</f>
        <v>-1326.125</v>
      </c>
      <c r="AU75" s="141">
        <f ca="1">IF(AT87=0,0,1)*($P$75*(1+Assumptions!$H$69)^(AU11-1))</f>
        <v>-1326.125</v>
      </c>
      <c r="AV75" s="141">
        <f ca="1">IF(AU87=0,0,1)*($P$75*(1+Assumptions!$H$69)^(AV11-1))</f>
        <v>-1326.125</v>
      </c>
      <c r="AW75" s="141">
        <f ca="1">IF(AV87=0,0,1)*($P$75*(1+Assumptions!$H$69)^(AW11-1))</f>
        <v>-1326.125</v>
      </c>
      <c r="AX75" s="141">
        <f ca="1">IF(AW87=0,0,1)*($P$75*(1+Assumptions!$H$69)^(AX11-1))</f>
        <v>-1326.125</v>
      </c>
      <c r="AY75" s="141">
        <f ca="1">IF(AX87=0,0,1)*($P$75*(1+Assumptions!$H$69)^(AY11-1))</f>
        <v>-1326.125</v>
      </c>
      <c r="AZ75" s="141">
        <f ca="1">IF(AY87=0,0,1)*($P$75*(1+Assumptions!$H$69)^(AZ11-1))</f>
        <v>-1365.9087500000001</v>
      </c>
      <c r="BA75" s="141">
        <f ca="1">IF(AZ87=0,0,1)*($P$75*(1+Assumptions!$H$69)^(BA11-1))</f>
        <v>-1365.9087500000001</v>
      </c>
      <c r="BB75" s="141">
        <f ca="1">IF(BA87=0,0,1)*($P$75*(1+Assumptions!$H$69)^(BB11-1))</f>
        <v>-1365.9087500000001</v>
      </c>
      <c r="BC75" s="141">
        <f ca="1">IF(BB87=0,0,1)*($P$75*(1+Assumptions!$H$69)^(BC11-1))</f>
        <v>-1365.9087500000001</v>
      </c>
      <c r="BD75" s="141">
        <f ca="1">IF(BC87=0,0,1)*($P$75*(1+Assumptions!$H$69)^(BD11-1))</f>
        <v>-1365.9087500000001</v>
      </c>
      <c r="BE75" s="141">
        <f ca="1">IF(BD87=0,0,1)*($P$75*(1+Assumptions!$H$69)^(BE11-1))</f>
        <v>-1365.9087500000001</v>
      </c>
      <c r="BF75" s="141">
        <f ca="1">IF(BE87=0,0,1)*($P$75*(1+Assumptions!$H$69)^(BF11-1))</f>
        <v>-1365.9087500000001</v>
      </c>
      <c r="BG75" s="141">
        <f ca="1">IF(BF87=0,0,1)*($P$75*(1+Assumptions!$H$69)^(BG11-1))</f>
        <v>-1365.9087500000001</v>
      </c>
      <c r="BH75" s="141">
        <f ca="1">IF(BG87=0,0,1)*($P$75*(1+Assumptions!$H$69)^(BH11-1))</f>
        <v>-1365.9087500000001</v>
      </c>
      <c r="BI75" s="141">
        <f ca="1">IF(BH87=0,0,1)*($P$75*(1+Assumptions!$H$69)^(BI11-1))</f>
        <v>-1365.9087500000001</v>
      </c>
      <c r="BJ75" s="141">
        <f ca="1">IF(BI87=0,0,1)*($P$75*(1+Assumptions!$H$69)^(BJ11-1))</f>
        <v>-1365.9087500000001</v>
      </c>
      <c r="BK75" s="141">
        <f ca="1">IF(BJ87=0,0,1)*($P$75*(1+Assumptions!$H$69)^(BK11-1))</f>
        <v>-1365.9087500000001</v>
      </c>
      <c r="BL75" s="141">
        <f ca="1">IF(BK87=0,0,1)*($P$75*(1+Assumptions!$H$69)^(BL11-1))</f>
        <v>-1406.8860124999999</v>
      </c>
      <c r="BM75" s="141">
        <f ca="1">IF(BL87=0,0,1)*($P$75*(1+Assumptions!$H$69)^(BM11-1))</f>
        <v>-1406.8860124999999</v>
      </c>
      <c r="BN75" s="141">
        <f ca="1">IF(BM87=0,0,1)*($P$75*(1+Assumptions!$H$69)^(BN11-1))</f>
        <v>-1406.8860124999999</v>
      </c>
      <c r="BO75" s="141">
        <f ca="1">IF(BN87=0,0,1)*($P$75*(1+Assumptions!$H$69)^(BO11-1))</f>
        <v>-1406.8860124999999</v>
      </c>
      <c r="BP75" s="141">
        <f ca="1">IF(BO87=0,0,1)*($P$75*(1+Assumptions!$H$69)^(BP11-1))</f>
        <v>-1406.8860124999999</v>
      </c>
      <c r="BQ75" s="141">
        <f ca="1">IF(BP87=0,0,1)*($P$75*(1+Assumptions!$H$69)^(BQ11-1))</f>
        <v>-1406.8860124999999</v>
      </c>
      <c r="BR75" s="141">
        <f ca="1">IF(BQ87=0,0,1)*($P$75*(1+Assumptions!$H$69)^(BR11-1))</f>
        <v>-1406.8860124999999</v>
      </c>
      <c r="BS75" s="141">
        <f ca="1">IF(BR87=0,0,1)*($P$75*(1+Assumptions!$H$69)^(BS11-1))</f>
        <v>-1406.8860124999999</v>
      </c>
      <c r="BT75" s="141">
        <f ca="1">IF(BS87=0,0,1)*($P$75*(1+Assumptions!$H$69)^(BT11-1))</f>
        <v>-1406.8860124999999</v>
      </c>
      <c r="BU75" s="141">
        <f ca="1">IF(BT87=0,0,1)*($P$75*(1+Assumptions!$H$69)^(BU11-1))</f>
        <v>-1406.8860124999999</v>
      </c>
      <c r="BV75" s="141">
        <f ca="1">IF(BU87=0,0,1)*($P$75*(1+Assumptions!$H$69)^(BV11-1))</f>
        <v>-1406.8860124999999</v>
      </c>
      <c r="BW75" s="141">
        <f ca="1">IF(BV87=0,0,1)*($P$75*(1+Assumptions!$H$69)^(BW11-1))</f>
        <v>-1406.8860124999999</v>
      </c>
      <c r="BX75" s="141">
        <f ca="1">IF(BW87=0,0,1)*($P$75*(1+Assumptions!$H$69)^(BX11-1))</f>
        <v>-1449.0925928749998</v>
      </c>
      <c r="BY75" s="141">
        <f ca="1">IF(BX87=0,0,1)*($P$75*(1+Assumptions!$H$69)^(BY11-1))</f>
        <v>-1449.0925928749998</v>
      </c>
      <c r="BZ75" s="141">
        <f ca="1">IF(BY87=0,0,1)*($P$75*(1+Assumptions!$H$69)^(BZ11-1))</f>
        <v>-1449.0925928749998</v>
      </c>
      <c r="CA75" s="141">
        <f ca="1">IF(BZ87=0,0,1)*($P$75*(1+Assumptions!$H$69)^(CA11-1))</f>
        <v>-1449.0925928749998</v>
      </c>
      <c r="CB75" s="141">
        <f ca="1">IF(CA87=0,0,1)*($P$75*(1+Assumptions!$H$69)^(CB11-1))</f>
        <v>-1449.0925928749998</v>
      </c>
      <c r="CC75" s="141">
        <f ca="1">IF(CB87=0,0,1)*($P$75*(1+Assumptions!$H$69)^(CC11-1))</f>
        <v>-1449.0925928749998</v>
      </c>
      <c r="CD75" s="141">
        <f ca="1">IF(CC87=0,0,1)*($P$75*(1+Assumptions!$H$69)^(CD11-1))</f>
        <v>-1449.0925928749998</v>
      </c>
      <c r="CE75" s="141">
        <f ca="1">IF(CD87=0,0,1)*($P$75*(1+Assumptions!$H$69)^(CE11-1))</f>
        <v>-1449.0925928749998</v>
      </c>
      <c r="CF75" s="141">
        <f ca="1">IF(CE87=0,0,1)*($P$75*(1+Assumptions!$H$69)^(CF11-1))</f>
        <v>-1449.0925928749998</v>
      </c>
      <c r="CG75" s="141">
        <f ca="1">IF(CF87=0,0,1)*($P$75*(1+Assumptions!$H$69)^(CG11-1))</f>
        <v>-1449.0925928749998</v>
      </c>
      <c r="CH75" s="141">
        <f ca="1">IF(CG87=0,0,1)*($P$75*(1+Assumptions!$H$69)^(CH11-1))</f>
        <v>-1449.0925928749998</v>
      </c>
      <c r="CI75" s="141">
        <f ca="1">IF(CH87=0,0,1)*($P$75*(1+Assumptions!$H$69)^(CI11-1))</f>
        <v>-1449.0925928749998</v>
      </c>
      <c r="CJ75" s="141">
        <f ca="1">IF(CI87=0,0,1)*($P$75*(1+Assumptions!$H$69)^(CJ11-1))</f>
        <v>-1492.56537066125</v>
      </c>
      <c r="CK75" s="141">
        <f ca="1">IF(CJ87=0,0,1)*($P$75*(1+Assumptions!$H$69)^(CK11-1))</f>
        <v>-1492.56537066125</v>
      </c>
      <c r="CL75" s="141">
        <f ca="1">IF(CK87=0,0,1)*($P$75*(1+Assumptions!$H$69)^(CL11-1))</f>
        <v>-1492.56537066125</v>
      </c>
      <c r="CM75" s="141">
        <f ca="1">IF(CL87=0,0,1)*($P$75*(1+Assumptions!$H$69)^(CM11-1))</f>
        <v>-1492.56537066125</v>
      </c>
      <c r="CN75" s="141">
        <f ca="1">IF(CM87=0,0,1)*($P$75*(1+Assumptions!$H$69)^(CN11-1))</f>
        <v>-1492.56537066125</v>
      </c>
      <c r="CO75" s="141">
        <f ca="1">IF(CN87=0,0,1)*($P$75*(1+Assumptions!$H$69)^(CO11-1))</f>
        <v>-1492.56537066125</v>
      </c>
      <c r="CP75" s="141">
        <f ca="1">IF(CO87=0,0,1)*($P$75*(1+Assumptions!$H$69)^(CP11-1))</f>
        <v>-1492.56537066125</v>
      </c>
      <c r="CQ75" s="141">
        <f ca="1">IF(CP87=0,0,1)*($P$75*(1+Assumptions!$H$69)^(CQ11-1))</f>
        <v>-1492.56537066125</v>
      </c>
      <c r="CR75" s="141">
        <f ca="1">IF(CQ87=0,0,1)*($P$75*(1+Assumptions!$H$69)^(CR11-1))</f>
        <v>-1492.56537066125</v>
      </c>
      <c r="CS75" s="141">
        <f ca="1">IF(CR87=0,0,1)*($P$75*(1+Assumptions!$H$69)^(CS11-1))</f>
        <v>-1492.56537066125</v>
      </c>
      <c r="CT75" s="141">
        <f ca="1">IF(CS87=0,0,1)*($P$75*(1+Assumptions!$H$69)^(CT11-1))</f>
        <v>-1492.56537066125</v>
      </c>
      <c r="CU75" s="141">
        <f ca="1">IF(CT87=0,0,1)*($P$75*(1+Assumptions!$H$69)^(CU11-1))</f>
        <v>-1492.56537066125</v>
      </c>
      <c r="CV75" s="141">
        <f ca="1">IF(CU87=0,0,1)*($P$75*(1+Assumptions!$H$69)^(CV11-1))</f>
        <v>-1537.3423317810875</v>
      </c>
      <c r="CW75" s="141">
        <f ca="1">IF(CV87=0,0,1)*($P$75*(1+Assumptions!$H$69)^(CW11-1))</f>
        <v>-1537.3423317810875</v>
      </c>
      <c r="CX75" s="141">
        <f ca="1">IF(CW87=0,0,1)*($P$75*(1+Assumptions!$H$69)^(CX11-1))</f>
        <v>-1537.3423317810875</v>
      </c>
      <c r="CY75" s="141">
        <f ca="1">IF(CX87=0,0,1)*($P$75*(1+Assumptions!$H$69)^(CY11-1))</f>
        <v>-1537.3423317810875</v>
      </c>
      <c r="CZ75" s="141">
        <f ca="1">IF(CY87=0,0,1)*($P$75*(1+Assumptions!$H$69)^(CZ11-1))</f>
        <v>-1537.3423317810875</v>
      </c>
      <c r="DA75" s="141">
        <f ca="1">IF(CZ87=0,0,1)*($P$75*(1+Assumptions!$H$69)^(DA11-1))</f>
        <v>-1537.3423317810875</v>
      </c>
      <c r="DB75" s="141">
        <f ca="1">IF(DA87=0,0,1)*($P$75*(1+Assumptions!$H$69)^(DB11-1))</f>
        <v>-1537.3423317810875</v>
      </c>
      <c r="DC75" s="141">
        <f ca="1">IF(DB87=0,0,1)*($P$75*(1+Assumptions!$H$69)^(DC11-1))</f>
        <v>-1537.3423317810875</v>
      </c>
      <c r="DD75" s="141">
        <f ca="1">IF(DC87=0,0,1)*($P$75*(1+Assumptions!$H$69)^(DD11-1))</f>
        <v>-1537.3423317810875</v>
      </c>
      <c r="DE75" s="141">
        <f ca="1">IF(DD87=0,0,1)*($P$75*(1+Assumptions!$H$69)^(DE11-1))</f>
        <v>-1537.3423317810875</v>
      </c>
      <c r="DF75" s="141">
        <f ca="1">IF(DE87=0,0,1)*($P$75*(1+Assumptions!$H$69)^(DF11-1))</f>
        <v>-1537.3423317810875</v>
      </c>
      <c r="DG75" s="141">
        <f ca="1">IF(DF87=0,0,1)*($P$75*(1+Assumptions!$H$69)^(DG11-1))</f>
        <v>-1537.3423317810875</v>
      </c>
      <c r="DH75" s="141">
        <f ca="1">IF(DG87=0,0,1)*($P$75*(1+Assumptions!$H$69)^(DH11-1))</f>
        <v>-1583.4626017345199</v>
      </c>
      <c r="DI75" s="141">
        <f ca="1">IF(DH87=0,0,1)*($P$75*(1+Assumptions!$H$69)^(DI11-1))</f>
        <v>-1583.4626017345199</v>
      </c>
      <c r="DJ75" s="141">
        <f>IF(DI87=0,0,1)*($P$75*(1+Assumptions!$H$69)^(DJ11-1))</f>
        <v>0</v>
      </c>
      <c r="DK75" s="141">
        <f>IF(DJ87=0,0,1)*($P$75*(1+Assumptions!$H$69)^(DK11-1))</f>
        <v>0</v>
      </c>
      <c r="DL75" s="141">
        <f>IF(DK87=0,0,1)*($P$75*(1+Assumptions!$H$69)^(DL11-1))</f>
        <v>0</v>
      </c>
      <c r="DM75" s="141">
        <f>IF(DL87=0,0,1)*($P$75*(1+Assumptions!$H$69)^(DM11-1))</f>
        <v>0</v>
      </c>
      <c r="DN75" s="141">
        <f>IF(DM87=0,0,1)*($P$75*(1+Assumptions!$H$69)^(DN11-1))</f>
        <v>0</v>
      </c>
      <c r="DO75" s="141">
        <f>IF(DN87=0,0,1)*($P$75*(1+Assumptions!$H$69)^(DO11-1))</f>
        <v>0</v>
      </c>
      <c r="DP75" s="141">
        <f>IF(DO87=0,0,1)*($P$75*(1+Assumptions!$H$69)^(DP11-1))</f>
        <v>0</v>
      </c>
      <c r="DQ75" s="141">
        <f>IF(DP87=0,0,1)*($P$75*(1+Assumptions!$H$69)^(DQ11-1))</f>
        <v>0</v>
      </c>
      <c r="DR75" s="141">
        <f>IF(DQ87=0,0,1)*($P$75*(1+Assumptions!$H$69)^(DR11-1))</f>
        <v>0</v>
      </c>
      <c r="DS75" s="141">
        <f>IF(DR87=0,0,1)*($P$75*(1+Assumptions!$H$69)^(DS11-1))</f>
        <v>0</v>
      </c>
      <c r="DT75" s="141">
        <f>IF(DS87=0,0,1)*($P$75*(1+Assumptions!$H$69)^(DT11-1))</f>
        <v>0</v>
      </c>
      <c r="DU75" s="141">
        <f>IF(DT87=0,0,1)*($P$75*(1+Assumptions!$H$69)^(DU11-1))</f>
        <v>0</v>
      </c>
      <c r="DV75" s="141">
        <f>IF(DU87=0,0,1)*($P$75*(1+Assumptions!$H$69)^(DV11-1))</f>
        <v>0</v>
      </c>
      <c r="DW75" s="141">
        <f>IF(DV87=0,0,1)*($P$75*(1+Assumptions!$H$69)^(DW11-1))</f>
        <v>0</v>
      </c>
      <c r="DX75" s="141">
        <f>IF(DW87=0,0,1)*($P$75*(1+Assumptions!$H$69)^(DX11-1))</f>
        <v>0</v>
      </c>
      <c r="DY75" s="141">
        <f>IF(DX87=0,0,1)*($P$75*(1+Assumptions!$H$69)^(DY11-1))</f>
        <v>0</v>
      </c>
      <c r="DZ75" s="141">
        <f>IF(DY87=0,0,1)*($P$75*(1+Assumptions!$H$69)^(DZ11-1))</f>
        <v>0</v>
      </c>
      <c r="EA75" s="141">
        <f>IF(DZ87=0,0,1)*($P$75*(1+Assumptions!$H$69)^(EA11-1))</f>
        <v>0</v>
      </c>
      <c r="EB75" s="141">
        <f>IF(EA87=0,0,1)*($P$75*(1+Assumptions!$H$69)^(EB11-1))</f>
        <v>0</v>
      </c>
      <c r="EC75" s="141">
        <f>IF(EB87=0,0,1)*($P$75*(1+Assumptions!$H$69)^(EC11-1))</f>
        <v>0</v>
      </c>
      <c r="ED75" s="141">
        <f>IF(EC87=0,0,1)*($P$75*(1+Assumptions!$H$69)^(ED11-1))</f>
        <v>0</v>
      </c>
      <c r="EE75" s="141">
        <f>IF(ED87=0,0,1)*($P$75*(1+Assumptions!$H$69)^(EE11-1))</f>
        <v>0</v>
      </c>
      <c r="EF75" s="141">
        <f>IF(EE87=0,0,1)*($P$75*(1+Assumptions!$H$69)^(EF11-1))</f>
        <v>0</v>
      </c>
      <c r="EG75" s="141">
        <f>IF(EF87=0,0,1)*($P$75*(1+Assumptions!$H$69)^(EG11-1))</f>
        <v>0</v>
      </c>
      <c r="EH75" s="141">
        <f>IF(EG87=0,0,1)*($P$75*(1+Assumptions!$H$69)^(EH11-1))</f>
        <v>0</v>
      </c>
      <c r="EI75" s="141">
        <f>IF(EH87=0,0,1)*($P$75*(1+Assumptions!$H$69)^(EI11-1))</f>
        <v>0</v>
      </c>
      <c r="EJ75" s="141">
        <f>IF(EI87=0,0,1)*($P$75*(1+Assumptions!$H$69)^(EJ11-1))</f>
        <v>0</v>
      </c>
      <c r="EK75" s="141">
        <f>IF(EJ87=0,0,1)*($P$75*(1+Assumptions!$H$69)^(EK11-1))</f>
        <v>0</v>
      </c>
      <c r="EL75" s="141">
        <f>IF(EK87=0,0,1)*($P$75*(1+Assumptions!$H$69)^(EL11-1))</f>
        <v>0</v>
      </c>
      <c r="EM75" s="141">
        <f>IF(EL87=0,0,1)*($P$75*(1+Assumptions!$H$69)^(EM11-1))</f>
        <v>0</v>
      </c>
      <c r="EN75" s="141">
        <f>IF(EM87=0,0,1)*($P$75*(1+Assumptions!$H$69)^(EN11-1))</f>
        <v>0</v>
      </c>
      <c r="EO75" s="141">
        <f>IF(EN87=0,0,1)*($P$75*(1+Assumptions!$H$69)^(EO11-1))</f>
        <v>0</v>
      </c>
      <c r="EP75" s="141">
        <f>IF(EO87=0,0,1)*($P$75*(1+Assumptions!$H$69)^(EP11-1))</f>
        <v>0</v>
      </c>
      <c r="EQ75" s="141">
        <f>IF(EP87=0,0,1)*($P$75*(1+Assumptions!$H$69)^(EQ11-1))</f>
        <v>0</v>
      </c>
      <c r="ES75" s="421"/>
      <c r="ET75" s="63"/>
      <c r="EU75" s="98"/>
    </row>
    <row r="76" spans="7:151" ht="15.75">
      <c r="G76" s="145"/>
      <c r="H76" s="128" t="s">
        <v>42</v>
      </c>
      <c r="I76" s="504"/>
      <c r="J76" s="507"/>
      <c r="K76" s="130"/>
      <c r="L76" s="131"/>
      <c r="M76" s="131"/>
      <c r="N76" s="225">
        <f>'Annual Cash Flow'!C51</f>
        <v>0</v>
      </c>
      <c r="O76" s="788"/>
      <c r="P76" s="646">
        <f>-Assumptions!F65/12</f>
        <v>0</v>
      </c>
      <c r="Q76" s="141">
        <f ca="1">IF(P87=0,0,1)*($P$76*(1+Assumptions!$H$69)^(Q11-1))</f>
        <v>0</v>
      </c>
      <c r="R76" s="141">
        <f ca="1">IF(Q87=0,0,1)*($P$76*(1+Assumptions!$H$69)^(R11-1))</f>
        <v>0</v>
      </c>
      <c r="S76" s="141">
        <f ca="1">IF(R87=0,0,1)*($P$76*(1+Assumptions!$H$69)^(S11-1))</f>
        <v>0</v>
      </c>
      <c r="T76" s="141">
        <f ca="1">IF(S87=0,0,1)*($P$76*(1+Assumptions!$H$69)^(T11-1))</f>
        <v>0</v>
      </c>
      <c r="U76" s="141">
        <f ca="1">IF(T87=0,0,1)*($P$76*(1+Assumptions!$H$69)^(U11-1))</f>
        <v>0</v>
      </c>
      <c r="V76" s="141">
        <f ca="1">IF(U87=0,0,1)*($P$76*(1+Assumptions!$H$69)^(V11-1))</f>
        <v>0</v>
      </c>
      <c r="W76" s="141">
        <f ca="1">IF(V87=0,0,1)*($P$76*(1+Assumptions!$H$69)^(W11-1))</f>
        <v>0</v>
      </c>
      <c r="X76" s="141">
        <f ca="1">IF(W87=0,0,1)*($P$76*(1+Assumptions!$H$69)^(X11-1))</f>
        <v>0</v>
      </c>
      <c r="Y76" s="141">
        <f ca="1">IF(X87=0,0,1)*($P$76*(1+Assumptions!$H$69)^(Y11-1))</f>
        <v>0</v>
      </c>
      <c r="Z76" s="141">
        <f ca="1">IF(Y87=0,0,1)*($P$76*(1+Assumptions!$H$69)^(Z11-1))</f>
        <v>0</v>
      </c>
      <c r="AA76" s="141">
        <f ca="1">IF(Z87=0,0,1)*($P$76*(1+Assumptions!$H$69)^(AA11-1))</f>
        <v>0</v>
      </c>
      <c r="AB76" s="141">
        <f ca="1">IF(AA87=0,0,1)*($P$76*(1+Assumptions!$H$69)^(AB11-1))</f>
        <v>0</v>
      </c>
      <c r="AC76" s="141">
        <f ca="1">IF(AB87=0,0,1)*($P$76*(1+Assumptions!$H$69)^(AC11-1))</f>
        <v>0</v>
      </c>
      <c r="AD76" s="141">
        <f ca="1">IF(AC87=0,0,1)*($P$76*(1+Assumptions!$H$69)^(AD11-1))</f>
        <v>0</v>
      </c>
      <c r="AE76" s="141">
        <f ca="1">IF(AD87=0,0,1)*($P$76*(1+Assumptions!$H$69)^(AE11-1))</f>
        <v>0</v>
      </c>
      <c r="AF76" s="141">
        <f ca="1">IF(AE87=0,0,1)*($P$76*(1+Assumptions!$H$69)^(AF11-1))</f>
        <v>0</v>
      </c>
      <c r="AG76" s="141">
        <f ca="1">IF(AF87=0,0,1)*($P$76*(1+Assumptions!$H$69)^(AG11-1))</f>
        <v>0</v>
      </c>
      <c r="AH76" s="141">
        <f ca="1">IF(AG87=0,0,1)*($P$76*(1+Assumptions!$H$69)^(AH11-1))</f>
        <v>0</v>
      </c>
      <c r="AI76" s="141">
        <f ca="1">IF(AH87=0,0,1)*($P$76*(1+Assumptions!$H$69)^(AI11-1))</f>
        <v>0</v>
      </c>
      <c r="AJ76" s="141">
        <f ca="1">IF(AI87=0,0,1)*($P$76*(1+Assumptions!$H$69)^(AJ11-1))</f>
        <v>0</v>
      </c>
      <c r="AK76" s="141">
        <f ca="1">IF(AJ87=0,0,1)*($P$76*(1+Assumptions!$H$69)^(AK11-1))</f>
        <v>0</v>
      </c>
      <c r="AL76" s="141">
        <f ca="1">IF(AK87=0,0,1)*($P$76*(1+Assumptions!$H$69)^(AL11-1))</f>
        <v>0</v>
      </c>
      <c r="AM76" s="141">
        <f ca="1">IF(AL87=0,0,1)*($P$76*(1+Assumptions!$H$69)^(AM11-1))</f>
        <v>0</v>
      </c>
      <c r="AN76" s="141">
        <f ca="1">IF(AM87=0,0,1)*($P$76*(1+Assumptions!$H$69)^(AN11-1))</f>
        <v>0</v>
      </c>
      <c r="AO76" s="141">
        <f ca="1">IF(AN87=0,0,1)*($P$76*(1+Assumptions!$H$69)^(AO11-1))</f>
        <v>0</v>
      </c>
      <c r="AP76" s="141">
        <f ca="1">IF(AO87=0,0,1)*($P$76*(1+Assumptions!$H$69)^(AP11-1))</f>
        <v>0</v>
      </c>
      <c r="AQ76" s="141">
        <f ca="1">IF(AP87=0,0,1)*($P$76*(1+Assumptions!$H$69)^(AQ11-1))</f>
        <v>0</v>
      </c>
      <c r="AR76" s="141">
        <f ca="1">IF(AQ87=0,0,1)*($P$76*(1+Assumptions!$H$69)^(AR11-1))</f>
        <v>0</v>
      </c>
      <c r="AS76" s="141">
        <f ca="1">IF(AR87=0,0,1)*($P$76*(1+Assumptions!$H$69)^(AS11-1))</f>
        <v>0</v>
      </c>
      <c r="AT76" s="141">
        <f ca="1">IF(AS87=0,0,1)*($P$76*(1+Assumptions!$H$69)^(AT11-1))</f>
        <v>0</v>
      </c>
      <c r="AU76" s="141">
        <f ca="1">IF(AT87=0,0,1)*($P$76*(1+Assumptions!$H$69)^(AU11-1))</f>
        <v>0</v>
      </c>
      <c r="AV76" s="141">
        <f ca="1">IF(AU87=0,0,1)*($P$76*(1+Assumptions!$H$69)^(AV11-1))</f>
        <v>0</v>
      </c>
      <c r="AW76" s="141">
        <f ca="1">IF(AV87=0,0,1)*($P$76*(1+Assumptions!$H$69)^(AW11-1))</f>
        <v>0</v>
      </c>
      <c r="AX76" s="141">
        <f ca="1">IF(AW87=0,0,1)*($P$76*(1+Assumptions!$H$69)^(AX11-1))</f>
        <v>0</v>
      </c>
      <c r="AY76" s="141">
        <f ca="1">IF(AX87=0,0,1)*($P$76*(1+Assumptions!$H$69)^(AY11-1))</f>
        <v>0</v>
      </c>
      <c r="AZ76" s="141">
        <f ca="1">IF(AY87=0,0,1)*($P$76*(1+Assumptions!$H$69)^(AZ11-1))</f>
        <v>0</v>
      </c>
      <c r="BA76" s="141">
        <f ca="1">IF(AZ87=0,0,1)*($P$76*(1+Assumptions!$H$69)^(BA11-1))</f>
        <v>0</v>
      </c>
      <c r="BB76" s="141">
        <f ca="1">IF(BA87=0,0,1)*($P$76*(1+Assumptions!$H$69)^(BB11-1))</f>
        <v>0</v>
      </c>
      <c r="BC76" s="141">
        <f ca="1">IF(BB87=0,0,1)*($P$76*(1+Assumptions!$H$69)^(BC11-1))</f>
        <v>0</v>
      </c>
      <c r="BD76" s="141">
        <f ca="1">IF(BC87=0,0,1)*($P$76*(1+Assumptions!$H$69)^(BD11-1))</f>
        <v>0</v>
      </c>
      <c r="BE76" s="141">
        <f ca="1">IF(BD87=0,0,1)*($P$76*(1+Assumptions!$H$69)^(BE11-1))</f>
        <v>0</v>
      </c>
      <c r="BF76" s="141">
        <f ca="1">IF(BE87=0,0,1)*($P$76*(1+Assumptions!$H$69)^(BF11-1))</f>
        <v>0</v>
      </c>
      <c r="BG76" s="141">
        <f ca="1">IF(BF87=0,0,1)*($P$76*(1+Assumptions!$H$69)^(BG11-1))</f>
        <v>0</v>
      </c>
      <c r="BH76" s="141">
        <f ca="1">IF(BG87=0,0,1)*($P$76*(1+Assumptions!$H$69)^(BH11-1))</f>
        <v>0</v>
      </c>
      <c r="BI76" s="141">
        <f ca="1">IF(BH87=0,0,1)*($P$76*(1+Assumptions!$H$69)^(BI11-1))</f>
        <v>0</v>
      </c>
      <c r="BJ76" s="141">
        <f ca="1">IF(BI87=0,0,1)*($P$76*(1+Assumptions!$H$69)^(BJ11-1))</f>
        <v>0</v>
      </c>
      <c r="BK76" s="141">
        <f ca="1">IF(BJ87=0,0,1)*($P$76*(1+Assumptions!$H$69)^(BK11-1))</f>
        <v>0</v>
      </c>
      <c r="BL76" s="141">
        <f ca="1">IF(BK87=0,0,1)*($P$76*(1+Assumptions!$H$69)^(BL11-1))</f>
        <v>0</v>
      </c>
      <c r="BM76" s="141">
        <f ca="1">IF(BL87=0,0,1)*($P$76*(1+Assumptions!$H$69)^(BM11-1))</f>
        <v>0</v>
      </c>
      <c r="BN76" s="141">
        <f ca="1">IF(BM87=0,0,1)*($P$76*(1+Assumptions!$H$69)^(BN11-1))</f>
        <v>0</v>
      </c>
      <c r="BO76" s="141">
        <f ca="1">IF(BN87=0,0,1)*($P$76*(1+Assumptions!$H$69)^(BO11-1))</f>
        <v>0</v>
      </c>
      <c r="BP76" s="141">
        <f ca="1">IF(BO87=0,0,1)*($P$76*(1+Assumptions!$H$69)^(BP11-1))</f>
        <v>0</v>
      </c>
      <c r="BQ76" s="141">
        <f ca="1">IF(BP87=0,0,1)*($P$76*(1+Assumptions!$H$69)^(BQ11-1))</f>
        <v>0</v>
      </c>
      <c r="BR76" s="141">
        <f ca="1">IF(BQ87=0,0,1)*($P$76*(1+Assumptions!$H$69)^(BR11-1))</f>
        <v>0</v>
      </c>
      <c r="BS76" s="141">
        <f ca="1">IF(BR87=0,0,1)*($P$76*(1+Assumptions!$H$69)^(BS11-1))</f>
        <v>0</v>
      </c>
      <c r="BT76" s="141">
        <f ca="1">IF(BS87=0,0,1)*($P$76*(1+Assumptions!$H$69)^(BT11-1))</f>
        <v>0</v>
      </c>
      <c r="BU76" s="141">
        <f ca="1">IF(BT87=0,0,1)*($P$76*(1+Assumptions!$H$69)^(BU11-1))</f>
        <v>0</v>
      </c>
      <c r="BV76" s="141">
        <f ca="1">IF(BU87=0,0,1)*($P$76*(1+Assumptions!$H$69)^(BV11-1))</f>
        <v>0</v>
      </c>
      <c r="BW76" s="141">
        <f ca="1">IF(BV87=0,0,1)*($P$76*(1+Assumptions!$H$69)^(BW11-1))</f>
        <v>0</v>
      </c>
      <c r="BX76" s="141">
        <f ca="1">IF(BW87=0,0,1)*($P$76*(1+Assumptions!$H$69)^(BX11-1))</f>
        <v>0</v>
      </c>
      <c r="BY76" s="141">
        <f ca="1">IF(BX87=0,0,1)*($P$76*(1+Assumptions!$H$69)^(BY11-1))</f>
        <v>0</v>
      </c>
      <c r="BZ76" s="141">
        <f ca="1">IF(BY87=0,0,1)*($P$76*(1+Assumptions!$H$69)^(BZ11-1))</f>
        <v>0</v>
      </c>
      <c r="CA76" s="141">
        <f ca="1">IF(BZ87=0,0,1)*($P$76*(1+Assumptions!$H$69)^(CA11-1))</f>
        <v>0</v>
      </c>
      <c r="CB76" s="141">
        <f ca="1">IF(CA87=0,0,1)*($P$76*(1+Assumptions!$H$69)^(CB11-1))</f>
        <v>0</v>
      </c>
      <c r="CC76" s="141">
        <f ca="1">IF(CB87=0,0,1)*($P$76*(1+Assumptions!$H$69)^(CC11-1))</f>
        <v>0</v>
      </c>
      <c r="CD76" s="141">
        <f ca="1">IF(CC87=0,0,1)*($P$76*(1+Assumptions!$H$69)^(CD11-1))</f>
        <v>0</v>
      </c>
      <c r="CE76" s="141">
        <f ca="1">IF(CD87=0,0,1)*($P$76*(1+Assumptions!$H$69)^(CE11-1))</f>
        <v>0</v>
      </c>
      <c r="CF76" s="141">
        <f ca="1">IF(CE87=0,0,1)*($P$76*(1+Assumptions!$H$69)^(CF11-1))</f>
        <v>0</v>
      </c>
      <c r="CG76" s="141">
        <f ca="1">IF(CF87=0,0,1)*($P$76*(1+Assumptions!$H$69)^(CG11-1))</f>
        <v>0</v>
      </c>
      <c r="CH76" s="141">
        <f ca="1">IF(CG87=0,0,1)*($P$76*(1+Assumptions!$H$69)^(CH11-1))</f>
        <v>0</v>
      </c>
      <c r="CI76" s="141">
        <f ca="1">IF(CH87=0,0,1)*($P$76*(1+Assumptions!$H$69)^(CI11-1))</f>
        <v>0</v>
      </c>
      <c r="CJ76" s="141">
        <f ca="1">IF(CI87=0,0,1)*($P$76*(1+Assumptions!$H$69)^(CJ11-1))</f>
        <v>0</v>
      </c>
      <c r="CK76" s="141">
        <f ca="1">IF(CJ87=0,0,1)*($P$76*(1+Assumptions!$H$69)^(CK11-1))</f>
        <v>0</v>
      </c>
      <c r="CL76" s="141">
        <f ca="1">IF(CK87=0,0,1)*($P$76*(1+Assumptions!$H$69)^(CL11-1))</f>
        <v>0</v>
      </c>
      <c r="CM76" s="141">
        <f ca="1">IF(CL87=0,0,1)*($P$76*(1+Assumptions!$H$69)^(CM11-1))</f>
        <v>0</v>
      </c>
      <c r="CN76" s="141">
        <f ca="1">IF(CM87=0,0,1)*($P$76*(1+Assumptions!$H$69)^(CN11-1))</f>
        <v>0</v>
      </c>
      <c r="CO76" s="141">
        <f ca="1">IF(CN87=0,0,1)*($P$76*(1+Assumptions!$H$69)^(CO11-1))</f>
        <v>0</v>
      </c>
      <c r="CP76" s="141">
        <f ca="1">IF(CO87=0,0,1)*($P$76*(1+Assumptions!$H$69)^(CP11-1))</f>
        <v>0</v>
      </c>
      <c r="CQ76" s="141">
        <f ca="1">IF(CP87=0,0,1)*($P$76*(1+Assumptions!$H$69)^(CQ11-1))</f>
        <v>0</v>
      </c>
      <c r="CR76" s="141">
        <f ca="1">IF(CQ87=0,0,1)*($P$76*(1+Assumptions!$H$69)^(CR11-1))</f>
        <v>0</v>
      </c>
      <c r="CS76" s="141">
        <f ca="1">IF(CR87=0,0,1)*($P$76*(1+Assumptions!$H$69)^(CS11-1))</f>
        <v>0</v>
      </c>
      <c r="CT76" s="141">
        <f ca="1">IF(CS87=0,0,1)*($P$76*(1+Assumptions!$H$69)^(CT11-1))</f>
        <v>0</v>
      </c>
      <c r="CU76" s="141">
        <f ca="1">IF(CT87=0,0,1)*($P$76*(1+Assumptions!$H$69)^(CU11-1))</f>
        <v>0</v>
      </c>
      <c r="CV76" s="141">
        <f ca="1">IF(CU87=0,0,1)*($P$76*(1+Assumptions!$H$69)^(CV11-1))</f>
        <v>0</v>
      </c>
      <c r="CW76" s="141">
        <f ca="1">IF(CV87=0,0,1)*($P$76*(1+Assumptions!$H$69)^(CW11-1))</f>
        <v>0</v>
      </c>
      <c r="CX76" s="141">
        <f ca="1">IF(CW87=0,0,1)*($P$76*(1+Assumptions!$H$69)^(CX11-1))</f>
        <v>0</v>
      </c>
      <c r="CY76" s="141">
        <f ca="1">IF(CX87=0,0,1)*($P$76*(1+Assumptions!$H$69)^(CY11-1))</f>
        <v>0</v>
      </c>
      <c r="CZ76" s="141">
        <f ca="1">IF(CY87=0,0,1)*($P$76*(1+Assumptions!$H$69)^(CZ11-1))</f>
        <v>0</v>
      </c>
      <c r="DA76" s="141">
        <f ca="1">IF(CZ87=0,0,1)*($P$76*(1+Assumptions!$H$69)^(DA11-1))</f>
        <v>0</v>
      </c>
      <c r="DB76" s="141">
        <f ca="1">IF(DA87=0,0,1)*($P$76*(1+Assumptions!$H$69)^(DB11-1))</f>
        <v>0</v>
      </c>
      <c r="DC76" s="141">
        <f ca="1">IF(DB87=0,0,1)*($P$76*(1+Assumptions!$H$69)^(DC11-1))</f>
        <v>0</v>
      </c>
      <c r="DD76" s="141">
        <f ca="1">IF(DC87=0,0,1)*($P$76*(1+Assumptions!$H$69)^(DD11-1))</f>
        <v>0</v>
      </c>
      <c r="DE76" s="141">
        <f ca="1">IF(DD87=0,0,1)*($P$76*(1+Assumptions!$H$69)^(DE11-1))</f>
        <v>0</v>
      </c>
      <c r="DF76" s="141">
        <f ca="1">IF(DE87=0,0,1)*($P$76*(1+Assumptions!$H$69)^(DF11-1))</f>
        <v>0</v>
      </c>
      <c r="DG76" s="141">
        <f ca="1">IF(DF87=0,0,1)*($P$76*(1+Assumptions!$H$69)^(DG11-1))</f>
        <v>0</v>
      </c>
      <c r="DH76" s="141">
        <f ca="1">IF(DG87=0,0,1)*($P$76*(1+Assumptions!$H$69)^(DH11-1))</f>
        <v>0</v>
      </c>
      <c r="DI76" s="141">
        <f ca="1">IF(DH87=0,0,1)*($P$76*(1+Assumptions!$H$69)^(DI11-1))</f>
        <v>0</v>
      </c>
      <c r="DJ76" s="141">
        <f>IF(DI87=0,0,1)*($P$76*(1+Assumptions!$H$69)^(DJ11-1))</f>
        <v>0</v>
      </c>
      <c r="DK76" s="141">
        <f>IF(DJ87=0,0,1)*($P$76*(1+Assumptions!$H$69)^(DK11-1))</f>
        <v>0</v>
      </c>
      <c r="DL76" s="141">
        <f>IF(DK87=0,0,1)*($P$76*(1+Assumptions!$H$69)^(DL11-1))</f>
        <v>0</v>
      </c>
      <c r="DM76" s="141">
        <f>IF(DL87=0,0,1)*($P$76*(1+Assumptions!$H$69)^(DM11-1))</f>
        <v>0</v>
      </c>
      <c r="DN76" s="141">
        <f>IF(DM87=0,0,1)*($P$76*(1+Assumptions!$H$69)^(DN11-1))</f>
        <v>0</v>
      </c>
      <c r="DO76" s="141">
        <f>IF(DN87=0,0,1)*($P$76*(1+Assumptions!$H$69)^(DO11-1))</f>
        <v>0</v>
      </c>
      <c r="DP76" s="141">
        <f>IF(DO87=0,0,1)*($P$76*(1+Assumptions!$H$69)^(DP11-1))</f>
        <v>0</v>
      </c>
      <c r="DQ76" s="141">
        <f>IF(DP87=0,0,1)*($P$76*(1+Assumptions!$H$69)^(DQ11-1))</f>
        <v>0</v>
      </c>
      <c r="DR76" s="141">
        <f>IF(DQ87=0,0,1)*($P$76*(1+Assumptions!$H$69)^(DR11-1))</f>
        <v>0</v>
      </c>
      <c r="DS76" s="141">
        <f>IF(DR87=0,0,1)*($P$76*(1+Assumptions!$H$69)^(DS11-1))</f>
        <v>0</v>
      </c>
      <c r="DT76" s="141">
        <f>IF(DS87=0,0,1)*($P$76*(1+Assumptions!$H$69)^(DT11-1))</f>
        <v>0</v>
      </c>
      <c r="DU76" s="141">
        <f>IF(DT87=0,0,1)*($P$76*(1+Assumptions!$H$69)^(DU11-1))</f>
        <v>0</v>
      </c>
      <c r="DV76" s="141">
        <f>IF(DU87=0,0,1)*($P$76*(1+Assumptions!$H$69)^(DV11-1))</f>
        <v>0</v>
      </c>
      <c r="DW76" s="141">
        <f>IF(DV87=0,0,1)*($P$76*(1+Assumptions!$H$69)^(DW11-1))</f>
        <v>0</v>
      </c>
      <c r="DX76" s="141">
        <f>IF(DW87=0,0,1)*($P$76*(1+Assumptions!$H$69)^(DX11-1))</f>
        <v>0</v>
      </c>
      <c r="DY76" s="141">
        <f>IF(DX87=0,0,1)*($P$76*(1+Assumptions!$H$69)^(DY11-1))</f>
        <v>0</v>
      </c>
      <c r="DZ76" s="141">
        <f>IF(DY87=0,0,1)*($P$76*(1+Assumptions!$H$69)^(DZ11-1))</f>
        <v>0</v>
      </c>
      <c r="EA76" s="141">
        <f>IF(DZ87=0,0,1)*($P$76*(1+Assumptions!$H$69)^(EA11-1))</f>
        <v>0</v>
      </c>
      <c r="EB76" s="141">
        <f>IF(EA87=0,0,1)*($P$76*(1+Assumptions!$H$69)^(EB11-1))</f>
        <v>0</v>
      </c>
      <c r="EC76" s="141">
        <f>IF(EB87=0,0,1)*($P$76*(1+Assumptions!$H$69)^(EC11-1))</f>
        <v>0</v>
      </c>
      <c r="ED76" s="141">
        <f>IF(EC87=0,0,1)*($P$76*(1+Assumptions!$H$69)^(ED11-1))</f>
        <v>0</v>
      </c>
      <c r="EE76" s="141">
        <f>IF(ED87=0,0,1)*($P$76*(1+Assumptions!$H$69)^(EE11-1))</f>
        <v>0</v>
      </c>
      <c r="EF76" s="141">
        <f>IF(EE87=0,0,1)*($P$76*(1+Assumptions!$H$69)^(EF11-1))</f>
        <v>0</v>
      </c>
      <c r="EG76" s="141">
        <f>IF(EF87=0,0,1)*($P$76*(1+Assumptions!$H$69)^(EG11-1))</f>
        <v>0</v>
      </c>
      <c r="EH76" s="141">
        <f>IF(EG87=0,0,1)*($P$76*(1+Assumptions!$H$69)^(EH11-1))</f>
        <v>0</v>
      </c>
      <c r="EI76" s="141">
        <f>IF(EH87=0,0,1)*($P$76*(1+Assumptions!$H$69)^(EI11-1))</f>
        <v>0</v>
      </c>
      <c r="EJ76" s="141">
        <f>IF(EI87=0,0,1)*($P$76*(1+Assumptions!$H$69)^(EJ11-1))</f>
        <v>0</v>
      </c>
      <c r="EK76" s="141">
        <f>IF(EJ87=0,0,1)*($P$76*(1+Assumptions!$H$69)^(EK11-1))</f>
        <v>0</v>
      </c>
      <c r="EL76" s="141">
        <f>IF(EK87=0,0,1)*($P$76*(1+Assumptions!$H$69)^(EL11-1))</f>
        <v>0</v>
      </c>
      <c r="EM76" s="141">
        <f>IF(EL87=0,0,1)*($P$76*(1+Assumptions!$H$69)^(EM11-1))</f>
        <v>0</v>
      </c>
      <c r="EN76" s="141">
        <f>IF(EM87=0,0,1)*($P$76*(1+Assumptions!$H$69)^(EN11-1))</f>
        <v>0</v>
      </c>
      <c r="EO76" s="141">
        <f>IF(EN87=0,0,1)*($P$76*(1+Assumptions!$H$69)^(EO11-1))</f>
        <v>0</v>
      </c>
      <c r="EP76" s="141">
        <f>IF(EO87=0,0,1)*($P$76*(1+Assumptions!$H$69)^(EP11-1))</f>
        <v>0</v>
      </c>
      <c r="EQ76" s="141">
        <f>IF(EP87=0,0,1)*($P$76*(1+Assumptions!$H$69)^(EQ11-1))</f>
        <v>0</v>
      </c>
      <c r="ES76" s="421"/>
      <c r="ET76" s="63"/>
      <c r="EU76" s="98"/>
    </row>
    <row r="77" spans="7:151" ht="6" customHeight="1">
      <c r="G77" s="145"/>
      <c r="H77" s="128"/>
      <c r="I77" s="132"/>
      <c r="J77" s="137"/>
      <c r="K77" s="136"/>
      <c r="L77" s="132"/>
      <c r="M77" s="132"/>
      <c r="N77" s="137"/>
      <c r="O77" s="789"/>
      <c r="P77" s="102"/>
      <c r="Q77" s="133"/>
      <c r="R77" s="133"/>
      <c r="S77" s="134"/>
      <c r="T77" s="133"/>
      <c r="U77" s="133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35"/>
      <c r="CR77" s="135"/>
      <c r="CS77" s="135"/>
      <c r="CT77" s="135"/>
      <c r="CU77" s="135"/>
      <c r="CV77" s="135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S77" s="421"/>
      <c r="ET77" s="63"/>
      <c r="EU77" s="98"/>
    </row>
    <row r="78" spans="7:151" ht="15.75">
      <c r="G78" s="485" t="s">
        <v>18</v>
      </c>
      <c r="H78" s="128"/>
      <c r="I78" s="504"/>
      <c r="J78" s="507"/>
      <c r="K78" s="130"/>
      <c r="L78" s="131"/>
      <c r="M78" s="131"/>
      <c r="N78" s="225">
        <f>SUM(N62:N77)</f>
        <v>-86594</v>
      </c>
      <c r="O78" s="780"/>
      <c r="P78" s="102">
        <f ca="1">SUM(P63:P76)</f>
        <v>-7216.1666666666661</v>
      </c>
      <c r="Q78" s="102">
        <f t="shared" ref="Q78:CB78" ca="1" si="210">SUM(Q63:Q76)</f>
        <v>-7216.1666666666661</v>
      </c>
      <c r="R78" s="102">
        <f t="shared" ca="1" si="210"/>
        <v>-7216.1666666666661</v>
      </c>
      <c r="S78" s="102">
        <f t="shared" ca="1" si="210"/>
        <v>-7216.1666666666661</v>
      </c>
      <c r="T78" s="102">
        <f t="shared" ca="1" si="210"/>
        <v>-7196.8538888888888</v>
      </c>
      <c r="U78" s="102">
        <f t="shared" ca="1" si="210"/>
        <v>-7119.6027777777781</v>
      </c>
      <c r="V78" s="102">
        <f t="shared" ca="1" si="210"/>
        <v>-7023.0388888888883</v>
      </c>
      <c r="W78" s="102">
        <f t="shared" ca="1" si="210"/>
        <v>-7023.0388888888883</v>
      </c>
      <c r="X78" s="102">
        <f t="shared" ca="1" si="210"/>
        <v>-7023.0388888888883</v>
      </c>
      <c r="Y78" s="102">
        <f t="shared" ca="1" si="210"/>
        <v>-7023.0388888888883</v>
      </c>
      <c r="Z78" s="102">
        <f t="shared" ca="1" si="210"/>
        <v>-7023.0388888888883</v>
      </c>
      <c r="AA78" s="102">
        <f t="shared" ca="1" si="210"/>
        <v>-7023.0388888888883</v>
      </c>
      <c r="AB78" s="102">
        <f t="shared" ca="1" si="210"/>
        <v>-7233.7300555555557</v>
      </c>
      <c r="AC78" s="102">
        <f t="shared" ca="1" si="210"/>
        <v>-7233.7300555555557</v>
      </c>
      <c r="AD78" s="102">
        <f t="shared" ca="1" si="210"/>
        <v>-7233.7300555555557</v>
      </c>
      <c r="AE78" s="102">
        <f t="shared" ca="1" si="210"/>
        <v>-7134.2692500000003</v>
      </c>
      <c r="AF78" s="102">
        <f t="shared" ca="1" si="210"/>
        <v>-7034.8084444444448</v>
      </c>
      <c r="AG78" s="102">
        <f t="shared" ca="1" si="210"/>
        <v>-7034.8084444444448</v>
      </c>
      <c r="AH78" s="102">
        <f t="shared" ca="1" si="210"/>
        <v>-6935.3476388888894</v>
      </c>
      <c r="AI78" s="102">
        <f t="shared" ca="1" si="210"/>
        <v>-6935.3476388888894</v>
      </c>
      <c r="AJ78" s="102">
        <f t="shared" ca="1" si="210"/>
        <v>-6935.3476388888894</v>
      </c>
      <c r="AK78" s="102">
        <f t="shared" ca="1" si="210"/>
        <v>-6935.3476388888894</v>
      </c>
      <c r="AL78" s="102">
        <f t="shared" ca="1" si="210"/>
        <v>-6935.3476388888894</v>
      </c>
      <c r="AM78" s="102">
        <f t="shared" ca="1" si="210"/>
        <v>-6935.3476388888894</v>
      </c>
      <c r="AN78" s="102">
        <f t="shared" ca="1" si="210"/>
        <v>-7143.4080680555562</v>
      </c>
      <c r="AO78" s="102">
        <f t="shared" ca="1" si="210"/>
        <v>-7143.4080680555562</v>
      </c>
      <c r="AP78" s="102">
        <f t="shared" ca="1" si="210"/>
        <v>-7143.4080680555562</v>
      </c>
      <c r="AQ78" s="102">
        <f t="shared" ca="1" si="210"/>
        <v>-7143.4080680555562</v>
      </c>
      <c r="AR78" s="102">
        <f t="shared" ca="1" si="210"/>
        <v>-7143.4080680555562</v>
      </c>
      <c r="AS78" s="102">
        <f t="shared" ca="1" si="210"/>
        <v>-7143.4080680555562</v>
      </c>
      <c r="AT78" s="102">
        <f t="shared" ca="1" si="210"/>
        <v>-7061.4523642777785</v>
      </c>
      <c r="AU78" s="102">
        <f t="shared" ca="1" si="210"/>
        <v>-7061.4523642777785</v>
      </c>
      <c r="AV78" s="102">
        <f t="shared" ca="1" si="210"/>
        <v>-7040.9634383333341</v>
      </c>
      <c r="AW78" s="102">
        <f t="shared" ca="1" si="210"/>
        <v>-7040.9634383333341</v>
      </c>
      <c r="AX78" s="102">
        <f t="shared" ca="1" si="210"/>
        <v>-7040.9634383333341</v>
      </c>
      <c r="AY78" s="102">
        <f t="shared" ca="1" si="210"/>
        <v>-7040.9634383333341</v>
      </c>
      <c r="AZ78" s="102">
        <f t="shared" ca="1" si="210"/>
        <v>-7252.1923414833345</v>
      </c>
      <c r="BA78" s="102">
        <f t="shared" ca="1" si="210"/>
        <v>-7252.1923414833345</v>
      </c>
      <c r="BB78" s="102">
        <f t="shared" ca="1" si="210"/>
        <v>-7252.1923414833345</v>
      </c>
      <c r="BC78" s="102">
        <f t="shared" ca="1" si="210"/>
        <v>-7252.1923414833345</v>
      </c>
      <c r="BD78" s="102">
        <f t="shared" ca="1" si="210"/>
        <v>-7252.1923414833345</v>
      </c>
      <c r="BE78" s="102">
        <f t="shared" ca="1" si="210"/>
        <v>-7252.1923414833345</v>
      </c>
      <c r="BF78" s="102">
        <f t="shared" ca="1" si="210"/>
        <v>-7252.1923414833345</v>
      </c>
      <c r="BG78" s="102">
        <f t="shared" ca="1" si="210"/>
        <v>-7252.1923414833345</v>
      </c>
      <c r="BH78" s="102">
        <f t="shared" ca="1" si="210"/>
        <v>-7252.1923414833345</v>
      </c>
      <c r="BI78" s="102">
        <f t="shared" ca="1" si="210"/>
        <v>-7252.1923414833345</v>
      </c>
      <c r="BJ78" s="102">
        <f t="shared" ca="1" si="210"/>
        <v>-7252.1923414833345</v>
      </c>
      <c r="BK78" s="102">
        <f t="shared" ca="1" si="210"/>
        <v>-7252.1923414833345</v>
      </c>
      <c r="BL78" s="102">
        <f t="shared" ca="1" si="210"/>
        <v>-7469.7581117278332</v>
      </c>
      <c r="BM78" s="102">
        <f t="shared" ca="1" si="210"/>
        <v>-7469.7581117278332</v>
      </c>
      <c r="BN78" s="102">
        <f t="shared" ca="1" si="210"/>
        <v>-7469.7581117278332</v>
      </c>
      <c r="BO78" s="102">
        <f t="shared" ca="1" si="210"/>
        <v>-7469.7581117278332</v>
      </c>
      <c r="BP78" s="102">
        <f t="shared" ca="1" si="210"/>
        <v>-7469.7581117278332</v>
      </c>
      <c r="BQ78" s="102">
        <f t="shared" ca="1" si="210"/>
        <v>-7469.7581117278332</v>
      </c>
      <c r="BR78" s="102">
        <f t="shared" ca="1" si="210"/>
        <v>-7469.7581117278332</v>
      </c>
      <c r="BS78" s="102">
        <f t="shared" ca="1" si="210"/>
        <v>-7469.7581117278332</v>
      </c>
      <c r="BT78" s="102">
        <f t="shared" ca="1" si="210"/>
        <v>-7469.7581117278332</v>
      </c>
      <c r="BU78" s="102">
        <f t="shared" ca="1" si="210"/>
        <v>-7469.7581117278332</v>
      </c>
      <c r="BV78" s="102">
        <f t="shared" ca="1" si="210"/>
        <v>-7469.7581117278332</v>
      </c>
      <c r="BW78" s="102">
        <f t="shared" ca="1" si="210"/>
        <v>-7469.7581117278332</v>
      </c>
      <c r="BX78" s="102">
        <f t="shared" ca="1" si="210"/>
        <v>-7693.8508550796669</v>
      </c>
      <c r="BY78" s="102">
        <f t="shared" ca="1" si="210"/>
        <v>-7693.8508550796669</v>
      </c>
      <c r="BZ78" s="102">
        <f t="shared" ca="1" si="210"/>
        <v>-7693.8508550796669</v>
      </c>
      <c r="CA78" s="102">
        <f t="shared" ca="1" si="210"/>
        <v>-7693.8508550796669</v>
      </c>
      <c r="CB78" s="102">
        <f t="shared" ca="1" si="210"/>
        <v>-7693.8508550796669</v>
      </c>
      <c r="CC78" s="102">
        <f t="shared" ref="CC78:EN78" ca="1" si="211">SUM(CC63:CC76)</f>
        <v>-7693.8508550796669</v>
      </c>
      <c r="CD78" s="102">
        <f t="shared" ca="1" si="211"/>
        <v>-7693.8508550796669</v>
      </c>
      <c r="CE78" s="102">
        <f t="shared" ca="1" si="211"/>
        <v>-7693.8508550796669</v>
      </c>
      <c r="CF78" s="102">
        <f t="shared" ca="1" si="211"/>
        <v>-7693.8508550796669</v>
      </c>
      <c r="CG78" s="102">
        <f t="shared" ca="1" si="211"/>
        <v>-7693.8508550796669</v>
      </c>
      <c r="CH78" s="102">
        <f t="shared" ca="1" si="211"/>
        <v>-7693.8508550796669</v>
      </c>
      <c r="CI78" s="102">
        <f t="shared" ca="1" si="211"/>
        <v>-7693.8508550796669</v>
      </c>
      <c r="CJ78" s="102">
        <f t="shared" ca="1" si="211"/>
        <v>-7924.6663807320583</v>
      </c>
      <c r="CK78" s="102">
        <f t="shared" ca="1" si="211"/>
        <v>-7924.6663807320583</v>
      </c>
      <c r="CL78" s="102">
        <f t="shared" ca="1" si="211"/>
        <v>-7924.6663807320583</v>
      </c>
      <c r="CM78" s="102">
        <f t="shared" ca="1" si="211"/>
        <v>-7924.6663807320583</v>
      </c>
      <c r="CN78" s="102">
        <f t="shared" ca="1" si="211"/>
        <v>-7924.6663807320583</v>
      </c>
      <c r="CO78" s="102">
        <f t="shared" ca="1" si="211"/>
        <v>-7924.6663807320583</v>
      </c>
      <c r="CP78" s="102">
        <f t="shared" ca="1" si="211"/>
        <v>-7924.6663807320583</v>
      </c>
      <c r="CQ78" s="102">
        <f t="shared" ca="1" si="211"/>
        <v>-7924.6663807320583</v>
      </c>
      <c r="CR78" s="102">
        <f t="shared" ca="1" si="211"/>
        <v>-7924.6663807320583</v>
      </c>
      <c r="CS78" s="102">
        <f t="shared" ca="1" si="211"/>
        <v>-7924.6663807320583</v>
      </c>
      <c r="CT78" s="102">
        <f t="shared" ca="1" si="211"/>
        <v>-7924.6663807320583</v>
      </c>
      <c r="CU78" s="102">
        <f t="shared" ca="1" si="211"/>
        <v>-7924.6663807320583</v>
      </c>
      <c r="CV78" s="102">
        <f t="shared" ca="1" si="211"/>
        <v>-8162.4063721540197</v>
      </c>
      <c r="CW78" s="102">
        <f t="shared" ca="1" si="211"/>
        <v>-8162.4063721540197</v>
      </c>
      <c r="CX78" s="102">
        <f t="shared" ca="1" si="211"/>
        <v>-8162.4063721540197</v>
      </c>
      <c r="CY78" s="102">
        <f t="shared" ca="1" si="211"/>
        <v>-8162.4063721540197</v>
      </c>
      <c r="CZ78" s="102">
        <f t="shared" ca="1" si="211"/>
        <v>-8162.4063721540197</v>
      </c>
      <c r="DA78" s="102">
        <f t="shared" ca="1" si="211"/>
        <v>-8162.4063721540197</v>
      </c>
      <c r="DB78" s="102">
        <f t="shared" ca="1" si="211"/>
        <v>-8162.4063721540197</v>
      </c>
      <c r="DC78" s="102">
        <f t="shared" ca="1" si="211"/>
        <v>-8162.4063721540197</v>
      </c>
      <c r="DD78" s="102">
        <f t="shared" ca="1" si="211"/>
        <v>-8162.4063721540197</v>
      </c>
      <c r="DE78" s="102">
        <f t="shared" ca="1" si="211"/>
        <v>-8162.4063721540197</v>
      </c>
      <c r="DF78" s="102">
        <f t="shared" ca="1" si="211"/>
        <v>-8162.4063721540197</v>
      </c>
      <c r="DG78" s="102">
        <f t="shared" ca="1" si="211"/>
        <v>-8162.4063721540197</v>
      </c>
      <c r="DH78" s="102">
        <f t="shared" ca="1" si="211"/>
        <v>-8407.2785633186395</v>
      </c>
      <c r="DI78" s="102">
        <f t="shared" ca="1" si="211"/>
        <v>-8407.2785633186395</v>
      </c>
      <c r="DJ78" s="102">
        <f t="shared" ca="1" si="211"/>
        <v>0</v>
      </c>
      <c r="DK78" s="102">
        <f t="shared" ca="1" si="211"/>
        <v>0</v>
      </c>
      <c r="DL78" s="102">
        <f t="shared" ca="1" si="211"/>
        <v>0</v>
      </c>
      <c r="DM78" s="102">
        <f t="shared" ca="1" si="211"/>
        <v>0</v>
      </c>
      <c r="DN78" s="102">
        <f t="shared" ca="1" si="211"/>
        <v>0</v>
      </c>
      <c r="DO78" s="102">
        <f t="shared" ca="1" si="211"/>
        <v>0</v>
      </c>
      <c r="DP78" s="102">
        <f t="shared" ca="1" si="211"/>
        <v>0</v>
      </c>
      <c r="DQ78" s="102">
        <f t="shared" ca="1" si="211"/>
        <v>0</v>
      </c>
      <c r="DR78" s="102">
        <f t="shared" ca="1" si="211"/>
        <v>0</v>
      </c>
      <c r="DS78" s="102">
        <f t="shared" ca="1" si="211"/>
        <v>0</v>
      </c>
      <c r="DT78" s="102">
        <f t="shared" ca="1" si="211"/>
        <v>0</v>
      </c>
      <c r="DU78" s="102">
        <f t="shared" ca="1" si="211"/>
        <v>0</v>
      </c>
      <c r="DV78" s="102">
        <f t="shared" ca="1" si="211"/>
        <v>0</v>
      </c>
      <c r="DW78" s="102">
        <f t="shared" ca="1" si="211"/>
        <v>0</v>
      </c>
      <c r="DX78" s="102">
        <f t="shared" ca="1" si="211"/>
        <v>0</v>
      </c>
      <c r="DY78" s="102">
        <f t="shared" ca="1" si="211"/>
        <v>0</v>
      </c>
      <c r="DZ78" s="102">
        <f t="shared" ca="1" si="211"/>
        <v>0</v>
      </c>
      <c r="EA78" s="102">
        <f t="shared" ca="1" si="211"/>
        <v>0</v>
      </c>
      <c r="EB78" s="102">
        <f t="shared" ca="1" si="211"/>
        <v>0</v>
      </c>
      <c r="EC78" s="102">
        <f t="shared" ca="1" si="211"/>
        <v>0</v>
      </c>
      <c r="ED78" s="102">
        <f t="shared" ca="1" si="211"/>
        <v>0</v>
      </c>
      <c r="EE78" s="102">
        <f t="shared" ca="1" si="211"/>
        <v>0</v>
      </c>
      <c r="EF78" s="102">
        <f t="shared" ca="1" si="211"/>
        <v>0</v>
      </c>
      <c r="EG78" s="102">
        <f t="shared" ca="1" si="211"/>
        <v>0</v>
      </c>
      <c r="EH78" s="102">
        <f t="shared" ca="1" si="211"/>
        <v>0</v>
      </c>
      <c r="EI78" s="102">
        <f t="shared" ca="1" si="211"/>
        <v>0</v>
      </c>
      <c r="EJ78" s="102">
        <f t="shared" ca="1" si="211"/>
        <v>0</v>
      </c>
      <c r="EK78" s="102">
        <f t="shared" ca="1" si="211"/>
        <v>0</v>
      </c>
      <c r="EL78" s="102">
        <f t="shared" ca="1" si="211"/>
        <v>0</v>
      </c>
      <c r="EM78" s="102">
        <f t="shared" ca="1" si="211"/>
        <v>0</v>
      </c>
      <c r="EN78" s="102">
        <f t="shared" ca="1" si="211"/>
        <v>0</v>
      </c>
      <c r="EO78" s="102">
        <f ca="1">SUM(EO63:EO76)</f>
        <v>0</v>
      </c>
      <c r="EP78" s="102">
        <f ca="1">SUM(EP63:EP76)</f>
        <v>0</v>
      </c>
      <c r="EQ78" s="102">
        <f ca="1">SUM(EQ63:EQ76)</f>
        <v>0</v>
      </c>
      <c r="ES78" s="421"/>
      <c r="ET78" s="63"/>
      <c r="EU78" s="98"/>
    </row>
    <row r="79" spans="7:151" ht="9" customHeight="1">
      <c r="G79" s="145"/>
      <c r="H79" s="128"/>
      <c r="I79" s="132"/>
      <c r="J79" s="137"/>
      <c r="K79" s="136"/>
      <c r="L79" s="132"/>
      <c r="M79" s="132"/>
      <c r="N79" s="137"/>
      <c r="O79" s="789"/>
      <c r="P79" s="102"/>
      <c r="Q79" s="104"/>
      <c r="R79" s="104"/>
      <c r="S79" s="105"/>
      <c r="T79" s="104"/>
      <c r="U79" s="104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  <c r="DK79" s="131"/>
      <c r="DL79" s="131"/>
      <c r="DM79" s="131"/>
      <c r="DN79" s="131"/>
      <c r="DO79" s="131"/>
      <c r="DP79" s="131"/>
      <c r="DQ79" s="131"/>
      <c r="DR79" s="131"/>
      <c r="DS79" s="131"/>
      <c r="DT79" s="131"/>
      <c r="DU79" s="131"/>
      <c r="DV79" s="131"/>
      <c r="DW79" s="131"/>
      <c r="DX79" s="131"/>
      <c r="DY79" s="131"/>
      <c r="DZ79" s="131"/>
      <c r="EA79" s="131"/>
      <c r="EB79" s="131"/>
      <c r="EC79" s="131"/>
      <c r="ED79" s="131"/>
      <c r="EE79" s="131"/>
      <c r="EF79" s="131"/>
      <c r="EG79" s="131"/>
      <c r="EH79" s="131"/>
      <c r="EI79" s="131"/>
      <c r="EJ79" s="131"/>
      <c r="EK79" s="131"/>
      <c r="EL79" s="131"/>
      <c r="EM79" s="131"/>
      <c r="EN79" s="131"/>
      <c r="EO79" s="131"/>
      <c r="EP79" s="131"/>
      <c r="EQ79" s="131"/>
      <c r="ES79" s="421"/>
      <c r="ET79" s="63"/>
      <c r="EU79" s="98"/>
    </row>
    <row r="80" spans="7:151" ht="15.75">
      <c r="G80" s="485" t="s">
        <v>19</v>
      </c>
      <c r="H80" s="145"/>
      <c r="I80" s="97"/>
      <c r="J80" s="221"/>
      <c r="K80" s="118"/>
      <c r="L80" s="104"/>
      <c r="M80" s="104"/>
      <c r="N80" s="221">
        <f>N60+N78</f>
        <v>189070</v>
      </c>
      <c r="O80" s="790"/>
      <c r="P80" s="138">
        <f ca="1">P60+P78</f>
        <v>16279.960833333333</v>
      </c>
      <c r="Q80" s="138">
        <f t="shared" ref="Q80:W80" ca="1" si="212">+Q60+Q78</f>
        <v>15504.760833333336</v>
      </c>
      <c r="R80" s="138">
        <f t="shared" ca="1" si="212"/>
        <v>12403.960833333336</v>
      </c>
      <c r="S80" s="138">
        <f t="shared" ca="1" si="212"/>
        <v>8527.9608333333381</v>
      </c>
      <c r="T80" s="138">
        <f t="shared" ca="1" si="212"/>
        <v>9418.4736111111142</v>
      </c>
      <c r="U80" s="138">
        <f t="shared" ca="1" si="212"/>
        <v>12980.524722222224</v>
      </c>
      <c r="V80" s="138">
        <f t="shared" ca="1" si="212"/>
        <v>17433.088611111114</v>
      </c>
      <c r="W80" s="138">
        <f t="shared" ca="1" si="212"/>
        <v>17433.088611111114</v>
      </c>
      <c r="X80" s="138">
        <f ca="1">+X60+X78</f>
        <v>17433.088611111114</v>
      </c>
      <c r="Y80" s="138">
        <f ca="1">+Y60+Y78</f>
        <v>17433.088611111114</v>
      </c>
      <c r="Z80" s="138">
        <f t="shared" ref="Z80:CK80" ca="1" si="213">+Z60+Z78</f>
        <v>17433.088611111114</v>
      </c>
      <c r="AA80" s="138">
        <f t="shared" ca="1" si="213"/>
        <v>17433.088611111114</v>
      </c>
      <c r="AB80" s="138">
        <f t="shared" ca="1" si="213"/>
        <v>14356.385575689445</v>
      </c>
      <c r="AC80" s="138">
        <f t="shared" ca="1" si="213"/>
        <v>10298.213575689446</v>
      </c>
      <c r="AD80" s="138">
        <f t="shared" ca="1" si="213"/>
        <v>10298.213575689446</v>
      </c>
      <c r="AE80" s="138">
        <f t="shared" ca="1" si="213"/>
        <v>10917.321421245</v>
      </c>
      <c r="AF80" s="138">
        <f t="shared" ca="1" si="213"/>
        <v>15594.601266800555</v>
      </c>
      <c r="AG80" s="138">
        <f t="shared" ca="1" si="213"/>
        <v>15594.601266800555</v>
      </c>
      <c r="AH80" s="138">
        <f t="shared" ca="1" si="213"/>
        <v>20271.88111235611</v>
      </c>
      <c r="AI80" s="138">
        <f t="shared" ca="1" si="213"/>
        <v>20271.88111235611</v>
      </c>
      <c r="AJ80" s="138">
        <f t="shared" ca="1" si="213"/>
        <v>20271.88111235611</v>
      </c>
      <c r="AK80" s="138">
        <f t="shared" ca="1" si="213"/>
        <v>20271.88111235611</v>
      </c>
      <c r="AL80" s="138">
        <f t="shared" ca="1" si="213"/>
        <v>20271.88111235611</v>
      </c>
      <c r="AM80" s="138">
        <f t="shared" ca="1" si="213"/>
        <v>20271.88111235611</v>
      </c>
      <c r="AN80" s="138">
        <f t="shared" ca="1" si="213"/>
        <v>21342.560434497962</v>
      </c>
      <c r="AO80" s="138">
        <f t="shared" ca="1" si="213"/>
        <v>21342.560434497962</v>
      </c>
      <c r="AP80" s="138">
        <f t="shared" ca="1" si="213"/>
        <v>21342.560434497962</v>
      </c>
      <c r="AQ80" s="138">
        <f t="shared" ca="1" si="213"/>
        <v>17943.435567297962</v>
      </c>
      <c r="AR80" s="138">
        <f t="shared" ca="1" si="213"/>
        <v>17943.435567297962</v>
      </c>
      <c r="AS80" s="138">
        <f t="shared" ca="1" si="213"/>
        <v>17093.654350497964</v>
      </c>
      <c r="AT80" s="138">
        <f t="shared" ca="1" si="213"/>
        <v>21009.991282179737</v>
      </c>
      <c r="AU80" s="138">
        <f t="shared" ca="1" si="213"/>
        <v>21009.991282179737</v>
      </c>
      <c r="AV80" s="138">
        <f t="shared" ca="1" si="213"/>
        <v>21989.075515100187</v>
      </c>
      <c r="AW80" s="138">
        <f t="shared" ca="1" si="213"/>
        <v>21989.075515100187</v>
      </c>
      <c r="AX80" s="138">
        <f t="shared" ca="1" si="213"/>
        <v>21989.075515100187</v>
      </c>
      <c r="AY80" s="138">
        <f t="shared" ca="1" si="213"/>
        <v>21989.075515100187</v>
      </c>
      <c r="AZ80" s="138">
        <f t="shared" ca="1" si="213"/>
        <v>22735.837897413483</v>
      </c>
      <c r="BA80" s="138">
        <f t="shared" ca="1" si="213"/>
        <v>22735.837897413483</v>
      </c>
      <c r="BB80" s="138">
        <f t="shared" ca="1" si="213"/>
        <v>22735.837897413483</v>
      </c>
      <c r="BC80" s="138">
        <f t="shared" ca="1" si="213"/>
        <v>22735.837897413483</v>
      </c>
      <c r="BD80" s="138">
        <f t="shared" ca="1" si="213"/>
        <v>22735.837897413483</v>
      </c>
      <c r="BE80" s="138">
        <f t="shared" ca="1" si="213"/>
        <v>22735.837897413483</v>
      </c>
      <c r="BF80" s="138">
        <f t="shared" ca="1" si="213"/>
        <v>22735.837897413483</v>
      </c>
      <c r="BG80" s="138">
        <f t="shared" ca="1" si="213"/>
        <v>22735.837897413483</v>
      </c>
      <c r="BH80" s="138">
        <f t="shared" ca="1" si="213"/>
        <v>22735.837897413483</v>
      </c>
      <c r="BI80" s="138">
        <f t="shared" ca="1" si="213"/>
        <v>22735.837897413483</v>
      </c>
      <c r="BJ80" s="138">
        <f t="shared" ca="1" si="213"/>
        <v>22735.837897413483</v>
      </c>
      <c r="BK80" s="138">
        <f t="shared" ca="1" si="213"/>
        <v>22735.837897413483</v>
      </c>
      <c r="BL80" s="138">
        <f t="shared" ca="1" si="213"/>
        <v>23327.948943619194</v>
      </c>
      <c r="BM80" s="138">
        <f t="shared" ca="1" si="213"/>
        <v>23327.948943619194</v>
      </c>
      <c r="BN80" s="138">
        <f t="shared" ca="1" si="213"/>
        <v>23327.948943619194</v>
      </c>
      <c r="BO80" s="138">
        <f t="shared" ca="1" si="213"/>
        <v>23327.948943619194</v>
      </c>
      <c r="BP80" s="138">
        <f t="shared" ca="1" si="213"/>
        <v>23327.948943619194</v>
      </c>
      <c r="BQ80" s="138">
        <f t="shared" ca="1" si="213"/>
        <v>23327.948943619194</v>
      </c>
      <c r="BR80" s="138">
        <f t="shared" ca="1" si="213"/>
        <v>23327.948943619194</v>
      </c>
      <c r="BS80" s="138">
        <f t="shared" ca="1" si="213"/>
        <v>23327.948943619194</v>
      </c>
      <c r="BT80" s="138">
        <f t="shared" ca="1" si="213"/>
        <v>23327.948943619194</v>
      </c>
      <c r="BU80" s="138">
        <f t="shared" ca="1" si="213"/>
        <v>23327.948943619194</v>
      </c>
      <c r="BV80" s="138">
        <f t="shared" ca="1" si="213"/>
        <v>23327.948943619194</v>
      </c>
      <c r="BW80" s="138">
        <f t="shared" ca="1" si="213"/>
        <v>23327.948943619194</v>
      </c>
      <c r="BX80" s="138">
        <f t="shared" ca="1" si="213"/>
        <v>24027.787411927769</v>
      </c>
      <c r="BY80" s="138">
        <f t="shared" ca="1" si="213"/>
        <v>24027.787411927769</v>
      </c>
      <c r="BZ80" s="138">
        <f t="shared" ca="1" si="213"/>
        <v>24027.787411927769</v>
      </c>
      <c r="CA80" s="138">
        <f t="shared" ca="1" si="213"/>
        <v>24027.787411927769</v>
      </c>
      <c r="CB80" s="138">
        <f t="shared" ca="1" si="213"/>
        <v>24027.787411927769</v>
      </c>
      <c r="CC80" s="138">
        <f t="shared" ca="1" si="213"/>
        <v>24027.787411927769</v>
      </c>
      <c r="CD80" s="138">
        <f t="shared" ca="1" si="213"/>
        <v>24027.787411927769</v>
      </c>
      <c r="CE80" s="138">
        <f t="shared" ca="1" si="213"/>
        <v>24027.787411927769</v>
      </c>
      <c r="CF80" s="138">
        <f t="shared" ca="1" si="213"/>
        <v>24027.787411927769</v>
      </c>
      <c r="CG80" s="138">
        <f t="shared" ca="1" si="213"/>
        <v>24027.787411927769</v>
      </c>
      <c r="CH80" s="138">
        <f t="shared" ca="1" si="213"/>
        <v>24027.787411927769</v>
      </c>
      <c r="CI80" s="138">
        <f t="shared" ca="1" si="213"/>
        <v>24027.787411927769</v>
      </c>
      <c r="CJ80" s="138">
        <f t="shared" ca="1" si="213"/>
        <v>24748.621034285607</v>
      </c>
      <c r="CK80" s="138">
        <f t="shared" ca="1" si="213"/>
        <v>24748.621034285607</v>
      </c>
      <c r="CL80" s="138">
        <f t="shared" ref="CL80:EQ80" ca="1" si="214">+CL60+CL78</f>
        <v>24748.621034285607</v>
      </c>
      <c r="CM80" s="138">
        <f t="shared" ca="1" si="214"/>
        <v>24748.621034285607</v>
      </c>
      <c r="CN80" s="138">
        <f t="shared" ca="1" si="214"/>
        <v>24748.621034285607</v>
      </c>
      <c r="CO80" s="138">
        <f t="shared" ca="1" si="214"/>
        <v>24748.621034285607</v>
      </c>
      <c r="CP80" s="138">
        <f t="shared" ca="1" si="214"/>
        <v>24748.621034285607</v>
      </c>
      <c r="CQ80" s="138">
        <f t="shared" ca="1" si="214"/>
        <v>24748.621034285607</v>
      </c>
      <c r="CR80" s="138">
        <f t="shared" ca="1" si="214"/>
        <v>24748.621034285607</v>
      </c>
      <c r="CS80" s="138">
        <f t="shared" ca="1" si="214"/>
        <v>24748.621034285607</v>
      </c>
      <c r="CT80" s="138">
        <f t="shared" ca="1" si="214"/>
        <v>24748.621034285607</v>
      </c>
      <c r="CU80" s="138">
        <f t="shared" ca="1" si="214"/>
        <v>24748.621034285607</v>
      </c>
      <c r="CV80" s="138">
        <f t="shared" ca="1" si="214"/>
        <v>25491.079665314177</v>
      </c>
      <c r="CW80" s="138">
        <f t="shared" ca="1" si="214"/>
        <v>25491.079665314177</v>
      </c>
      <c r="CX80" s="138">
        <f t="shared" ca="1" si="214"/>
        <v>25491.079665314177</v>
      </c>
      <c r="CY80" s="138">
        <f t="shared" ca="1" si="214"/>
        <v>25491.079665314177</v>
      </c>
      <c r="CZ80" s="138">
        <f t="shared" ca="1" si="214"/>
        <v>25491.079665314177</v>
      </c>
      <c r="DA80" s="138">
        <f t="shared" ca="1" si="214"/>
        <v>25491.079665314177</v>
      </c>
      <c r="DB80" s="138">
        <f t="shared" ca="1" si="214"/>
        <v>25491.079665314177</v>
      </c>
      <c r="DC80" s="138">
        <f t="shared" ca="1" si="214"/>
        <v>25491.079665314177</v>
      </c>
      <c r="DD80" s="138">
        <f t="shared" ca="1" si="214"/>
        <v>25491.079665314177</v>
      </c>
      <c r="DE80" s="138">
        <f t="shared" ca="1" si="214"/>
        <v>25491.079665314177</v>
      </c>
      <c r="DF80" s="138">
        <f t="shared" ca="1" si="214"/>
        <v>25491.079665314177</v>
      </c>
      <c r="DG80" s="138">
        <f t="shared" ca="1" si="214"/>
        <v>25491.079665314177</v>
      </c>
      <c r="DH80" s="138">
        <f t="shared" ca="1" si="214"/>
        <v>26255.812055273596</v>
      </c>
      <c r="DI80" s="138">
        <f t="shared" ca="1" si="214"/>
        <v>27686.566077235406</v>
      </c>
      <c r="DJ80" s="138">
        <f t="shared" ca="1" si="214"/>
        <v>4060.2691258878804</v>
      </c>
      <c r="DK80" s="138">
        <f t="shared" ca="1" si="214"/>
        <v>0</v>
      </c>
      <c r="DL80" s="138">
        <f t="shared" ca="1" si="214"/>
        <v>0</v>
      </c>
      <c r="DM80" s="138">
        <f t="shared" ca="1" si="214"/>
        <v>0</v>
      </c>
      <c r="DN80" s="138">
        <f t="shared" ca="1" si="214"/>
        <v>0</v>
      </c>
      <c r="DO80" s="138">
        <f t="shared" ca="1" si="214"/>
        <v>0</v>
      </c>
      <c r="DP80" s="138">
        <f t="shared" ca="1" si="214"/>
        <v>0</v>
      </c>
      <c r="DQ80" s="138">
        <f t="shared" ca="1" si="214"/>
        <v>0</v>
      </c>
      <c r="DR80" s="138">
        <f t="shared" ca="1" si="214"/>
        <v>0</v>
      </c>
      <c r="DS80" s="138">
        <f t="shared" ca="1" si="214"/>
        <v>0</v>
      </c>
      <c r="DT80" s="138">
        <f t="shared" ca="1" si="214"/>
        <v>0</v>
      </c>
      <c r="DU80" s="138">
        <f t="shared" ca="1" si="214"/>
        <v>0</v>
      </c>
      <c r="DV80" s="138">
        <f t="shared" ca="1" si="214"/>
        <v>0</v>
      </c>
      <c r="DW80" s="138">
        <f t="shared" ca="1" si="214"/>
        <v>0</v>
      </c>
      <c r="DX80" s="138">
        <f t="shared" ca="1" si="214"/>
        <v>0</v>
      </c>
      <c r="DY80" s="138">
        <f t="shared" ca="1" si="214"/>
        <v>0</v>
      </c>
      <c r="DZ80" s="138">
        <f t="shared" ca="1" si="214"/>
        <v>0</v>
      </c>
      <c r="EA80" s="138">
        <f t="shared" ca="1" si="214"/>
        <v>0</v>
      </c>
      <c r="EB80" s="138">
        <f t="shared" ca="1" si="214"/>
        <v>0</v>
      </c>
      <c r="EC80" s="138">
        <f t="shared" ca="1" si="214"/>
        <v>0</v>
      </c>
      <c r="ED80" s="138">
        <f t="shared" ca="1" si="214"/>
        <v>0</v>
      </c>
      <c r="EE80" s="138">
        <f t="shared" ca="1" si="214"/>
        <v>0</v>
      </c>
      <c r="EF80" s="138">
        <f t="shared" ca="1" si="214"/>
        <v>0</v>
      </c>
      <c r="EG80" s="138">
        <f t="shared" ca="1" si="214"/>
        <v>0</v>
      </c>
      <c r="EH80" s="138">
        <f t="shared" ca="1" si="214"/>
        <v>0</v>
      </c>
      <c r="EI80" s="138">
        <f t="shared" ca="1" si="214"/>
        <v>0</v>
      </c>
      <c r="EJ80" s="138">
        <f t="shared" ca="1" si="214"/>
        <v>0</v>
      </c>
      <c r="EK80" s="138">
        <f t="shared" ca="1" si="214"/>
        <v>0</v>
      </c>
      <c r="EL80" s="138">
        <f t="shared" ca="1" si="214"/>
        <v>0</v>
      </c>
      <c r="EM80" s="138">
        <f t="shared" ca="1" si="214"/>
        <v>0</v>
      </c>
      <c r="EN80" s="138">
        <f t="shared" ca="1" si="214"/>
        <v>0</v>
      </c>
      <c r="EO80" s="138">
        <f t="shared" ca="1" si="214"/>
        <v>0</v>
      </c>
      <c r="EP80" s="138">
        <f t="shared" ca="1" si="214"/>
        <v>0</v>
      </c>
      <c r="EQ80" s="138">
        <f t="shared" ca="1" si="214"/>
        <v>0</v>
      </c>
      <c r="ES80" s="421"/>
      <c r="ET80" s="63"/>
      <c r="EU80" s="98"/>
    </row>
    <row r="81" spans="2:151" ht="9" customHeight="1">
      <c r="G81" s="485"/>
      <c r="H81" s="128"/>
      <c r="I81" s="504"/>
      <c r="J81" s="507"/>
      <c r="K81" s="130"/>
      <c r="L81" s="131"/>
      <c r="M81" s="131"/>
      <c r="N81" s="225"/>
      <c r="O81" s="787"/>
      <c r="P81" s="102"/>
      <c r="Q81" s="102"/>
      <c r="R81" s="102"/>
      <c r="S81" s="102"/>
      <c r="T81" s="102"/>
      <c r="U81" s="102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129"/>
      <c r="CZ81" s="129"/>
      <c r="DA81" s="129"/>
      <c r="DB81" s="129"/>
      <c r="DC81" s="129"/>
      <c r="DD81" s="129"/>
      <c r="DE81" s="129"/>
      <c r="DF81" s="129"/>
      <c r="DG81" s="129"/>
      <c r="DH81" s="129"/>
      <c r="DI81" s="129"/>
      <c r="DJ81" s="129"/>
      <c r="DK81" s="129"/>
      <c r="DL81" s="129"/>
      <c r="DM81" s="129"/>
      <c r="DN81" s="129"/>
      <c r="DO81" s="129"/>
      <c r="DP81" s="129"/>
      <c r="DQ81" s="129"/>
      <c r="DR81" s="129"/>
      <c r="DS81" s="129"/>
      <c r="DT81" s="129"/>
      <c r="DU81" s="129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  <c r="EM81" s="129"/>
      <c r="EN81" s="129"/>
      <c r="EO81" s="129"/>
      <c r="EP81" s="129"/>
      <c r="EQ81" s="129"/>
      <c r="ES81" s="421"/>
      <c r="ET81" s="98"/>
      <c r="EU81" s="98"/>
    </row>
    <row r="82" spans="2:151" s="65" customFormat="1" ht="15.75">
      <c r="B82" s="64"/>
      <c r="C82" s="64"/>
      <c r="D82" s="64"/>
      <c r="E82" s="64"/>
      <c r="F82" s="64"/>
      <c r="G82" s="145"/>
      <c r="H82" s="284" t="s">
        <v>326</v>
      </c>
      <c r="I82" s="472"/>
      <c r="J82" s="503"/>
      <c r="K82" s="285"/>
      <c r="L82" s="286"/>
      <c r="M82" s="286"/>
      <c r="N82" s="221">
        <f>'Annual Cash Flow'!C57</f>
        <v>0</v>
      </c>
      <c r="O82" s="791"/>
      <c r="P82" s="447">
        <v>0</v>
      </c>
      <c r="Q82" s="447">
        <v>0</v>
      </c>
      <c r="R82" s="447">
        <v>0</v>
      </c>
      <c r="S82" s="447">
        <v>0</v>
      </c>
      <c r="T82" s="447">
        <v>0</v>
      </c>
      <c r="U82" s="447">
        <v>0</v>
      </c>
      <c r="V82" s="447">
        <v>0</v>
      </c>
      <c r="W82" s="447">
        <v>0</v>
      </c>
      <c r="X82" s="447">
        <v>0</v>
      </c>
      <c r="Y82" s="447">
        <v>0</v>
      </c>
      <c r="Z82" s="447">
        <v>0</v>
      </c>
      <c r="AA82" s="447">
        <v>0</v>
      </c>
      <c r="AB82" s="447">
        <v>0</v>
      </c>
      <c r="AC82" s="447">
        <v>0</v>
      </c>
      <c r="AD82" s="447">
        <v>0</v>
      </c>
      <c r="AE82" s="447">
        <v>0</v>
      </c>
      <c r="AF82" s="447">
        <v>0</v>
      </c>
      <c r="AG82" s="447">
        <v>0</v>
      </c>
      <c r="AH82" s="447">
        <v>0</v>
      </c>
      <c r="AI82" s="447">
        <v>0</v>
      </c>
      <c r="AJ82" s="447">
        <v>0</v>
      </c>
      <c r="AK82" s="447">
        <v>0</v>
      </c>
      <c r="AL82" s="447">
        <v>0</v>
      </c>
      <c r="AM82" s="447">
        <v>0</v>
      </c>
      <c r="AN82" s="447">
        <v>0</v>
      </c>
      <c r="AO82" s="447">
        <v>0</v>
      </c>
      <c r="AP82" s="447">
        <v>0</v>
      </c>
      <c r="AQ82" s="447">
        <v>0</v>
      </c>
      <c r="AR82" s="447">
        <v>0</v>
      </c>
      <c r="AS82" s="447">
        <v>0</v>
      </c>
      <c r="AT82" s="447">
        <v>0</v>
      </c>
      <c r="AU82" s="447">
        <v>0</v>
      </c>
      <c r="AV82" s="447">
        <v>0</v>
      </c>
      <c r="AW82" s="447">
        <v>0</v>
      </c>
      <c r="AX82" s="447">
        <v>0</v>
      </c>
      <c r="AY82" s="447">
        <v>0</v>
      </c>
      <c r="AZ82" s="447">
        <v>0</v>
      </c>
      <c r="BA82" s="447">
        <v>0</v>
      </c>
      <c r="BB82" s="447">
        <v>0</v>
      </c>
      <c r="BC82" s="447">
        <v>0</v>
      </c>
      <c r="BD82" s="447">
        <v>0</v>
      </c>
      <c r="BE82" s="447">
        <v>0</v>
      </c>
      <c r="BF82" s="447">
        <v>0</v>
      </c>
      <c r="BG82" s="447">
        <v>0</v>
      </c>
      <c r="BH82" s="447">
        <v>0</v>
      </c>
      <c r="BI82" s="447">
        <v>0</v>
      </c>
      <c r="BJ82" s="447">
        <v>0</v>
      </c>
      <c r="BK82" s="447">
        <v>0</v>
      </c>
      <c r="BL82" s="447">
        <v>0</v>
      </c>
      <c r="BM82" s="447">
        <v>0</v>
      </c>
      <c r="BN82" s="447">
        <v>0</v>
      </c>
      <c r="BO82" s="447">
        <v>0</v>
      </c>
      <c r="BP82" s="447">
        <v>0</v>
      </c>
      <c r="BQ82" s="447">
        <v>0</v>
      </c>
      <c r="BR82" s="447">
        <v>0</v>
      </c>
      <c r="BS82" s="447">
        <v>0</v>
      </c>
      <c r="BT82" s="447">
        <v>0</v>
      </c>
      <c r="BU82" s="447">
        <v>0</v>
      </c>
      <c r="BV82" s="447">
        <v>0</v>
      </c>
      <c r="BW82" s="447">
        <v>0</v>
      </c>
      <c r="BX82" s="447">
        <v>0</v>
      </c>
      <c r="BY82" s="447">
        <v>0</v>
      </c>
      <c r="BZ82" s="447">
        <v>0</v>
      </c>
      <c r="CA82" s="447">
        <v>0</v>
      </c>
      <c r="CB82" s="447">
        <v>0</v>
      </c>
      <c r="CC82" s="447">
        <v>0</v>
      </c>
      <c r="CD82" s="447">
        <v>0</v>
      </c>
      <c r="CE82" s="447">
        <v>0</v>
      </c>
      <c r="CF82" s="447">
        <v>0</v>
      </c>
      <c r="CG82" s="447">
        <v>0</v>
      </c>
      <c r="CH82" s="447">
        <v>0</v>
      </c>
      <c r="CI82" s="447">
        <v>0</v>
      </c>
      <c r="CJ82" s="447">
        <v>0</v>
      </c>
      <c r="CK82" s="447">
        <v>0</v>
      </c>
      <c r="CL82" s="447">
        <v>0</v>
      </c>
      <c r="CM82" s="447">
        <v>0</v>
      </c>
      <c r="CN82" s="447">
        <v>0</v>
      </c>
      <c r="CO82" s="447">
        <v>0</v>
      </c>
      <c r="CP82" s="447">
        <v>0</v>
      </c>
      <c r="CQ82" s="447">
        <v>0</v>
      </c>
      <c r="CR82" s="447">
        <v>0</v>
      </c>
      <c r="CS82" s="447">
        <v>0</v>
      </c>
      <c r="CT82" s="447">
        <v>0</v>
      </c>
      <c r="CU82" s="447">
        <v>0</v>
      </c>
      <c r="CV82" s="447">
        <v>0</v>
      </c>
      <c r="CW82" s="447">
        <v>0</v>
      </c>
      <c r="CX82" s="447">
        <v>0</v>
      </c>
      <c r="CY82" s="447">
        <v>0</v>
      </c>
      <c r="CZ82" s="447">
        <v>0</v>
      </c>
      <c r="DA82" s="447">
        <v>0</v>
      </c>
      <c r="DB82" s="447">
        <v>0</v>
      </c>
      <c r="DC82" s="447">
        <v>0</v>
      </c>
      <c r="DD82" s="447">
        <v>0</v>
      </c>
      <c r="DE82" s="447">
        <v>0</v>
      </c>
      <c r="DF82" s="447">
        <v>0</v>
      </c>
      <c r="DG82" s="447">
        <v>0</v>
      </c>
      <c r="DH82" s="447">
        <v>0</v>
      </c>
      <c r="DI82" s="447">
        <v>0</v>
      </c>
      <c r="DJ82" s="447">
        <v>0</v>
      </c>
      <c r="DK82" s="447">
        <v>0</v>
      </c>
      <c r="DL82" s="447">
        <v>0</v>
      </c>
      <c r="DM82" s="447">
        <v>0</v>
      </c>
      <c r="DN82" s="447">
        <v>0</v>
      </c>
      <c r="DO82" s="447">
        <v>0</v>
      </c>
      <c r="DP82" s="447">
        <v>0</v>
      </c>
      <c r="DQ82" s="447">
        <v>0</v>
      </c>
      <c r="DR82" s="447">
        <v>0</v>
      </c>
      <c r="DS82" s="447">
        <v>0</v>
      </c>
      <c r="DT82" s="447">
        <v>0</v>
      </c>
      <c r="DU82" s="447">
        <v>0</v>
      </c>
      <c r="DV82" s="447">
        <v>0</v>
      </c>
      <c r="DW82" s="447">
        <v>0</v>
      </c>
      <c r="DX82" s="447">
        <v>0</v>
      </c>
      <c r="DY82" s="447">
        <v>0</v>
      </c>
      <c r="DZ82" s="447">
        <v>0</v>
      </c>
      <c r="EA82" s="447">
        <v>0</v>
      </c>
      <c r="EB82" s="447">
        <v>0</v>
      </c>
      <c r="EC82" s="447">
        <v>0</v>
      </c>
      <c r="ED82" s="447">
        <v>0</v>
      </c>
      <c r="EE82" s="447">
        <v>0</v>
      </c>
      <c r="EF82" s="447">
        <v>0</v>
      </c>
      <c r="EG82" s="447">
        <v>0</v>
      </c>
      <c r="EH82" s="447">
        <v>0</v>
      </c>
      <c r="EI82" s="447">
        <v>0</v>
      </c>
      <c r="EJ82" s="447">
        <v>0</v>
      </c>
      <c r="EK82" s="447">
        <v>0</v>
      </c>
      <c r="EL82" s="447">
        <v>0</v>
      </c>
      <c r="EM82" s="447">
        <v>0</v>
      </c>
      <c r="EN82" s="447">
        <v>0</v>
      </c>
      <c r="EO82" s="447">
        <v>0</v>
      </c>
      <c r="EP82" s="447">
        <v>0</v>
      </c>
      <c r="EQ82" s="447">
        <v>0</v>
      </c>
      <c r="ES82" s="446"/>
      <c r="ET82" s="195"/>
      <c r="EU82" s="195"/>
    </row>
    <row r="83" spans="2:151" s="65" customFormat="1" ht="15.75">
      <c r="B83" s="64"/>
      <c r="C83" s="64"/>
      <c r="D83" s="64"/>
      <c r="E83" s="64"/>
      <c r="F83" s="64"/>
      <c r="G83" s="145"/>
      <c r="H83" s="284" t="s">
        <v>327</v>
      </c>
      <c r="I83" s="472"/>
      <c r="J83" s="503"/>
      <c r="K83" s="285"/>
      <c r="L83" s="286"/>
      <c r="M83" s="286"/>
      <c r="N83" s="221"/>
      <c r="O83" s="791"/>
      <c r="P83" s="447">
        <v>0</v>
      </c>
      <c r="Q83" s="447">
        <v>0</v>
      </c>
      <c r="R83" s="447">
        <v>0</v>
      </c>
      <c r="S83" s="447">
        <v>0</v>
      </c>
      <c r="T83" s="447">
        <v>0</v>
      </c>
      <c r="U83" s="447">
        <v>0</v>
      </c>
      <c r="V83" s="447">
        <v>0</v>
      </c>
      <c r="W83" s="447">
        <v>0</v>
      </c>
      <c r="X83" s="447">
        <v>0</v>
      </c>
      <c r="Y83" s="447">
        <v>0</v>
      </c>
      <c r="Z83" s="447">
        <v>0</v>
      </c>
      <c r="AA83" s="447">
        <v>0</v>
      </c>
      <c r="AB83" s="447">
        <v>0</v>
      </c>
      <c r="AC83" s="447">
        <v>0</v>
      </c>
      <c r="AD83" s="447">
        <v>0</v>
      </c>
      <c r="AE83" s="447">
        <v>0</v>
      </c>
      <c r="AF83" s="447">
        <v>0</v>
      </c>
      <c r="AG83" s="447">
        <v>0</v>
      </c>
      <c r="AH83" s="447">
        <v>0</v>
      </c>
      <c r="AI83" s="447">
        <v>0</v>
      </c>
      <c r="AJ83" s="447">
        <v>0</v>
      </c>
      <c r="AK83" s="447">
        <v>0</v>
      </c>
      <c r="AL83" s="447">
        <v>0</v>
      </c>
      <c r="AM83" s="447">
        <v>0</v>
      </c>
      <c r="AN83" s="447">
        <v>0</v>
      </c>
      <c r="AO83" s="447">
        <v>0</v>
      </c>
      <c r="AP83" s="447">
        <v>0</v>
      </c>
      <c r="AQ83" s="447">
        <v>0</v>
      </c>
      <c r="AR83" s="447">
        <v>0</v>
      </c>
      <c r="AS83" s="447">
        <v>0</v>
      </c>
      <c r="AT83" s="447">
        <v>0</v>
      </c>
      <c r="AU83" s="447">
        <v>0</v>
      </c>
      <c r="AV83" s="447">
        <v>0</v>
      </c>
      <c r="AW83" s="447">
        <v>0</v>
      </c>
      <c r="AX83" s="447">
        <v>0</v>
      </c>
      <c r="AY83" s="447">
        <v>0</v>
      </c>
      <c r="AZ83" s="447">
        <v>0</v>
      </c>
      <c r="BA83" s="447">
        <v>0</v>
      </c>
      <c r="BB83" s="447">
        <v>0</v>
      </c>
      <c r="BC83" s="447">
        <v>0</v>
      </c>
      <c r="BD83" s="447">
        <v>0</v>
      </c>
      <c r="BE83" s="447">
        <v>0</v>
      </c>
      <c r="BF83" s="447">
        <v>0</v>
      </c>
      <c r="BG83" s="447">
        <v>0</v>
      </c>
      <c r="BH83" s="447">
        <v>0</v>
      </c>
      <c r="BI83" s="447">
        <v>0</v>
      </c>
      <c r="BJ83" s="447">
        <v>0</v>
      </c>
      <c r="BK83" s="447">
        <v>0</v>
      </c>
      <c r="BL83" s="447">
        <v>0</v>
      </c>
      <c r="BM83" s="447">
        <v>0</v>
      </c>
      <c r="BN83" s="447">
        <v>0</v>
      </c>
      <c r="BO83" s="447">
        <v>0</v>
      </c>
      <c r="BP83" s="447">
        <v>0</v>
      </c>
      <c r="BQ83" s="447">
        <v>0</v>
      </c>
      <c r="BR83" s="447">
        <v>0</v>
      </c>
      <c r="BS83" s="447">
        <v>0</v>
      </c>
      <c r="BT83" s="447">
        <v>0</v>
      </c>
      <c r="BU83" s="447">
        <v>0</v>
      </c>
      <c r="BV83" s="447">
        <v>0</v>
      </c>
      <c r="BW83" s="447">
        <v>0</v>
      </c>
      <c r="BX83" s="447">
        <v>0</v>
      </c>
      <c r="BY83" s="447">
        <v>0</v>
      </c>
      <c r="BZ83" s="447">
        <v>0</v>
      </c>
      <c r="CA83" s="447">
        <v>0</v>
      </c>
      <c r="CB83" s="447">
        <v>0</v>
      </c>
      <c r="CC83" s="447">
        <v>0</v>
      </c>
      <c r="CD83" s="447">
        <v>0</v>
      </c>
      <c r="CE83" s="447">
        <v>0</v>
      </c>
      <c r="CF83" s="447">
        <v>0</v>
      </c>
      <c r="CG83" s="447">
        <v>0</v>
      </c>
      <c r="CH83" s="447">
        <v>0</v>
      </c>
      <c r="CI83" s="447">
        <v>0</v>
      </c>
      <c r="CJ83" s="447">
        <v>0</v>
      </c>
      <c r="CK83" s="447">
        <v>0</v>
      </c>
      <c r="CL83" s="447">
        <v>0</v>
      </c>
      <c r="CM83" s="447">
        <v>0</v>
      </c>
      <c r="CN83" s="447">
        <v>0</v>
      </c>
      <c r="CO83" s="447">
        <v>0</v>
      </c>
      <c r="CP83" s="447">
        <v>0</v>
      </c>
      <c r="CQ83" s="447">
        <v>0</v>
      </c>
      <c r="CR83" s="447">
        <v>0</v>
      </c>
      <c r="CS83" s="447">
        <v>0</v>
      </c>
      <c r="CT83" s="447">
        <v>0</v>
      </c>
      <c r="CU83" s="447">
        <v>0</v>
      </c>
      <c r="CV83" s="447">
        <v>0</v>
      </c>
      <c r="CW83" s="447">
        <v>0</v>
      </c>
      <c r="CX83" s="447">
        <v>0</v>
      </c>
      <c r="CY83" s="447">
        <v>0</v>
      </c>
      <c r="CZ83" s="447">
        <v>0</v>
      </c>
      <c r="DA83" s="447">
        <v>0</v>
      </c>
      <c r="DB83" s="447">
        <v>0</v>
      </c>
      <c r="DC83" s="447">
        <v>0</v>
      </c>
      <c r="DD83" s="447">
        <v>0</v>
      </c>
      <c r="DE83" s="447">
        <v>0</v>
      </c>
      <c r="DF83" s="447">
        <v>0</v>
      </c>
      <c r="DG83" s="447">
        <v>0</v>
      </c>
      <c r="DH83" s="447">
        <v>0</v>
      </c>
      <c r="DI83" s="447">
        <v>0</v>
      </c>
      <c r="DJ83" s="447">
        <v>0</v>
      </c>
      <c r="DK83" s="447">
        <v>0</v>
      </c>
      <c r="DL83" s="447">
        <v>0</v>
      </c>
      <c r="DM83" s="447">
        <v>0</v>
      </c>
      <c r="DN83" s="447">
        <v>0</v>
      </c>
      <c r="DO83" s="447">
        <v>0</v>
      </c>
      <c r="DP83" s="447">
        <v>0</v>
      </c>
      <c r="DQ83" s="447">
        <v>0</v>
      </c>
      <c r="DR83" s="447">
        <v>0</v>
      </c>
      <c r="DS83" s="447">
        <v>0</v>
      </c>
      <c r="DT83" s="447">
        <v>0</v>
      </c>
      <c r="DU83" s="447">
        <v>0</v>
      </c>
      <c r="DV83" s="447">
        <v>0</v>
      </c>
      <c r="DW83" s="447">
        <v>0</v>
      </c>
      <c r="DX83" s="447">
        <v>0</v>
      </c>
      <c r="DY83" s="447">
        <v>0</v>
      </c>
      <c r="DZ83" s="447">
        <v>0</v>
      </c>
      <c r="EA83" s="447">
        <v>0</v>
      </c>
      <c r="EB83" s="447">
        <v>0</v>
      </c>
      <c r="EC83" s="447">
        <v>0</v>
      </c>
      <c r="ED83" s="447">
        <v>0</v>
      </c>
      <c r="EE83" s="447">
        <v>0</v>
      </c>
      <c r="EF83" s="447">
        <v>0</v>
      </c>
      <c r="EG83" s="447">
        <v>0</v>
      </c>
      <c r="EH83" s="447">
        <v>0</v>
      </c>
      <c r="EI83" s="447">
        <v>0</v>
      </c>
      <c r="EJ83" s="447">
        <v>0</v>
      </c>
      <c r="EK83" s="447">
        <v>0</v>
      </c>
      <c r="EL83" s="447">
        <v>0</v>
      </c>
      <c r="EM83" s="447">
        <v>0</v>
      </c>
      <c r="EN83" s="447">
        <v>0</v>
      </c>
      <c r="EO83" s="447">
        <v>0</v>
      </c>
      <c r="EP83" s="447">
        <v>0</v>
      </c>
      <c r="EQ83" s="447">
        <v>0</v>
      </c>
      <c r="ES83" s="446"/>
      <c r="ET83" s="195"/>
      <c r="EU83" s="195"/>
    </row>
    <row r="84" spans="2:151" ht="15.75">
      <c r="G84" s="145"/>
      <c r="H84" s="139" t="s">
        <v>145</v>
      </c>
      <c r="I84" s="144"/>
      <c r="J84" s="505"/>
      <c r="K84" s="244"/>
      <c r="L84" s="245"/>
      <c r="M84" s="245"/>
      <c r="N84" s="221">
        <f>'Annual Cash Flow'!C59</f>
        <v>0</v>
      </c>
      <c r="O84" s="785"/>
      <c r="P84" s="104">
        <f>-VLOOKUP(P11,Assumptions!$J$13:$O$23,6,FALSE)*P36</f>
        <v>0</v>
      </c>
      <c r="Q84" s="104">
        <f>-VLOOKUP(Q11,Assumptions!$J$13:$O$23,6,FALSE)*Q36</f>
        <v>-7500</v>
      </c>
      <c r="R84" s="104">
        <f>-VLOOKUP(R11,Assumptions!$J$13:$O$23,6,FALSE)*R36</f>
        <v>-30000</v>
      </c>
      <c r="S84" s="104">
        <f>-VLOOKUP(S11,Assumptions!$J$13:$O$23,6,FALSE)*S36</f>
        <v>-37500</v>
      </c>
      <c r="T84" s="104">
        <f>-VLOOKUP(T11,Assumptions!$J$13:$O$23,6,FALSE)*T36</f>
        <v>0</v>
      </c>
      <c r="U84" s="104">
        <f>-VLOOKUP(U11,Assumptions!$J$13:$O$23,6,FALSE)*U36</f>
        <v>0</v>
      </c>
      <c r="V84" s="104">
        <f>-VLOOKUP(V11,Assumptions!$J$13:$O$23,6,FALSE)*V36</f>
        <v>0</v>
      </c>
      <c r="W84" s="104">
        <f>-VLOOKUP(W11,Assumptions!$J$13:$O$23,6,FALSE)*W36</f>
        <v>0</v>
      </c>
      <c r="X84" s="104">
        <f>-VLOOKUP(X11,Assumptions!$J$13:$O$23,6,FALSE)*X36</f>
        <v>0</v>
      </c>
      <c r="Y84" s="104">
        <f>-VLOOKUP(Y11,Assumptions!$J$13:$O$23,6,FALSE)*Y36</f>
        <v>0</v>
      </c>
      <c r="Z84" s="104">
        <f>-VLOOKUP(Z11,Assumptions!$J$13:$O$23,6,FALSE)*Z36</f>
        <v>0</v>
      </c>
      <c r="AA84" s="104">
        <f>-VLOOKUP(AA11,Assumptions!$J$13:$O$23,6,FALSE)*AA36</f>
        <v>0</v>
      </c>
      <c r="AB84" s="104">
        <f>-VLOOKUP(AB11,Assumptions!$J$13:$O$23,6,FALSE)*AB36</f>
        <v>-38625</v>
      </c>
      <c r="AC84" s="104">
        <f>-VLOOKUP(AC11,Assumptions!$J$13:$O$23,6,FALSE)*AC36</f>
        <v>-38625</v>
      </c>
      <c r="AD84" s="104">
        <f>-VLOOKUP(AD11,Assumptions!$J$13:$O$23,6,FALSE)*AD36</f>
        <v>0</v>
      </c>
      <c r="AE84" s="104">
        <f>-VLOOKUP(AE11,Assumptions!$J$13:$O$23,6,FALSE)*AE36</f>
        <v>-38625</v>
      </c>
      <c r="AF84" s="104">
        <f>-VLOOKUP(AF11,Assumptions!$J$13:$O$23,6,FALSE)*AF36</f>
        <v>0</v>
      </c>
      <c r="AG84" s="104">
        <f>-VLOOKUP(AG11,Assumptions!$J$13:$O$23,6,FALSE)*AG36</f>
        <v>0</v>
      </c>
      <c r="AH84" s="104">
        <f>-VLOOKUP(AH11,Assumptions!$J$13:$O$23,6,FALSE)*AH36</f>
        <v>0</v>
      </c>
      <c r="AI84" s="104">
        <f>-VLOOKUP(AI11,Assumptions!$J$13:$O$23,6,FALSE)*AI36</f>
        <v>0</v>
      </c>
      <c r="AJ84" s="104">
        <f>-VLOOKUP(AJ11,Assumptions!$J$13:$O$23,6,FALSE)*AJ36</f>
        <v>0</v>
      </c>
      <c r="AK84" s="104">
        <f>-VLOOKUP(AK11,Assumptions!$J$13:$O$23,6,FALSE)*AK36</f>
        <v>0</v>
      </c>
      <c r="AL84" s="104">
        <f>-VLOOKUP(AL11,Assumptions!$J$13:$O$23,6,FALSE)*AL36</f>
        <v>0</v>
      </c>
      <c r="AM84" s="104">
        <f>-VLOOKUP(AM11,Assumptions!$J$13:$O$23,6,FALSE)*AM36</f>
        <v>0</v>
      </c>
      <c r="AN84" s="104">
        <f>-VLOOKUP(AN11,Assumptions!$J$13:$O$23,6,FALSE)*AN36</f>
        <v>0</v>
      </c>
      <c r="AO84" s="104">
        <f>-VLOOKUP(AO11,Assumptions!$J$13:$O$23,6,FALSE)*AO36</f>
        <v>0</v>
      </c>
      <c r="AP84" s="104">
        <f>-VLOOKUP(AP11,Assumptions!$J$13:$O$23,6,FALSE)*AP36</f>
        <v>0</v>
      </c>
      <c r="AQ84" s="104">
        <f>-VLOOKUP(AQ11,Assumptions!$J$13:$O$23,6,FALSE)*AQ36</f>
        <v>-31827</v>
      </c>
      <c r="AR84" s="104">
        <f>-VLOOKUP(AR11,Assumptions!$J$13:$O$23,6,FALSE)*AR36</f>
        <v>0</v>
      </c>
      <c r="AS84" s="104">
        <f>-VLOOKUP(AS11,Assumptions!$J$13:$O$23,6,FALSE)*AS36</f>
        <v>-7956.75</v>
      </c>
      <c r="AT84" s="104">
        <f>-VLOOKUP(AT11,Assumptions!$J$13:$O$23,6,FALSE)*AT36</f>
        <v>0</v>
      </c>
      <c r="AU84" s="104">
        <f>-VLOOKUP(AU11,Assumptions!$J$13:$O$23,6,FALSE)*AU36</f>
        <v>0</v>
      </c>
      <c r="AV84" s="104">
        <f>-VLOOKUP(AV11,Assumptions!$J$13:$O$23,6,FALSE)*AV36</f>
        <v>0</v>
      </c>
      <c r="AW84" s="104">
        <f>-VLOOKUP(AW11,Assumptions!$J$13:$O$23,6,FALSE)*AW36</f>
        <v>0</v>
      </c>
      <c r="AX84" s="104">
        <f>-VLOOKUP(AX11,Assumptions!$J$13:$O$23,6,FALSE)*AX36</f>
        <v>0</v>
      </c>
      <c r="AY84" s="104">
        <f>-VLOOKUP(AY11,Assumptions!$J$13:$O$23,6,FALSE)*AY36</f>
        <v>0</v>
      </c>
      <c r="AZ84" s="104">
        <f>-VLOOKUP(AZ11,Assumptions!$J$13:$O$23,6,FALSE)*AZ36</f>
        <v>0</v>
      </c>
      <c r="BA84" s="104">
        <f>-VLOOKUP(BA11,Assumptions!$J$13:$O$23,6,FALSE)*BA36</f>
        <v>0</v>
      </c>
      <c r="BB84" s="104">
        <f>-VLOOKUP(BB11,Assumptions!$J$13:$O$23,6,FALSE)*BB36</f>
        <v>0</v>
      </c>
      <c r="BC84" s="104">
        <f>-VLOOKUP(BC11,Assumptions!$J$13:$O$23,6,FALSE)*BC36</f>
        <v>0</v>
      </c>
      <c r="BD84" s="104">
        <f>-VLOOKUP(BD11,Assumptions!$J$13:$O$23,6,FALSE)*BD36</f>
        <v>0</v>
      </c>
      <c r="BE84" s="104">
        <f>-VLOOKUP(BE11,Assumptions!$J$13:$O$23,6,FALSE)*BE36</f>
        <v>0</v>
      </c>
      <c r="BF84" s="104">
        <f>-VLOOKUP(BF11,Assumptions!$J$13:$O$23,6,FALSE)*BF36</f>
        <v>0</v>
      </c>
      <c r="BG84" s="104">
        <f>-VLOOKUP(BG11,Assumptions!$J$13:$O$23,6,FALSE)*BG36</f>
        <v>0</v>
      </c>
      <c r="BH84" s="104">
        <f>-VLOOKUP(BH11,Assumptions!$J$13:$O$23,6,FALSE)*BH36</f>
        <v>0</v>
      </c>
      <c r="BI84" s="104">
        <f>-VLOOKUP(BI11,Assumptions!$J$13:$O$23,6,FALSE)*BI36</f>
        <v>0</v>
      </c>
      <c r="BJ84" s="104">
        <f>-VLOOKUP(BJ11,Assumptions!$J$13:$O$23,6,FALSE)*BJ36</f>
        <v>0</v>
      </c>
      <c r="BK84" s="104">
        <f>-VLOOKUP(BK11,Assumptions!$J$13:$O$23,6,FALSE)*BK36</f>
        <v>0</v>
      </c>
      <c r="BL84" s="104">
        <f>-VLOOKUP(BL11,Assumptions!$J$13:$O$23,6,FALSE)*BL36</f>
        <v>0</v>
      </c>
      <c r="BM84" s="104">
        <f>-VLOOKUP(BM11,Assumptions!$J$13:$O$23,6,FALSE)*BM36</f>
        <v>0</v>
      </c>
      <c r="BN84" s="104">
        <f>-VLOOKUP(BN11,Assumptions!$J$13:$O$23,6,FALSE)*BN36</f>
        <v>0</v>
      </c>
      <c r="BO84" s="104">
        <f>-VLOOKUP(BO11,Assumptions!$J$13:$O$23,6,FALSE)*BO36</f>
        <v>0</v>
      </c>
      <c r="BP84" s="104">
        <f>-VLOOKUP(BP11,Assumptions!$J$13:$O$23,6,FALSE)*BP36</f>
        <v>0</v>
      </c>
      <c r="BQ84" s="104">
        <f>-VLOOKUP(BQ11,Assumptions!$J$13:$O$23,6,FALSE)*BQ36</f>
        <v>0</v>
      </c>
      <c r="BR84" s="104">
        <f>-VLOOKUP(BR11,Assumptions!$J$13:$O$23,6,FALSE)*BR36</f>
        <v>0</v>
      </c>
      <c r="BS84" s="104">
        <f>-VLOOKUP(BS11,Assumptions!$J$13:$O$23,6,FALSE)*BS36</f>
        <v>0</v>
      </c>
      <c r="BT84" s="104">
        <f>-VLOOKUP(BT11,Assumptions!$J$13:$O$23,6,FALSE)*BT36</f>
        <v>0</v>
      </c>
      <c r="BU84" s="104">
        <f>-VLOOKUP(BU11,Assumptions!$J$13:$O$23,6,FALSE)*BU36</f>
        <v>0</v>
      </c>
      <c r="BV84" s="104">
        <f>-VLOOKUP(BV11,Assumptions!$J$13:$O$23,6,FALSE)*BV36</f>
        <v>0</v>
      </c>
      <c r="BW84" s="104">
        <f>-VLOOKUP(BW11,Assumptions!$J$13:$O$23,6,FALSE)*BW36</f>
        <v>0</v>
      </c>
      <c r="BX84" s="104">
        <f>-VLOOKUP(BX11,Assumptions!$J$13:$O$23,6,FALSE)*BX36</f>
        <v>0</v>
      </c>
      <c r="BY84" s="104">
        <f>-VLOOKUP(BY11,Assumptions!$J$13:$O$23,6,FALSE)*BY36</f>
        <v>0</v>
      </c>
      <c r="BZ84" s="104">
        <f>-VLOOKUP(BZ11,Assumptions!$J$13:$O$23,6,FALSE)*BZ36</f>
        <v>0</v>
      </c>
      <c r="CA84" s="104">
        <f>-VLOOKUP(CA11,Assumptions!$J$13:$O$23,6,FALSE)*CA36</f>
        <v>0</v>
      </c>
      <c r="CB84" s="104">
        <f>-VLOOKUP(CB11,Assumptions!$J$13:$O$23,6,FALSE)*CB36</f>
        <v>0</v>
      </c>
      <c r="CC84" s="104">
        <f>-VLOOKUP(CC11,Assumptions!$J$13:$O$23,6,FALSE)*CC36</f>
        <v>0</v>
      </c>
      <c r="CD84" s="104">
        <f>-VLOOKUP(CD11,Assumptions!$J$13:$O$23,6,FALSE)*CD36</f>
        <v>0</v>
      </c>
      <c r="CE84" s="104">
        <f>-VLOOKUP(CE11,Assumptions!$J$13:$O$23,6,FALSE)*CE36</f>
        <v>0</v>
      </c>
      <c r="CF84" s="104">
        <f>-VLOOKUP(CF11,Assumptions!$J$13:$O$23,6,FALSE)*CF36</f>
        <v>0</v>
      </c>
      <c r="CG84" s="104">
        <f>-VLOOKUP(CG11,Assumptions!$J$13:$O$23,6,FALSE)*CG36</f>
        <v>0</v>
      </c>
      <c r="CH84" s="104">
        <f>-VLOOKUP(CH11,Assumptions!$J$13:$O$23,6,FALSE)*CH36</f>
        <v>0</v>
      </c>
      <c r="CI84" s="104">
        <f>-VLOOKUP(CI11,Assumptions!$J$13:$O$23,6,FALSE)*CI36</f>
        <v>0</v>
      </c>
      <c r="CJ84" s="104">
        <f>-VLOOKUP(CJ11,Assumptions!$J$13:$O$23,6,FALSE)*CJ36</f>
        <v>0</v>
      </c>
      <c r="CK84" s="104">
        <f>-VLOOKUP(CK11,Assumptions!$J$13:$O$23,6,FALSE)*CK36</f>
        <v>0</v>
      </c>
      <c r="CL84" s="104">
        <f>-VLOOKUP(CL11,Assumptions!$J$13:$O$23,6,FALSE)*CL36</f>
        <v>0</v>
      </c>
      <c r="CM84" s="104">
        <f>-VLOOKUP(CM11,Assumptions!$J$13:$O$23,6,FALSE)*CM36</f>
        <v>0</v>
      </c>
      <c r="CN84" s="104">
        <f>-VLOOKUP(CN11,Assumptions!$J$13:$O$23,6,FALSE)*CN36</f>
        <v>0</v>
      </c>
      <c r="CO84" s="104">
        <f>-VLOOKUP(CO11,Assumptions!$J$13:$O$23,6,FALSE)*CO36</f>
        <v>0</v>
      </c>
      <c r="CP84" s="104">
        <f>-VLOOKUP(CP11,Assumptions!$J$13:$O$23,6,FALSE)*CP36</f>
        <v>0</v>
      </c>
      <c r="CQ84" s="104">
        <f>-VLOOKUP(CQ11,Assumptions!$J$13:$O$23,6,FALSE)*CQ36</f>
        <v>0</v>
      </c>
      <c r="CR84" s="104">
        <f>-VLOOKUP(CR11,Assumptions!$J$13:$O$23,6,FALSE)*CR36</f>
        <v>0</v>
      </c>
      <c r="CS84" s="104">
        <f>-VLOOKUP(CS11,Assumptions!$J$13:$O$23,6,FALSE)*CS36</f>
        <v>0</v>
      </c>
      <c r="CT84" s="104">
        <f>-VLOOKUP(CT11,Assumptions!$J$13:$O$23,6,FALSE)*CT36</f>
        <v>0</v>
      </c>
      <c r="CU84" s="104">
        <f>-VLOOKUP(CU11,Assumptions!$J$13:$O$23,6,FALSE)*CU36</f>
        <v>0</v>
      </c>
      <c r="CV84" s="104">
        <f>-VLOOKUP(CV11,Assumptions!$J$13:$O$23,6,FALSE)*CV36</f>
        <v>0</v>
      </c>
      <c r="CW84" s="104">
        <f>-VLOOKUP(CW11,Assumptions!$J$13:$O$23,6,FALSE)*CW36</f>
        <v>0</v>
      </c>
      <c r="CX84" s="104">
        <f>-VLOOKUP(CX11,Assumptions!$J$13:$O$23,6,FALSE)*CX36</f>
        <v>0</v>
      </c>
      <c r="CY84" s="104">
        <f>-VLOOKUP(CY11,Assumptions!$J$13:$O$23,6,FALSE)*CY36</f>
        <v>0</v>
      </c>
      <c r="CZ84" s="104">
        <f>-VLOOKUP(CZ11,Assumptions!$J$13:$O$23,6,FALSE)*CZ36</f>
        <v>0</v>
      </c>
      <c r="DA84" s="104">
        <f>-VLOOKUP(DA11,Assumptions!$J$13:$O$23,6,FALSE)*DA36</f>
        <v>0</v>
      </c>
      <c r="DB84" s="104">
        <f>-VLOOKUP(DB11,Assumptions!$J$13:$O$23,6,FALSE)*DB36</f>
        <v>0</v>
      </c>
      <c r="DC84" s="104">
        <f>-VLOOKUP(DC11,Assumptions!$J$13:$O$23,6,FALSE)*DC36</f>
        <v>0</v>
      </c>
      <c r="DD84" s="104">
        <f>-VLOOKUP(DD11,Assumptions!$J$13:$O$23,6,FALSE)*DD36</f>
        <v>0</v>
      </c>
      <c r="DE84" s="104">
        <f>-VLOOKUP(DE11,Assumptions!$J$13:$O$23,6,FALSE)*DE36</f>
        <v>0</v>
      </c>
      <c r="DF84" s="104">
        <f>-VLOOKUP(DF11,Assumptions!$J$13:$O$23,6,FALSE)*DF36</f>
        <v>0</v>
      </c>
      <c r="DG84" s="104">
        <f>-VLOOKUP(DG11,Assumptions!$J$13:$O$23,6,FALSE)*DG36</f>
        <v>0</v>
      </c>
      <c r="DH84" s="104">
        <f>-VLOOKUP(DH11,Assumptions!$J$13:$O$23,6,FALSE)*DH36</f>
        <v>0</v>
      </c>
      <c r="DI84" s="104">
        <f>-VLOOKUP(DI11,Assumptions!$J$13:$O$23,6,FALSE)*DI36</f>
        <v>0</v>
      </c>
      <c r="DJ84" s="104">
        <f>-VLOOKUP(DJ11,Assumptions!$J$13:$O$23,6,FALSE)*DJ36</f>
        <v>0</v>
      </c>
      <c r="DK84" s="104">
        <f>-VLOOKUP(DK11,Assumptions!$J$13:$O$23,6,FALSE)*DK36</f>
        <v>0</v>
      </c>
      <c r="DL84" s="104">
        <f>-VLOOKUP(DL11,Assumptions!$J$13:$O$23,6,FALSE)*DL36</f>
        <v>0</v>
      </c>
      <c r="DM84" s="104">
        <f>-VLOOKUP(DM11,Assumptions!$J$13:$O$23,6,FALSE)*DM36</f>
        <v>0</v>
      </c>
      <c r="DN84" s="104">
        <f>-VLOOKUP(DN11,Assumptions!$J$13:$O$23,6,FALSE)*DN36</f>
        <v>0</v>
      </c>
      <c r="DO84" s="104">
        <f>-VLOOKUP(DO11,Assumptions!$J$13:$O$23,6,FALSE)*DO36</f>
        <v>0</v>
      </c>
      <c r="DP84" s="104">
        <f>-VLOOKUP(DP11,Assumptions!$J$13:$O$23,6,FALSE)*DP36</f>
        <v>0</v>
      </c>
      <c r="DQ84" s="104">
        <f>-VLOOKUP(DQ11,Assumptions!$J$13:$O$23,6,FALSE)*DQ36</f>
        <v>0</v>
      </c>
      <c r="DR84" s="104">
        <f>-VLOOKUP(DR11,Assumptions!$J$13:$O$23,6,FALSE)*DR36</f>
        <v>0</v>
      </c>
      <c r="DS84" s="104">
        <f>-VLOOKUP(DS11,Assumptions!$J$13:$O$23,6,FALSE)*DS36</f>
        <v>0</v>
      </c>
      <c r="DT84" s="104">
        <f>-VLOOKUP(DT11,Assumptions!$J$13:$O$23,6,FALSE)*DT36</f>
        <v>0</v>
      </c>
      <c r="DU84" s="104">
        <f>-VLOOKUP(DU11,Assumptions!$J$13:$O$23,6,FALSE)*DU36</f>
        <v>0</v>
      </c>
      <c r="DV84" s="104">
        <f>-VLOOKUP(DV11,Assumptions!$J$13:$O$23,6,FALSE)*DV36</f>
        <v>0</v>
      </c>
      <c r="DW84" s="104">
        <f>-VLOOKUP(DW11,Assumptions!$J$13:$O$23,6,FALSE)*DW36</f>
        <v>0</v>
      </c>
      <c r="DX84" s="104">
        <f>-VLOOKUP(DX11,Assumptions!$J$13:$O$23,6,FALSE)*DX36</f>
        <v>0</v>
      </c>
      <c r="DY84" s="104">
        <f>-VLOOKUP(DY11,Assumptions!$J$13:$O$23,6,FALSE)*DY36</f>
        <v>0</v>
      </c>
      <c r="DZ84" s="104">
        <f>-VLOOKUP(DZ11,Assumptions!$J$13:$O$23,6,FALSE)*DZ36</f>
        <v>0</v>
      </c>
      <c r="EA84" s="104">
        <f>-VLOOKUP(EA11,Assumptions!$J$13:$O$23,6,FALSE)*EA36</f>
        <v>0</v>
      </c>
      <c r="EB84" s="104">
        <f>-VLOOKUP(EB11,Assumptions!$J$13:$O$23,6,FALSE)*EB36</f>
        <v>0</v>
      </c>
      <c r="EC84" s="104">
        <f>-VLOOKUP(EC11,Assumptions!$J$13:$O$23,6,FALSE)*EC36</f>
        <v>0</v>
      </c>
      <c r="ED84" s="104">
        <f>-VLOOKUP(ED11,Assumptions!$J$13:$O$23,6,FALSE)*ED36</f>
        <v>0</v>
      </c>
      <c r="EE84" s="104">
        <f>-VLOOKUP(EE11,Assumptions!$J$13:$O$23,6,FALSE)*EE36</f>
        <v>0</v>
      </c>
      <c r="EF84" s="104">
        <f>-VLOOKUP(EF11,Assumptions!$J$13:$O$23,6,FALSE)*EF36</f>
        <v>0</v>
      </c>
      <c r="EG84" s="104">
        <f>-VLOOKUP(EG11,Assumptions!$J$13:$O$23,6,FALSE)*EG36</f>
        <v>0</v>
      </c>
      <c r="EH84" s="104">
        <f>-VLOOKUP(EH11,Assumptions!$J$13:$O$23,6,FALSE)*EH36</f>
        <v>0</v>
      </c>
      <c r="EI84" s="104">
        <f>-VLOOKUP(EI11,Assumptions!$J$13:$O$23,6,FALSE)*EI36</f>
        <v>0</v>
      </c>
      <c r="EJ84" s="104">
        <f>-VLOOKUP(EJ11,Assumptions!$J$13:$O$23,6,FALSE)*EJ36</f>
        <v>0</v>
      </c>
      <c r="EK84" s="104">
        <f>-VLOOKUP(EK11,Assumptions!$J$13:$O$23,6,FALSE)*EK36</f>
        <v>0</v>
      </c>
      <c r="EL84" s="104">
        <f>-VLOOKUP(EL11,Assumptions!$J$13:$O$23,6,FALSE)*EL36</f>
        <v>0</v>
      </c>
      <c r="EM84" s="104">
        <f>-VLOOKUP(EM11,Assumptions!$J$13:$O$23,6,FALSE)*EM36</f>
        <v>0</v>
      </c>
      <c r="EN84" s="104">
        <f>-VLOOKUP(EN11,Assumptions!$J$13:$O$23,6,FALSE)*EN36</f>
        <v>0</v>
      </c>
      <c r="EO84" s="104">
        <f>-VLOOKUP(EO11,Assumptions!$J$13:$O$23,6,FALSE)*EO36</f>
        <v>0</v>
      </c>
      <c r="EP84" s="104">
        <f>-VLOOKUP(EP11,Assumptions!$J$13:$O$23,6,FALSE)*EP36</f>
        <v>0</v>
      </c>
      <c r="EQ84" s="104">
        <f>-VLOOKUP(EQ11,Assumptions!$J$13:$O$23,6,FALSE)*EQ36</f>
        <v>0</v>
      </c>
      <c r="ES84" s="421"/>
      <c r="ET84" s="98"/>
      <c r="EU84" s="98"/>
    </row>
    <row r="85" spans="2:151" ht="15.75">
      <c r="G85" s="145"/>
      <c r="H85" s="139" t="s">
        <v>46</v>
      </c>
      <c r="I85" s="144"/>
      <c r="J85" s="505"/>
      <c r="K85" s="244"/>
      <c r="L85" s="245"/>
      <c r="M85" s="245"/>
      <c r="N85" s="221">
        <f>'Annual Cash Flow'!C60</f>
        <v>0</v>
      </c>
      <c r="O85" s="792"/>
      <c r="P85" s="123">
        <f ca="1">IF(P10&lt;=Assumptions!$G$10+1,Assumptions!$H$68*-P60,0)</f>
        <v>-234.961275</v>
      </c>
      <c r="Q85" s="123">
        <f ca="1">IF(Q10&lt;=Assumptions!$G$10+1,Assumptions!$H$68*-Q60,0)</f>
        <v>-227.20927500000002</v>
      </c>
      <c r="R85" s="123">
        <f ca="1">IF(R10&lt;=Assumptions!$G$10+1,Assumptions!$H$68*-R60,0)</f>
        <v>-196.20127500000004</v>
      </c>
      <c r="S85" s="123">
        <f ca="1">IF(S10&lt;=Assumptions!$G$10+1,Assumptions!$H$68*-S60,0)</f>
        <v>-157.44127500000005</v>
      </c>
      <c r="T85" s="123">
        <f ca="1">IF(T10&lt;=Assumptions!$G$10+1,Assumptions!$H$68*-T60,0)</f>
        <v>-166.15327500000004</v>
      </c>
      <c r="U85" s="123">
        <f ca="1">IF(U10&lt;=Assumptions!$G$10+1,Assumptions!$H$68*-U60,0)</f>
        <v>-201.00127500000002</v>
      </c>
      <c r="V85" s="123">
        <f ca="1">IF(V10&lt;=Assumptions!$G$10+1,Assumptions!$H$68*-V60,0)</f>
        <v>-244.56127500000002</v>
      </c>
      <c r="W85" s="123">
        <f ca="1">IF(W10&lt;=Assumptions!$G$10+1,Assumptions!$H$68*-W60,0)</f>
        <v>-244.56127500000002</v>
      </c>
      <c r="X85" s="123">
        <f ca="1">IF(X10&lt;=Assumptions!$G$10+1,Assumptions!$H$68*-X60,0)</f>
        <v>-244.56127500000002</v>
      </c>
      <c r="Y85" s="123">
        <f ca="1">IF(Y10&lt;=Assumptions!$G$10+1,Assumptions!$H$68*-Y60,0)</f>
        <v>-244.56127500000002</v>
      </c>
      <c r="Z85" s="123">
        <f ca="1">IF(Z10&lt;=Assumptions!$G$10+1,Assumptions!$H$68*-Z60,0)</f>
        <v>-244.56127500000002</v>
      </c>
      <c r="AA85" s="123">
        <f ca="1">IF(AA10&lt;=Assumptions!$G$10+1,Assumptions!$H$68*-AA60,0)</f>
        <v>-244.56127500000002</v>
      </c>
      <c r="AB85" s="123">
        <f ca="1">IF(AB10&lt;=Assumptions!$G$10+1,Assumptions!$H$68*-AB60,0)</f>
        <v>-215.90115631245001</v>
      </c>
      <c r="AC85" s="123">
        <f ca="1">IF(AC10&lt;=Assumptions!$G$10+1,Assumptions!$H$68*-AC60,0)</f>
        <v>-175.31943631245002</v>
      </c>
      <c r="AD85" s="123">
        <f ca="1">IF(AD10&lt;=Assumptions!$G$10+1,Assumptions!$H$68*-AD60,0)</f>
        <v>-175.31943631245002</v>
      </c>
      <c r="AE85" s="123">
        <f ca="1">IF(AE10&lt;=Assumptions!$G$10+1,Assumptions!$H$68*-AE60,0)</f>
        <v>-180.51590671245</v>
      </c>
      <c r="AF85" s="123">
        <f ca="1">IF(AF10&lt;=Assumptions!$G$10+1,Assumptions!$H$68*-AF60,0)</f>
        <v>-226.29409711245</v>
      </c>
      <c r="AG85" s="123">
        <f ca="1">IF(AG10&lt;=Assumptions!$G$10+1,Assumptions!$H$68*-AG60,0)</f>
        <v>-226.29409711245</v>
      </c>
      <c r="AH85" s="123">
        <f ca="1">IF(AH10&lt;=Assumptions!$G$10+1,Assumptions!$H$68*-AH60,0)</f>
        <v>-272.07228751244998</v>
      </c>
      <c r="AI85" s="123">
        <f ca="1">IF(AI10&lt;=Assumptions!$G$10+1,Assumptions!$H$68*-AI60,0)</f>
        <v>-272.07228751244998</v>
      </c>
      <c r="AJ85" s="123">
        <f ca="1">IF(AJ10&lt;=Assumptions!$G$10+1,Assumptions!$H$68*-AJ60,0)</f>
        <v>-272.07228751244998</v>
      </c>
      <c r="AK85" s="123">
        <f ca="1">IF(AK10&lt;=Assumptions!$G$10+1,Assumptions!$H$68*-AK60,0)</f>
        <v>-272.07228751244998</v>
      </c>
      <c r="AL85" s="123">
        <f ca="1">IF(AL10&lt;=Assumptions!$G$10+1,Assumptions!$H$68*-AL60,0)</f>
        <v>-272.07228751244998</v>
      </c>
      <c r="AM85" s="123">
        <f ca="1">IF(AM10&lt;=Assumptions!$G$10+1,Assumptions!$H$68*-AM60,0)</f>
        <v>-272.07228751244998</v>
      </c>
      <c r="AN85" s="123">
        <f ca="1">IF(AN10&lt;=Assumptions!$G$10+1,Assumptions!$H$68*-AN60,0)</f>
        <v>-284.85968502553521</v>
      </c>
      <c r="AO85" s="123">
        <f ca="1">IF(AO10&lt;=Assumptions!$G$10+1,Assumptions!$H$68*-AO60,0)</f>
        <v>-284.85968502553521</v>
      </c>
      <c r="AP85" s="123">
        <f ca="1">IF(AP10&lt;=Assumptions!$G$10+1,Assumptions!$H$68*-AP60,0)</f>
        <v>-284.85968502553521</v>
      </c>
      <c r="AQ85" s="123">
        <f ca="1">IF(AQ10&lt;=Assumptions!$G$10+1,Assumptions!$H$68*-AQ60,0)</f>
        <v>-250.86843635353517</v>
      </c>
      <c r="AR85" s="123">
        <f ca="1">IF(AR10&lt;=Assumptions!$G$10+1,Assumptions!$H$68*-AR60,0)</f>
        <v>-250.86843635353517</v>
      </c>
      <c r="AS85" s="123">
        <f ca="1">IF(AS10&lt;=Assumptions!$G$10+1,Assumptions!$H$68*-AS60,0)</f>
        <v>-242.37062418553521</v>
      </c>
      <c r="AT85" s="123">
        <f ca="1">IF(AT10&lt;=Assumptions!$G$10+1,Assumptions!$H$68*-AT60,0)</f>
        <v>-280.71443646457516</v>
      </c>
      <c r="AU85" s="123">
        <f ca="1">IF(AU10&lt;=Assumptions!$G$10+1,Assumptions!$H$68*-AU60,0)</f>
        <v>-280.71443646457516</v>
      </c>
      <c r="AV85" s="123">
        <f ca="1">IF(AV10&lt;=Assumptions!$G$10+1,Assumptions!$H$68*-AV60,0)</f>
        <v>-290.30038953433518</v>
      </c>
      <c r="AW85" s="123">
        <f ca="1">IF(AW10&lt;=Assumptions!$G$10+1,Assumptions!$H$68*-AW60,0)</f>
        <v>-290.30038953433518</v>
      </c>
      <c r="AX85" s="123">
        <f ca="1">IF(AX10&lt;=Assumptions!$G$10+1,Assumptions!$H$68*-AX60,0)</f>
        <v>-290.30038953433518</v>
      </c>
      <c r="AY85" s="123">
        <f ca="1">IF(AY10&lt;=Assumptions!$G$10+1,Assumptions!$H$68*-AY60,0)</f>
        <v>-290.30038953433518</v>
      </c>
      <c r="AZ85" s="123">
        <f ca="1">IF(AZ10&lt;=Assumptions!$G$10+1,Assumptions!$H$68*-AZ60,0)</f>
        <v>-299.88030238896818</v>
      </c>
      <c r="BA85" s="123">
        <f ca="1">IF(BA10&lt;=Assumptions!$G$10+1,Assumptions!$H$68*-BA60,0)</f>
        <v>-299.88030238896818</v>
      </c>
      <c r="BB85" s="123">
        <f ca="1">IF(BB10&lt;=Assumptions!$G$10+1,Assumptions!$H$68*-BB60,0)</f>
        <v>-299.88030238896818</v>
      </c>
      <c r="BC85" s="123">
        <f ca="1">IF(BC10&lt;=Assumptions!$G$10+1,Assumptions!$H$68*-BC60,0)</f>
        <v>-299.88030238896818</v>
      </c>
      <c r="BD85" s="123">
        <f ca="1">IF(BD10&lt;=Assumptions!$G$10+1,Assumptions!$H$68*-BD60,0)</f>
        <v>-299.88030238896818</v>
      </c>
      <c r="BE85" s="123">
        <f ca="1">IF(BE10&lt;=Assumptions!$G$10+1,Assumptions!$H$68*-BE60,0)</f>
        <v>-299.88030238896818</v>
      </c>
      <c r="BF85" s="123">
        <f ca="1">IF(BF10&lt;=Assumptions!$G$10+1,Assumptions!$H$68*-BF60,0)</f>
        <v>-299.88030238896818</v>
      </c>
      <c r="BG85" s="123">
        <f ca="1">IF(BG10&lt;=Assumptions!$G$10+1,Assumptions!$H$68*-BG60,0)</f>
        <v>-299.88030238896818</v>
      </c>
      <c r="BH85" s="123">
        <f ca="1">IF(BH10&lt;=Assumptions!$G$10+1,Assumptions!$H$68*-BH60,0)</f>
        <v>-299.88030238896818</v>
      </c>
      <c r="BI85" s="123">
        <f ca="1">IF(BI10&lt;=Assumptions!$G$10+1,Assumptions!$H$68*-BI60,0)</f>
        <v>-299.88030238896818</v>
      </c>
      <c r="BJ85" s="123">
        <f ca="1">IF(BJ10&lt;=Assumptions!$G$10+1,Assumptions!$H$68*-BJ60,0)</f>
        <v>-299.88030238896818</v>
      </c>
      <c r="BK85" s="123">
        <f ca="1">IF(BK10&lt;=Assumptions!$G$10+1,Assumptions!$H$68*-BK60,0)</f>
        <v>-299.88030238896818</v>
      </c>
      <c r="BL85" s="123">
        <f ca="1">IF(BL10&lt;=Assumptions!$G$10+1,Assumptions!$H$68*-BL60,0)</f>
        <v>-307.97707055347024</v>
      </c>
      <c r="BM85" s="123">
        <f ca="1">IF(BM10&lt;=Assumptions!$G$10+1,Assumptions!$H$68*-BM60,0)</f>
        <v>-307.97707055347024</v>
      </c>
      <c r="BN85" s="123">
        <f ca="1">IF(BN10&lt;=Assumptions!$G$10+1,Assumptions!$H$68*-BN60,0)</f>
        <v>-307.97707055347024</v>
      </c>
      <c r="BO85" s="123">
        <f ca="1">IF(BO10&lt;=Assumptions!$G$10+1,Assumptions!$H$68*-BO60,0)</f>
        <v>-307.97707055347024</v>
      </c>
      <c r="BP85" s="123">
        <f ca="1">IF(BP10&lt;=Assumptions!$G$10+1,Assumptions!$H$68*-BP60,0)</f>
        <v>-307.97707055347024</v>
      </c>
      <c r="BQ85" s="123">
        <f ca="1">IF(BQ10&lt;=Assumptions!$G$10+1,Assumptions!$H$68*-BQ60,0)</f>
        <v>-307.97707055347024</v>
      </c>
      <c r="BR85" s="123">
        <f ca="1">IF(BR10&lt;=Assumptions!$G$10+1,Assumptions!$H$68*-BR60,0)</f>
        <v>-307.97707055347024</v>
      </c>
      <c r="BS85" s="123">
        <f ca="1">IF(BS10&lt;=Assumptions!$G$10+1,Assumptions!$H$68*-BS60,0)</f>
        <v>-307.97707055347024</v>
      </c>
      <c r="BT85" s="123">
        <f ca="1">IF(BT10&lt;=Assumptions!$G$10+1,Assumptions!$H$68*-BT60,0)</f>
        <v>-307.97707055347024</v>
      </c>
      <c r="BU85" s="123">
        <f ca="1">IF(BU10&lt;=Assumptions!$G$10+1,Assumptions!$H$68*-BU60,0)</f>
        <v>-307.97707055347024</v>
      </c>
      <c r="BV85" s="123">
        <f ca="1">IF(BV10&lt;=Assumptions!$G$10+1,Assumptions!$H$68*-BV60,0)</f>
        <v>-307.97707055347024</v>
      </c>
      <c r="BW85" s="123">
        <f ca="1">IF(BW10&lt;=Assumptions!$G$10+1,Assumptions!$H$68*-BW60,0)</f>
        <v>-307.97707055347024</v>
      </c>
      <c r="BX85" s="123">
        <f ca="1">IF(BX10&lt;=Assumptions!$G$10+1,Assumptions!$H$68*-BX60,0)</f>
        <v>-317.21638267007438</v>
      </c>
      <c r="BY85" s="123">
        <f ca="1">IF(BY10&lt;=Assumptions!$G$10+1,Assumptions!$H$68*-BY60,0)</f>
        <v>-317.21638267007438</v>
      </c>
      <c r="BZ85" s="123">
        <f ca="1">IF(BZ10&lt;=Assumptions!$G$10+1,Assumptions!$H$68*-BZ60,0)</f>
        <v>-317.21638267007438</v>
      </c>
      <c r="CA85" s="123">
        <f ca="1">IF(CA10&lt;=Assumptions!$G$10+1,Assumptions!$H$68*-CA60,0)</f>
        <v>-317.21638267007438</v>
      </c>
      <c r="CB85" s="123">
        <f ca="1">IF(CB10&lt;=Assumptions!$G$10+1,Assumptions!$H$68*-CB60,0)</f>
        <v>-317.21638267007438</v>
      </c>
      <c r="CC85" s="123">
        <f ca="1">IF(CC10&lt;=Assumptions!$G$10+1,Assumptions!$H$68*-CC60,0)</f>
        <v>-317.21638267007438</v>
      </c>
      <c r="CD85" s="123">
        <f ca="1">IF(CD10&lt;=Assumptions!$G$10+1,Assumptions!$H$68*-CD60,0)</f>
        <v>-317.21638267007438</v>
      </c>
      <c r="CE85" s="123">
        <f ca="1">IF(CE10&lt;=Assumptions!$G$10+1,Assumptions!$H$68*-CE60,0)</f>
        <v>-317.21638267007438</v>
      </c>
      <c r="CF85" s="123">
        <f ca="1">IF(CF10&lt;=Assumptions!$G$10+1,Assumptions!$H$68*-CF60,0)</f>
        <v>-317.21638267007438</v>
      </c>
      <c r="CG85" s="123">
        <f ca="1">IF(CG10&lt;=Assumptions!$G$10+1,Assumptions!$H$68*-CG60,0)</f>
        <v>-317.21638267007438</v>
      </c>
      <c r="CH85" s="123">
        <f ca="1">IF(CH10&lt;=Assumptions!$G$10+1,Assumptions!$H$68*-CH60,0)</f>
        <v>-317.21638267007438</v>
      </c>
      <c r="CI85" s="123">
        <f ca="1">IF(CI10&lt;=Assumptions!$G$10+1,Assumptions!$H$68*-CI60,0)</f>
        <v>-317.21638267007438</v>
      </c>
      <c r="CJ85" s="123">
        <f ca="1">IF(CJ10&lt;=Assumptions!$G$10+1,Assumptions!$H$68*-CJ60,0)</f>
        <v>-326.73287415017666</v>
      </c>
      <c r="CK85" s="123">
        <f ca="1">IF(CK10&lt;=Assumptions!$G$10+1,Assumptions!$H$68*-CK60,0)</f>
        <v>-326.73287415017666</v>
      </c>
      <c r="CL85" s="123">
        <f ca="1">IF(CL10&lt;=Assumptions!$G$10+1,Assumptions!$H$68*-CL60,0)</f>
        <v>-326.73287415017666</v>
      </c>
      <c r="CM85" s="123">
        <f ca="1">IF(CM10&lt;=Assumptions!$G$10+1,Assumptions!$H$68*-CM60,0)</f>
        <v>-326.73287415017666</v>
      </c>
      <c r="CN85" s="123">
        <f ca="1">IF(CN10&lt;=Assumptions!$G$10+1,Assumptions!$H$68*-CN60,0)</f>
        <v>-326.73287415017666</v>
      </c>
      <c r="CO85" s="123">
        <f ca="1">IF(CO10&lt;=Assumptions!$G$10+1,Assumptions!$H$68*-CO60,0)</f>
        <v>-326.73287415017666</v>
      </c>
      <c r="CP85" s="123">
        <f ca="1">IF(CP10&lt;=Assumptions!$G$10+1,Assumptions!$H$68*-CP60,0)</f>
        <v>-326.73287415017666</v>
      </c>
      <c r="CQ85" s="123">
        <f ca="1">IF(CQ10&lt;=Assumptions!$G$10+1,Assumptions!$H$68*-CQ60,0)</f>
        <v>-326.73287415017666</v>
      </c>
      <c r="CR85" s="123">
        <f ca="1">IF(CR10&lt;=Assumptions!$G$10+1,Assumptions!$H$68*-CR60,0)</f>
        <v>-326.73287415017666</v>
      </c>
      <c r="CS85" s="123">
        <f ca="1">IF(CS10&lt;=Assumptions!$G$10+1,Assumptions!$H$68*-CS60,0)</f>
        <v>-326.73287415017666</v>
      </c>
      <c r="CT85" s="123">
        <f ca="1">IF(CT10&lt;=Assumptions!$G$10+1,Assumptions!$H$68*-CT60,0)</f>
        <v>-326.73287415017666</v>
      </c>
      <c r="CU85" s="123">
        <f ca="1">IF(CU10&lt;=Assumptions!$G$10+1,Assumptions!$H$68*-CU60,0)</f>
        <v>-326.73287415017666</v>
      </c>
      <c r="CV85" s="123">
        <f ca="1">IF(CV10&lt;=Assumptions!$G$10+1,Assumptions!$H$68*-CV60,0)</f>
        <v>-336.53486037468195</v>
      </c>
      <c r="CW85" s="123">
        <f ca="1">IF(CW10&lt;=Assumptions!$G$10+1,Assumptions!$H$68*-CW60,0)</f>
        <v>-336.53486037468195</v>
      </c>
      <c r="CX85" s="123">
        <f ca="1">IF(CX10&lt;=Assumptions!$G$10+1,Assumptions!$H$68*-CX60,0)</f>
        <v>-336.53486037468195</v>
      </c>
      <c r="CY85" s="123">
        <f ca="1">IF(CY10&lt;=Assumptions!$G$10+1,Assumptions!$H$68*-CY60,0)</f>
        <v>-336.53486037468195</v>
      </c>
      <c r="CZ85" s="123">
        <f ca="1">IF(CZ10&lt;=Assumptions!$G$10+1,Assumptions!$H$68*-CZ60,0)</f>
        <v>-336.53486037468195</v>
      </c>
      <c r="DA85" s="123">
        <f ca="1">IF(DA10&lt;=Assumptions!$G$10+1,Assumptions!$H$68*-DA60,0)</f>
        <v>-336.53486037468195</v>
      </c>
      <c r="DB85" s="123">
        <f ca="1">IF(DB10&lt;=Assumptions!$G$10+1,Assumptions!$H$68*-DB60,0)</f>
        <v>-336.53486037468195</v>
      </c>
      <c r="DC85" s="123">
        <f ca="1">IF(DC10&lt;=Assumptions!$G$10+1,Assumptions!$H$68*-DC60,0)</f>
        <v>-336.53486037468195</v>
      </c>
      <c r="DD85" s="123">
        <f ca="1">IF(DD10&lt;=Assumptions!$G$10+1,Assumptions!$H$68*-DD60,0)</f>
        <v>-336.53486037468195</v>
      </c>
      <c r="DE85" s="123">
        <f ca="1">IF(DE10&lt;=Assumptions!$G$10+1,Assumptions!$H$68*-DE60,0)</f>
        <v>-336.53486037468195</v>
      </c>
      <c r="DF85" s="123">
        <f ca="1">IF(DF10&lt;=Assumptions!$G$10+1,Assumptions!$H$68*-DF60,0)</f>
        <v>-336.53486037468195</v>
      </c>
      <c r="DG85" s="123">
        <f ca="1">IF(DG10&lt;=Assumptions!$G$10+1,Assumptions!$H$68*-DG60,0)</f>
        <v>-336.53486037468195</v>
      </c>
      <c r="DH85" s="123">
        <f ca="1">IF(DH10&lt;=Assumptions!$G$10+1,Assumptions!$H$68*-DH60,0)</f>
        <v>-346.63090618592236</v>
      </c>
      <c r="DI85" s="123">
        <f>IF(DI10&lt;=Assumptions!$G$10+1,Assumptions!$H$68*-DI60,0)</f>
        <v>0</v>
      </c>
      <c r="DJ85" s="123">
        <f>IF(DJ10&lt;=Assumptions!$G$10+1,Assumptions!$H$68*-DJ60,0)</f>
        <v>0</v>
      </c>
      <c r="DK85" s="123">
        <f>IF(DK10&lt;=Assumptions!$G$10+1,Assumptions!$H$68*-DK60,0)</f>
        <v>0</v>
      </c>
      <c r="DL85" s="123">
        <f>IF(DL10&lt;=Assumptions!$G$10+1,Assumptions!$H$68*-DL60,0)</f>
        <v>0</v>
      </c>
      <c r="DM85" s="123">
        <f>IF(DM10&lt;=Assumptions!$G$10+1,Assumptions!$H$68*-DM60,0)</f>
        <v>0</v>
      </c>
      <c r="DN85" s="123">
        <f>IF(DN10&lt;=Assumptions!$G$10+1,Assumptions!$H$68*-DN60,0)</f>
        <v>0</v>
      </c>
      <c r="DO85" s="123">
        <f>IF(DO10&lt;=Assumptions!$G$10+1,Assumptions!$H$68*-DO60,0)</f>
        <v>0</v>
      </c>
      <c r="DP85" s="123">
        <f>IF(DP10&lt;=Assumptions!$G$10+1,Assumptions!$H$68*-DP60,0)</f>
        <v>0</v>
      </c>
      <c r="DQ85" s="123">
        <f>IF(DQ10&lt;=Assumptions!$G$10+1,Assumptions!$H$68*-DQ60,0)</f>
        <v>0</v>
      </c>
      <c r="DR85" s="123">
        <f>IF(DR10&lt;=Assumptions!$G$10+1,Assumptions!$H$68*-DR60,0)</f>
        <v>0</v>
      </c>
      <c r="DS85" s="123">
        <f>IF(DS10&lt;=Assumptions!$G$10+1,Assumptions!$H$68*-DS60,0)</f>
        <v>0</v>
      </c>
      <c r="DT85" s="123">
        <f>IF(DT10&lt;=Assumptions!$G$10+1,Assumptions!$H$68*-DT60,0)</f>
        <v>0</v>
      </c>
      <c r="DU85" s="123">
        <f>IF(DU10&lt;=Assumptions!$G$10+1,Assumptions!$H$68*-DU60,0)</f>
        <v>0</v>
      </c>
      <c r="DV85" s="123">
        <f>IF(DV10&lt;=Assumptions!$G$10+1,Assumptions!$H$68*-DV60,0)</f>
        <v>0</v>
      </c>
      <c r="DW85" s="123">
        <f>IF(DW10&lt;=Assumptions!$G$10+1,Assumptions!$H$68*-DW60,0)</f>
        <v>0</v>
      </c>
      <c r="DX85" s="123">
        <f>IF(DX10&lt;=Assumptions!$G$10+1,Assumptions!$H$68*-DX60,0)</f>
        <v>0</v>
      </c>
      <c r="DY85" s="123">
        <f>IF(DY10&lt;=Assumptions!$G$10+1,Assumptions!$H$68*-DY60,0)</f>
        <v>0</v>
      </c>
      <c r="DZ85" s="123">
        <f>IF(DZ10&lt;=Assumptions!$G$10+1,Assumptions!$H$68*-DZ60,0)</f>
        <v>0</v>
      </c>
      <c r="EA85" s="123">
        <f>IF(EA10&lt;=Assumptions!$G$10+1,Assumptions!$H$68*-EA60,0)</f>
        <v>0</v>
      </c>
      <c r="EB85" s="123">
        <f>IF(EB10&lt;=Assumptions!$G$10+1,Assumptions!$H$68*-EB60,0)</f>
        <v>0</v>
      </c>
      <c r="EC85" s="123">
        <f>IF(EC10&lt;=Assumptions!$G$10+1,Assumptions!$H$68*-EC60,0)</f>
        <v>0</v>
      </c>
      <c r="ED85" s="123">
        <f>IF(ED10&lt;=Assumptions!$G$10+1,Assumptions!$H$68*-ED60,0)</f>
        <v>0</v>
      </c>
      <c r="EE85" s="123">
        <f>IF(EE10&lt;=Assumptions!$G$10+1,Assumptions!$H$68*-EE60,0)</f>
        <v>0</v>
      </c>
      <c r="EF85" s="123">
        <f>IF(EF10&lt;=Assumptions!$G$10+1,Assumptions!$H$68*-EF60,0)</f>
        <v>0</v>
      </c>
      <c r="EG85" s="123">
        <f>IF(EG10&lt;=Assumptions!$G$10+1,Assumptions!$H$68*-EG60,0)</f>
        <v>0</v>
      </c>
      <c r="EH85" s="123">
        <f>IF(EH10&lt;=Assumptions!$G$10+1,Assumptions!$H$68*-EH60,0)</f>
        <v>0</v>
      </c>
      <c r="EI85" s="123">
        <f>IF(EI10&lt;=Assumptions!$G$10+1,Assumptions!$H$68*-EI60,0)</f>
        <v>0</v>
      </c>
      <c r="EJ85" s="123">
        <f>IF(EJ10&lt;=Assumptions!$G$10+1,Assumptions!$H$68*-EJ60,0)</f>
        <v>0</v>
      </c>
      <c r="EK85" s="123">
        <f>IF(EK10&lt;=Assumptions!$G$10+1,Assumptions!$H$68*-EK60,0)</f>
        <v>0</v>
      </c>
      <c r="EL85" s="123">
        <f>IF(EL10&lt;=Assumptions!$G$10+1,Assumptions!$H$68*-EL60,0)</f>
        <v>0</v>
      </c>
      <c r="EM85" s="123">
        <f>IF(EM10&lt;=Assumptions!$G$10+1,Assumptions!$H$68*-EM60,0)</f>
        <v>0</v>
      </c>
      <c r="EN85" s="123">
        <f>IF(EN10&lt;=Assumptions!$G$10+1,Assumptions!$H$68*-EN60,0)</f>
        <v>0</v>
      </c>
      <c r="EO85" s="123">
        <f>IF(EO10&lt;=Assumptions!$G$10+1,Assumptions!$H$68*-EO60,0)</f>
        <v>0</v>
      </c>
      <c r="EP85" s="123">
        <f>IF(EP10&lt;=Assumptions!$G$10+1,Assumptions!$H$68*-EP60,0)</f>
        <v>0</v>
      </c>
      <c r="EQ85" s="123">
        <f>IF(EQ10&lt;=Assumptions!$G$10+1,Assumptions!$H$68*-EQ60,0)</f>
        <v>0</v>
      </c>
      <c r="ES85" s="421"/>
      <c r="ET85" s="98"/>
      <c r="EU85" s="98"/>
    </row>
    <row r="86" spans="2:151" ht="9" customHeight="1">
      <c r="G86" s="145"/>
      <c r="H86" s="508"/>
      <c r="I86" s="97"/>
      <c r="J86" s="220"/>
      <c r="K86" s="116"/>
      <c r="L86" s="102"/>
      <c r="M86" s="102"/>
      <c r="N86" s="220"/>
      <c r="O86" s="780"/>
      <c r="P86" s="103"/>
      <c r="Q86" s="133"/>
      <c r="R86" s="133"/>
      <c r="S86" s="134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  <c r="CQ86" s="133"/>
      <c r="CR86" s="133"/>
      <c r="CS86" s="133"/>
      <c r="CT86" s="133"/>
      <c r="CU86" s="133"/>
      <c r="CV86" s="133"/>
      <c r="CW86" s="133"/>
      <c r="CX86" s="133"/>
      <c r="CY86" s="133"/>
      <c r="CZ86" s="133"/>
      <c r="DA86" s="133"/>
      <c r="DB86" s="133"/>
      <c r="DC86" s="133"/>
      <c r="DD86" s="133"/>
      <c r="DE86" s="133"/>
      <c r="DF86" s="133"/>
      <c r="DG86" s="133"/>
      <c r="DH86" s="133"/>
      <c r="DI86" s="133"/>
      <c r="DJ86" s="133"/>
      <c r="DK86" s="133"/>
      <c r="DL86" s="133"/>
      <c r="DM86" s="133"/>
      <c r="DN86" s="133"/>
      <c r="DO86" s="133"/>
      <c r="DP86" s="133"/>
      <c r="DQ86" s="133"/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  <c r="ES86" s="421"/>
      <c r="ET86" s="98"/>
      <c r="EU86" s="98"/>
    </row>
    <row r="87" spans="2:151" ht="15.75">
      <c r="G87" s="485" t="s">
        <v>35</v>
      </c>
      <c r="H87" s="145"/>
      <c r="I87" s="97"/>
      <c r="J87" s="509"/>
      <c r="K87" s="122"/>
      <c r="L87" s="123"/>
      <c r="M87" s="123"/>
      <c r="N87" s="223">
        <f>SUM(N80:N86)</f>
        <v>189070</v>
      </c>
      <c r="O87" s="785"/>
      <c r="P87" s="104">
        <f ca="1">IF(P10&lt;=Assumptions!$G$10+1,SUM(P80:P86),0)</f>
        <v>16044.999558333333</v>
      </c>
      <c r="Q87" s="104">
        <f ca="1">IF(Q10&lt;=Assumptions!$G$10+1,SUM(Q80:Q86),0)</f>
        <v>7777.5515583333354</v>
      </c>
      <c r="R87" s="104">
        <f ca="1">IF(R10&lt;=Assumptions!$G$10+1,SUM(R80:R86),0)</f>
        <v>-17792.240441666661</v>
      </c>
      <c r="S87" s="104">
        <f ca="1">IF(S10&lt;=Assumptions!$G$10+1,SUM(S80:S86),0)</f>
        <v>-29129.480441666663</v>
      </c>
      <c r="T87" s="104">
        <f ca="1">IF(T10&lt;=Assumptions!$G$10+1,SUM(T80:T86),0)</f>
        <v>9252.3203361111136</v>
      </c>
      <c r="U87" s="104">
        <f ca="1">IF(U10&lt;=Assumptions!$G$10+1,SUM(U80:U86),0)</f>
        <v>12779.523447222224</v>
      </c>
      <c r="V87" s="104">
        <f ca="1">IF(V10&lt;=Assumptions!$G$10+1,SUM(V80:V86),0)</f>
        <v>17188.527336111114</v>
      </c>
      <c r="W87" s="104">
        <f ca="1">IF(W10&lt;=Assumptions!$G$10+1,SUM(W80:W86),0)</f>
        <v>17188.527336111114</v>
      </c>
      <c r="X87" s="104">
        <f ca="1">IF(X10&lt;=Assumptions!$G$10+1,SUM(X80:X86),0)</f>
        <v>17188.527336111114</v>
      </c>
      <c r="Y87" s="104">
        <f ca="1">IF(Y10&lt;=Assumptions!$G$10+1,SUM(Y80:Y86),0)</f>
        <v>17188.527336111114</v>
      </c>
      <c r="Z87" s="104">
        <f ca="1">IF(Z10&lt;=Assumptions!$G$10+1,SUM(Z80:Z86),0)</f>
        <v>17188.527336111114</v>
      </c>
      <c r="AA87" s="104">
        <f ca="1">IF(AA10&lt;=Assumptions!$G$10+1,SUM(AA80:AA86),0)</f>
        <v>17188.527336111114</v>
      </c>
      <c r="AB87" s="104">
        <f ca="1">IF(AB10&lt;=Assumptions!$G$10+1,SUM(AB80:AB86),0)</f>
        <v>-24484.515580623007</v>
      </c>
      <c r="AC87" s="104">
        <f ca="1">IF(AC10&lt;=Assumptions!$G$10+1,SUM(AC80:AC86),0)</f>
        <v>-28502.105860623004</v>
      </c>
      <c r="AD87" s="104">
        <f ca="1">IF(AD10&lt;=Assumptions!$G$10+1,SUM(AD80:AD86),0)</f>
        <v>10122.894139376996</v>
      </c>
      <c r="AE87" s="104">
        <f ca="1">IF(AE10&lt;=Assumptions!$G$10+1,SUM(AE80:AE86),0)</f>
        <v>-27888.194485467451</v>
      </c>
      <c r="AF87" s="104">
        <f ca="1">IF(AF10&lt;=Assumptions!$G$10+1,SUM(AF80:AF86),0)</f>
        <v>15368.307169688105</v>
      </c>
      <c r="AG87" s="104">
        <f ca="1">IF(AG10&lt;=Assumptions!$G$10+1,SUM(AG80:AG86),0)</f>
        <v>15368.307169688105</v>
      </c>
      <c r="AH87" s="104">
        <f ca="1">IF(AH10&lt;=Assumptions!$G$10+1,SUM(AH80:AH86),0)</f>
        <v>19999.808824843662</v>
      </c>
      <c r="AI87" s="104">
        <f ca="1">IF(AI10&lt;=Assumptions!$G$10+1,SUM(AI80:AI86),0)</f>
        <v>19999.808824843662</v>
      </c>
      <c r="AJ87" s="104">
        <f ca="1">IF(AJ10&lt;=Assumptions!$G$10+1,SUM(AJ80:AJ86),0)</f>
        <v>19999.808824843662</v>
      </c>
      <c r="AK87" s="104">
        <f ca="1">IF(AK10&lt;=Assumptions!$G$10+1,SUM(AK80:AK86),0)</f>
        <v>19999.808824843662</v>
      </c>
      <c r="AL87" s="104">
        <f ca="1">IF(AL10&lt;=Assumptions!$G$10+1,SUM(AL80:AL86),0)</f>
        <v>19999.808824843662</v>
      </c>
      <c r="AM87" s="104">
        <f ca="1">IF(AM10&lt;=Assumptions!$G$10+1,SUM(AM80:AM86),0)</f>
        <v>19999.808824843662</v>
      </c>
      <c r="AN87" s="104">
        <f ca="1">IF(AN10&lt;=Assumptions!$G$10+1,SUM(AN80:AN86),0)</f>
        <v>21057.700749472428</v>
      </c>
      <c r="AO87" s="104">
        <f ca="1">IF(AO10&lt;=Assumptions!$G$10+1,SUM(AO80:AO86),0)</f>
        <v>21057.700749472428</v>
      </c>
      <c r="AP87" s="104">
        <f ca="1">IF(AP10&lt;=Assumptions!$G$10+1,SUM(AP80:AP86),0)</f>
        <v>21057.700749472428</v>
      </c>
      <c r="AQ87" s="104">
        <f ca="1">IF(AQ10&lt;=Assumptions!$G$10+1,SUM(AQ80:AQ86),0)</f>
        <v>-14134.432869055574</v>
      </c>
      <c r="AR87" s="104">
        <f ca="1">IF(AR10&lt;=Assumptions!$G$10+1,SUM(AR80:AR86),0)</f>
        <v>17692.567130944426</v>
      </c>
      <c r="AS87" s="104">
        <f ca="1">IF(AS10&lt;=Assumptions!$G$10+1,SUM(AS80:AS86),0)</f>
        <v>8894.5337263124293</v>
      </c>
      <c r="AT87" s="104">
        <f ca="1">IF(AT10&lt;=Assumptions!$G$10+1,SUM(AT80:AT86),0)</f>
        <v>20729.276845715161</v>
      </c>
      <c r="AU87" s="104">
        <f ca="1">IF(AU10&lt;=Assumptions!$G$10+1,SUM(AU80:AU86),0)</f>
        <v>20729.276845715161</v>
      </c>
      <c r="AV87" s="104">
        <f ca="1">IF(AV10&lt;=Assumptions!$G$10+1,SUM(AV80:AV86),0)</f>
        <v>21698.775125565851</v>
      </c>
      <c r="AW87" s="104">
        <f ca="1">IF(AW10&lt;=Assumptions!$G$10+1,SUM(AW80:AW86),0)</f>
        <v>21698.775125565851</v>
      </c>
      <c r="AX87" s="104">
        <f ca="1">IF(AX10&lt;=Assumptions!$G$10+1,SUM(AX80:AX86),0)</f>
        <v>21698.775125565851</v>
      </c>
      <c r="AY87" s="104">
        <f ca="1">IF(AY10&lt;=Assumptions!$G$10+1,SUM(AY80:AY86),0)</f>
        <v>21698.775125565851</v>
      </c>
      <c r="AZ87" s="104">
        <f ca="1">IF(AZ10&lt;=Assumptions!$G$10+1,SUM(AZ80:AZ86),0)</f>
        <v>22435.957595024516</v>
      </c>
      <c r="BA87" s="104">
        <f ca="1">IF(BA10&lt;=Assumptions!$G$10+1,SUM(BA80:BA86),0)</f>
        <v>22435.957595024516</v>
      </c>
      <c r="BB87" s="104">
        <f ca="1">IF(BB10&lt;=Assumptions!$G$10+1,SUM(BB80:BB86),0)</f>
        <v>22435.957595024516</v>
      </c>
      <c r="BC87" s="104">
        <f ca="1">IF(BC10&lt;=Assumptions!$G$10+1,SUM(BC80:BC86),0)</f>
        <v>22435.957595024516</v>
      </c>
      <c r="BD87" s="104">
        <f ca="1">IF(BD10&lt;=Assumptions!$G$10+1,SUM(BD80:BD86),0)</f>
        <v>22435.957595024516</v>
      </c>
      <c r="BE87" s="104">
        <f ca="1">IF(BE10&lt;=Assumptions!$G$10+1,SUM(BE80:BE86),0)</f>
        <v>22435.957595024516</v>
      </c>
      <c r="BF87" s="104">
        <f ca="1">IF(BF10&lt;=Assumptions!$G$10+1,SUM(BF80:BF86),0)</f>
        <v>22435.957595024516</v>
      </c>
      <c r="BG87" s="104">
        <f ca="1">IF(BG10&lt;=Assumptions!$G$10+1,SUM(BG80:BG86),0)</f>
        <v>22435.957595024516</v>
      </c>
      <c r="BH87" s="104">
        <f ca="1">IF(BH10&lt;=Assumptions!$G$10+1,SUM(BH80:BH86),0)</f>
        <v>22435.957595024516</v>
      </c>
      <c r="BI87" s="104">
        <f ca="1">IF(BI10&lt;=Assumptions!$G$10+1,SUM(BI80:BI86),0)</f>
        <v>22435.957595024516</v>
      </c>
      <c r="BJ87" s="104">
        <f ca="1">IF(BJ10&lt;=Assumptions!$G$10+1,SUM(BJ80:BJ86),0)</f>
        <v>22435.957595024516</v>
      </c>
      <c r="BK87" s="104">
        <f ca="1">IF(BK10&lt;=Assumptions!$G$10+1,SUM(BK80:BK86),0)</f>
        <v>22435.957595024516</v>
      </c>
      <c r="BL87" s="104">
        <f ca="1">IF(BL10&lt;=Assumptions!$G$10+1,SUM(BL80:BL86),0)</f>
        <v>23019.971873065722</v>
      </c>
      <c r="BM87" s="104">
        <f ca="1">IF(BM10&lt;=Assumptions!$G$10+1,SUM(BM80:BM86),0)</f>
        <v>23019.971873065722</v>
      </c>
      <c r="BN87" s="104">
        <f ca="1">IF(BN10&lt;=Assumptions!$G$10+1,SUM(BN80:BN86),0)</f>
        <v>23019.971873065722</v>
      </c>
      <c r="BO87" s="104">
        <f ca="1">IF(BO10&lt;=Assumptions!$G$10+1,SUM(BO80:BO86),0)</f>
        <v>23019.971873065722</v>
      </c>
      <c r="BP87" s="104">
        <f ca="1">IF(BP10&lt;=Assumptions!$G$10+1,SUM(BP80:BP86),0)</f>
        <v>23019.971873065722</v>
      </c>
      <c r="BQ87" s="104">
        <f ca="1">IF(BQ10&lt;=Assumptions!$G$10+1,SUM(BQ80:BQ86),0)</f>
        <v>23019.971873065722</v>
      </c>
      <c r="BR87" s="104">
        <f ca="1">IF(BR10&lt;=Assumptions!$G$10+1,SUM(BR80:BR86),0)</f>
        <v>23019.971873065722</v>
      </c>
      <c r="BS87" s="104">
        <f ca="1">IF(BS10&lt;=Assumptions!$G$10+1,SUM(BS80:BS86),0)</f>
        <v>23019.971873065722</v>
      </c>
      <c r="BT87" s="104">
        <f ca="1">IF(BT10&lt;=Assumptions!$G$10+1,SUM(BT80:BT86),0)</f>
        <v>23019.971873065722</v>
      </c>
      <c r="BU87" s="104">
        <f ca="1">IF(BU10&lt;=Assumptions!$G$10+1,SUM(BU80:BU86),0)</f>
        <v>23019.971873065722</v>
      </c>
      <c r="BV87" s="104">
        <f ca="1">IF(BV10&lt;=Assumptions!$G$10+1,SUM(BV80:BV86),0)</f>
        <v>23019.971873065722</v>
      </c>
      <c r="BW87" s="104">
        <f ca="1">IF(BW10&lt;=Assumptions!$G$10+1,SUM(BW80:BW86),0)</f>
        <v>23019.971873065722</v>
      </c>
      <c r="BX87" s="104">
        <f ca="1">IF(BX10&lt;=Assumptions!$G$10+1,SUM(BX80:BX86),0)</f>
        <v>23710.571029257695</v>
      </c>
      <c r="BY87" s="104">
        <f ca="1">IF(BY10&lt;=Assumptions!$G$10+1,SUM(BY80:BY86),0)</f>
        <v>23710.571029257695</v>
      </c>
      <c r="BZ87" s="104">
        <f ca="1">IF(BZ10&lt;=Assumptions!$G$10+1,SUM(BZ80:BZ86),0)</f>
        <v>23710.571029257695</v>
      </c>
      <c r="CA87" s="104">
        <f ca="1">IF(CA10&lt;=Assumptions!$G$10+1,SUM(CA80:CA86),0)</f>
        <v>23710.571029257695</v>
      </c>
      <c r="CB87" s="104">
        <f ca="1">IF(CB10&lt;=Assumptions!$G$10+1,SUM(CB80:CB86),0)</f>
        <v>23710.571029257695</v>
      </c>
      <c r="CC87" s="104">
        <f ca="1">IF(CC10&lt;=Assumptions!$G$10+1,SUM(CC80:CC86),0)</f>
        <v>23710.571029257695</v>
      </c>
      <c r="CD87" s="104">
        <f ca="1">IF(CD10&lt;=Assumptions!$G$10+1,SUM(CD80:CD86),0)</f>
        <v>23710.571029257695</v>
      </c>
      <c r="CE87" s="104">
        <f ca="1">IF(CE10&lt;=Assumptions!$G$10+1,SUM(CE80:CE86),0)</f>
        <v>23710.571029257695</v>
      </c>
      <c r="CF87" s="104">
        <f ca="1">IF(CF10&lt;=Assumptions!$G$10+1,SUM(CF80:CF86),0)</f>
        <v>23710.571029257695</v>
      </c>
      <c r="CG87" s="104">
        <f ca="1">IF(CG10&lt;=Assumptions!$G$10+1,SUM(CG80:CG86),0)</f>
        <v>23710.571029257695</v>
      </c>
      <c r="CH87" s="104">
        <f ca="1">IF(CH10&lt;=Assumptions!$G$10+1,SUM(CH80:CH86),0)</f>
        <v>23710.571029257695</v>
      </c>
      <c r="CI87" s="104">
        <f ca="1">IF(CI10&lt;=Assumptions!$G$10+1,SUM(CI80:CI86),0)</f>
        <v>23710.571029257695</v>
      </c>
      <c r="CJ87" s="104">
        <f ca="1">IF(CJ10&lt;=Assumptions!$G$10+1,SUM(CJ80:CJ86),0)</f>
        <v>24421.88816013543</v>
      </c>
      <c r="CK87" s="104">
        <f ca="1">IF(CK10&lt;=Assumptions!$G$10+1,SUM(CK80:CK86),0)</f>
        <v>24421.88816013543</v>
      </c>
      <c r="CL87" s="104">
        <f ca="1">IF(CL10&lt;=Assumptions!$G$10+1,SUM(CL80:CL86),0)</f>
        <v>24421.88816013543</v>
      </c>
      <c r="CM87" s="104">
        <f ca="1">IF(CM10&lt;=Assumptions!$G$10+1,SUM(CM80:CM86),0)</f>
        <v>24421.88816013543</v>
      </c>
      <c r="CN87" s="104">
        <f ca="1">IF(CN10&lt;=Assumptions!$G$10+1,SUM(CN80:CN86),0)</f>
        <v>24421.88816013543</v>
      </c>
      <c r="CO87" s="104">
        <f ca="1">IF(CO10&lt;=Assumptions!$G$10+1,SUM(CO80:CO86),0)</f>
        <v>24421.88816013543</v>
      </c>
      <c r="CP87" s="104">
        <f ca="1">IF(CP10&lt;=Assumptions!$G$10+1,SUM(CP80:CP86),0)</f>
        <v>24421.88816013543</v>
      </c>
      <c r="CQ87" s="104">
        <f ca="1">IF(CQ10&lt;=Assumptions!$G$10+1,SUM(CQ80:CQ86),0)</f>
        <v>24421.88816013543</v>
      </c>
      <c r="CR87" s="104">
        <f ca="1">IF(CR10&lt;=Assumptions!$G$10+1,SUM(CR80:CR86),0)</f>
        <v>24421.88816013543</v>
      </c>
      <c r="CS87" s="104">
        <f ca="1">IF(CS10&lt;=Assumptions!$G$10+1,SUM(CS80:CS86),0)</f>
        <v>24421.88816013543</v>
      </c>
      <c r="CT87" s="104">
        <f ca="1">IF(CT10&lt;=Assumptions!$G$10+1,SUM(CT80:CT86),0)</f>
        <v>24421.88816013543</v>
      </c>
      <c r="CU87" s="104">
        <f ca="1">IF(CU10&lt;=Assumptions!$G$10+1,SUM(CU80:CU86),0)</f>
        <v>24421.88816013543</v>
      </c>
      <c r="CV87" s="104">
        <f ca="1">IF(CV10&lt;=Assumptions!$G$10+1,SUM(CV80:CV86),0)</f>
        <v>25154.544804939494</v>
      </c>
      <c r="CW87" s="104">
        <f ca="1">IF(CW10&lt;=Assumptions!$G$10+1,SUM(CW80:CW86),0)</f>
        <v>25154.544804939494</v>
      </c>
      <c r="CX87" s="104">
        <f ca="1">IF(CX10&lt;=Assumptions!$G$10+1,SUM(CX80:CX86),0)</f>
        <v>25154.544804939494</v>
      </c>
      <c r="CY87" s="104">
        <f ca="1">IF(CY10&lt;=Assumptions!$G$10+1,SUM(CY80:CY86),0)</f>
        <v>25154.544804939494</v>
      </c>
      <c r="CZ87" s="104">
        <f ca="1">IF(CZ10&lt;=Assumptions!$G$10+1,SUM(CZ80:CZ86),0)</f>
        <v>25154.544804939494</v>
      </c>
      <c r="DA87" s="104">
        <f ca="1">IF(DA10&lt;=Assumptions!$G$10+1,SUM(DA80:DA86),0)</f>
        <v>25154.544804939494</v>
      </c>
      <c r="DB87" s="104">
        <f ca="1">IF(DB10&lt;=Assumptions!$G$10+1,SUM(DB80:DB86),0)</f>
        <v>25154.544804939494</v>
      </c>
      <c r="DC87" s="104">
        <f ca="1">IF(DC10&lt;=Assumptions!$G$10+1,SUM(DC80:DC86),0)</f>
        <v>25154.544804939494</v>
      </c>
      <c r="DD87" s="104">
        <f ca="1">IF(DD10&lt;=Assumptions!$G$10+1,SUM(DD80:DD86),0)</f>
        <v>25154.544804939494</v>
      </c>
      <c r="DE87" s="104">
        <f ca="1">IF(DE10&lt;=Assumptions!$G$10+1,SUM(DE80:DE86),0)</f>
        <v>25154.544804939494</v>
      </c>
      <c r="DF87" s="104">
        <f ca="1">IF(DF10&lt;=Assumptions!$G$10+1,SUM(DF80:DF86),0)</f>
        <v>25154.544804939494</v>
      </c>
      <c r="DG87" s="104">
        <f ca="1">IF(DG10&lt;=Assumptions!$G$10+1,SUM(DG80:DG86),0)</f>
        <v>25154.544804939494</v>
      </c>
      <c r="DH87" s="104">
        <f ca="1">IF(DH10&lt;=Assumptions!$G$10+1,SUM(DH80:DH86),0)</f>
        <v>25909.181149087675</v>
      </c>
      <c r="DI87" s="104">
        <f>IF(DI10&lt;=Assumptions!$G$10+1,SUM(DI80:DI86),0)</f>
        <v>0</v>
      </c>
      <c r="DJ87" s="104">
        <f>IF(DJ10&lt;=Assumptions!$G$10+1,SUM(DJ80:DJ86),0)</f>
        <v>0</v>
      </c>
      <c r="DK87" s="104">
        <f>IF(DK10&lt;=Assumptions!$G$10+1,SUM(DK80:DK86),0)</f>
        <v>0</v>
      </c>
      <c r="DL87" s="104">
        <f>IF(DL10&lt;=Assumptions!$G$10+1,SUM(DL80:DL86),0)</f>
        <v>0</v>
      </c>
      <c r="DM87" s="104">
        <f>IF(DM10&lt;=Assumptions!$G$10+1,SUM(DM80:DM86),0)</f>
        <v>0</v>
      </c>
      <c r="DN87" s="104">
        <f>IF(DN10&lt;=Assumptions!$G$10+1,SUM(DN80:DN86),0)</f>
        <v>0</v>
      </c>
      <c r="DO87" s="104">
        <f>IF(DO10&lt;=Assumptions!$G$10+1,SUM(DO80:DO86),0)</f>
        <v>0</v>
      </c>
      <c r="DP87" s="104">
        <f>IF(DP10&lt;=Assumptions!$G$10+1,SUM(DP80:DP86),0)</f>
        <v>0</v>
      </c>
      <c r="DQ87" s="104">
        <f>IF(DQ10&lt;=Assumptions!$G$10+1,SUM(DQ80:DQ86),0)</f>
        <v>0</v>
      </c>
      <c r="DR87" s="104">
        <f>IF(DR10&lt;=Assumptions!$G$10+1,SUM(DR80:DR86),0)</f>
        <v>0</v>
      </c>
      <c r="DS87" s="104">
        <f>IF(DS10&lt;=Assumptions!$G$10+1,SUM(DS80:DS86),0)</f>
        <v>0</v>
      </c>
      <c r="DT87" s="104">
        <f>IF(DT10&lt;=Assumptions!$G$10+1,SUM(DT80:DT86),0)</f>
        <v>0</v>
      </c>
      <c r="DU87" s="104">
        <f>IF(DU10&lt;=Assumptions!$G$10+1,SUM(DU80:DU86),0)</f>
        <v>0</v>
      </c>
      <c r="DV87" s="104">
        <f>IF(DV10&lt;=Assumptions!$G$10+1,SUM(DV80:DV86),0)</f>
        <v>0</v>
      </c>
      <c r="DW87" s="104">
        <f>IF(DW10&lt;=Assumptions!$G$10+1,SUM(DW80:DW86),0)</f>
        <v>0</v>
      </c>
      <c r="DX87" s="104">
        <f>IF(DX10&lt;=Assumptions!$G$10+1,SUM(DX80:DX86),0)</f>
        <v>0</v>
      </c>
      <c r="DY87" s="104">
        <f>IF(DY10&lt;=Assumptions!$G$10+1,SUM(DY80:DY86),0)</f>
        <v>0</v>
      </c>
      <c r="DZ87" s="104">
        <f>IF(DZ10&lt;=Assumptions!$G$10+1,SUM(DZ80:DZ86),0)</f>
        <v>0</v>
      </c>
      <c r="EA87" s="104">
        <f>IF(EA10&lt;=Assumptions!$G$10+1,SUM(EA80:EA86),0)</f>
        <v>0</v>
      </c>
      <c r="EB87" s="104">
        <f>IF(EB10&lt;=Assumptions!$G$10+1,SUM(EB80:EB86),0)</f>
        <v>0</v>
      </c>
      <c r="EC87" s="104">
        <f>IF(EC10&lt;=Assumptions!$G$10+1,SUM(EC80:EC86),0)</f>
        <v>0</v>
      </c>
      <c r="ED87" s="104">
        <f>IF(ED10&lt;=Assumptions!$G$10+1,SUM(ED80:ED86),0)</f>
        <v>0</v>
      </c>
      <c r="EE87" s="104">
        <f>IF(EE10&lt;=Assumptions!$G$10+1,SUM(EE80:EE86),0)</f>
        <v>0</v>
      </c>
      <c r="EF87" s="104">
        <f>IF(EF10&lt;=Assumptions!$G$10+1,SUM(EF80:EF86),0)</f>
        <v>0</v>
      </c>
      <c r="EG87" s="104">
        <f>IF(EG10&lt;=Assumptions!$G$10+1,SUM(EG80:EG86),0)</f>
        <v>0</v>
      </c>
      <c r="EH87" s="104">
        <f>IF(EH10&lt;=Assumptions!$G$10+1,SUM(EH80:EH86),0)</f>
        <v>0</v>
      </c>
      <c r="EI87" s="104">
        <f>IF(EI10&lt;=Assumptions!$G$10+1,SUM(EI80:EI86),0)</f>
        <v>0</v>
      </c>
      <c r="EJ87" s="104">
        <f>IF(EJ10&lt;=Assumptions!$G$10+1,SUM(EJ80:EJ86),0)</f>
        <v>0</v>
      </c>
      <c r="EK87" s="104">
        <f>IF(EK10&lt;=Assumptions!$G$10+1,SUM(EK80:EK86),0)</f>
        <v>0</v>
      </c>
      <c r="EL87" s="104">
        <f>IF(EL10&lt;=Assumptions!$G$10+1,SUM(EL80:EL86),0)</f>
        <v>0</v>
      </c>
      <c r="EM87" s="104">
        <f>IF(EM10&lt;=Assumptions!$G$10+1,SUM(EM80:EM86),0)</f>
        <v>0</v>
      </c>
      <c r="EN87" s="104">
        <f>IF(EN10&lt;=Assumptions!$G$10+1,SUM(EN80:EN86),0)</f>
        <v>0</v>
      </c>
      <c r="EO87" s="104">
        <f>IF(EO10&lt;=Assumptions!$G$10+1,SUM(EO80:EO86),0)</f>
        <v>0</v>
      </c>
      <c r="EP87" s="104">
        <f>IF(EP10&lt;=Assumptions!$G$10+1,SUM(EP80:EP86),0)</f>
        <v>0</v>
      </c>
      <c r="EQ87" s="104">
        <f>IF(EQ10&lt;=Assumptions!$G$10+1,SUM(EQ80:EQ86),0)</f>
        <v>0</v>
      </c>
      <c r="ES87" s="421"/>
      <c r="ET87" s="98"/>
      <c r="EU87" s="98"/>
    </row>
    <row r="88" spans="2:151" ht="6.75" customHeight="1">
      <c r="G88" s="94"/>
      <c r="H88" s="117"/>
      <c r="I88" s="95"/>
      <c r="J88" s="102"/>
      <c r="K88" s="102"/>
      <c r="L88" s="102"/>
      <c r="M88" s="102"/>
      <c r="N88" s="102"/>
      <c r="O88" s="102"/>
      <c r="P88" s="102"/>
      <c r="Q88" s="104"/>
      <c r="R88" s="104"/>
      <c r="S88" s="105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  <c r="CH88" s="104"/>
      <c r="CI88" s="104"/>
      <c r="CJ88" s="104"/>
      <c r="CK88" s="104"/>
      <c r="CL88" s="104"/>
      <c r="CM88" s="104"/>
      <c r="CN88" s="104"/>
      <c r="CO88" s="104"/>
      <c r="CP88" s="104"/>
      <c r="CQ88" s="104"/>
      <c r="CR88" s="104"/>
      <c r="CS88" s="104"/>
      <c r="CT88" s="104"/>
      <c r="CU88" s="104"/>
      <c r="CV88" s="104"/>
      <c r="CW88" s="104"/>
      <c r="CX88" s="104"/>
      <c r="CY88" s="104"/>
      <c r="CZ88" s="104"/>
      <c r="DA88" s="104"/>
      <c r="DB88" s="104"/>
      <c r="DC88" s="104"/>
      <c r="DD88" s="104"/>
      <c r="DE88" s="104"/>
      <c r="DF88" s="104"/>
      <c r="DG88" s="104"/>
      <c r="DH88" s="104"/>
      <c r="DI88" s="104"/>
      <c r="DJ88" s="104"/>
      <c r="DK88" s="104"/>
      <c r="DL88" s="104"/>
      <c r="DM88" s="104"/>
      <c r="DN88" s="104"/>
      <c r="DO88" s="104"/>
      <c r="DP88" s="104"/>
      <c r="DQ88" s="104"/>
      <c r="DR88" s="104"/>
      <c r="DS88" s="104"/>
      <c r="DT88" s="104"/>
      <c r="DU88" s="104"/>
      <c r="DV88" s="104"/>
      <c r="DW88" s="104"/>
      <c r="DX88" s="104"/>
      <c r="DY88" s="104"/>
      <c r="DZ88" s="104"/>
      <c r="EA88" s="104"/>
      <c r="EB88" s="104"/>
      <c r="EC88" s="104"/>
      <c r="ED88" s="104"/>
      <c r="EE88" s="104"/>
      <c r="EF88" s="104"/>
      <c r="EG88" s="104"/>
      <c r="EH88" s="104"/>
      <c r="EI88" s="104"/>
      <c r="EJ88" s="104"/>
      <c r="EK88" s="104"/>
      <c r="EL88" s="104"/>
      <c r="EM88" s="104"/>
      <c r="EN88" s="104"/>
      <c r="EO88" s="104"/>
      <c r="EP88" s="104"/>
      <c r="EQ88" s="104"/>
      <c r="ES88" s="98"/>
      <c r="ET88" s="98"/>
      <c r="EU88" s="98"/>
    </row>
    <row r="89" spans="2:151" ht="15.75">
      <c r="G89" s="94"/>
      <c r="H89" s="117"/>
      <c r="I89" s="95"/>
      <c r="J89" s="102"/>
      <c r="K89" s="102"/>
      <c r="L89" s="102"/>
      <c r="M89" s="102"/>
      <c r="N89" s="102"/>
      <c r="O89" s="102"/>
      <c r="P89" s="102"/>
      <c r="Q89" s="104"/>
      <c r="R89" s="104"/>
      <c r="S89" s="105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F89" s="104"/>
      <c r="CG89" s="104"/>
      <c r="CH89" s="104"/>
      <c r="CI89" s="104"/>
      <c r="CJ89" s="104"/>
      <c r="CK89" s="104"/>
      <c r="CL89" s="104"/>
      <c r="CM89" s="104"/>
      <c r="CN89" s="104"/>
      <c r="CO89" s="104"/>
      <c r="CP89" s="104"/>
      <c r="CQ89" s="104"/>
      <c r="CR89" s="104"/>
      <c r="CS89" s="104"/>
      <c r="CT89" s="104"/>
      <c r="CU89" s="104"/>
      <c r="CV89" s="104"/>
      <c r="CW89" s="104"/>
      <c r="CX89" s="104"/>
      <c r="CY89" s="104"/>
      <c r="CZ89" s="104"/>
      <c r="DA89" s="104"/>
      <c r="DB89" s="104"/>
      <c r="DC89" s="104"/>
      <c r="DD89" s="104"/>
      <c r="DE89" s="104"/>
      <c r="DF89" s="104"/>
      <c r="DG89" s="104"/>
      <c r="DH89" s="104"/>
      <c r="DI89" s="104"/>
      <c r="DJ89" s="104"/>
      <c r="DK89" s="104"/>
      <c r="DL89" s="104"/>
      <c r="DM89" s="104"/>
      <c r="DN89" s="104"/>
      <c r="DO89" s="104"/>
      <c r="DP89" s="104"/>
      <c r="DQ89" s="104"/>
      <c r="DR89" s="104"/>
      <c r="DS89" s="104"/>
      <c r="DT89" s="104"/>
      <c r="DU89" s="104"/>
      <c r="DV89" s="104"/>
      <c r="DW89" s="104"/>
      <c r="DX89" s="104"/>
      <c r="DY89" s="104"/>
      <c r="DZ89" s="104"/>
      <c r="EA89" s="104"/>
      <c r="EB89" s="104"/>
      <c r="EC89" s="104"/>
      <c r="ED89" s="104"/>
      <c r="EE89" s="104"/>
      <c r="EF89" s="104"/>
      <c r="EG89" s="104"/>
      <c r="EH89" s="104"/>
      <c r="EI89" s="104"/>
      <c r="EJ89" s="104"/>
      <c r="EK89" s="104"/>
      <c r="EL89" s="104"/>
      <c r="EM89" s="104"/>
      <c r="EN89" s="104"/>
      <c r="EO89" s="104"/>
      <c r="EP89" s="104"/>
      <c r="EQ89" s="104"/>
      <c r="ES89" s="98"/>
      <c r="ET89" s="98"/>
      <c r="EU89" s="98"/>
    </row>
    <row r="90" spans="2:151" ht="15.75">
      <c r="G90" s="187" t="s">
        <v>157</v>
      </c>
      <c r="H90" s="236"/>
      <c r="I90" s="182"/>
      <c r="J90" s="140"/>
      <c r="K90" s="102"/>
      <c r="L90" s="102"/>
      <c r="M90" s="102"/>
      <c r="N90" s="102"/>
      <c r="O90" s="102"/>
      <c r="P90" s="102"/>
      <c r="Q90" s="104"/>
      <c r="R90" s="104"/>
      <c r="S90" s="105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4"/>
      <c r="BH90" s="104"/>
      <c r="BI90" s="104"/>
      <c r="BJ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4"/>
      <c r="CK90" s="104"/>
      <c r="CL90" s="104"/>
      <c r="CM90" s="104"/>
      <c r="CN90" s="104"/>
      <c r="CO90" s="104"/>
      <c r="CP90" s="104"/>
      <c r="CQ90" s="104"/>
      <c r="CR90" s="104"/>
      <c r="CS90" s="104"/>
      <c r="CT90" s="104"/>
      <c r="CU90" s="104"/>
      <c r="CV90" s="104"/>
      <c r="CW90" s="104"/>
      <c r="CX90" s="104"/>
      <c r="CY90" s="104"/>
      <c r="CZ90" s="104"/>
      <c r="DA90" s="104"/>
      <c r="DB90" s="104"/>
      <c r="DC90" s="104"/>
      <c r="DD90" s="104"/>
      <c r="DE90" s="104"/>
      <c r="DF90" s="104"/>
      <c r="DG90" s="104"/>
      <c r="DH90" s="104"/>
      <c r="DI90" s="104"/>
      <c r="DJ90" s="104"/>
      <c r="DK90" s="104"/>
      <c r="DL90" s="104"/>
      <c r="DM90" s="104"/>
      <c r="DN90" s="104"/>
      <c r="DO90" s="104"/>
      <c r="DP90" s="104"/>
      <c r="DQ90" s="104"/>
      <c r="DR90" s="104"/>
      <c r="DS90" s="104"/>
      <c r="DT90" s="104"/>
      <c r="DU90" s="104"/>
      <c r="DV90" s="104"/>
      <c r="DW90" s="104"/>
      <c r="DX90" s="104"/>
      <c r="DY90" s="104"/>
      <c r="DZ90" s="104"/>
      <c r="EA90" s="104"/>
      <c r="EB90" s="104"/>
      <c r="EC90" s="104"/>
      <c r="ED90" s="104"/>
      <c r="EE90" s="104"/>
      <c r="EF90" s="104"/>
      <c r="EG90" s="104"/>
      <c r="EH90" s="104"/>
      <c r="EI90" s="104"/>
      <c r="EJ90" s="104"/>
      <c r="EK90" s="104"/>
      <c r="EL90" s="104"/>
      <c r="EM90" s="104"/>
      <c r="EN90" s="104"/>
      <c r="EO90" s="104"/>
      <c r="EP90" s="104"/>
      <c r="EQ90" s="104"/>
      <c r="ES90" s="98"/>
      <c r="ET90" s="98"/>
      <c r="EU90" s="98"/>
    </row>
    <row r="91" spans="2:151" ht="15.75">
      <c r="G91" s="101"/>
      <c r="H91" s="117" t="s">
        <v>178</v>
      </c>
      <c r="I91" s="95"/>
      <c r="J91" s="102"/>
      <c r="K91" s="102"/>
      <c r="L91" s="102"/>
      <c r="M91" s="102"/>
      <c r="N91" s="102"/>
      <c r="O91" s="102">
        <f>IF(O9=Assumptions!$C$8,-Assumptions!$P$37,0)</f>
        <v>-2894896.8</v>
      </c>
      <c r="P91" s="102">
        <f>IF(P10=Assumptions!C8,-Assumptions!$P$37,0)</f>
        <v>0</v>
      </c>
      <c r="Q91" s="102">
        <f>IF(Q10=Assumptions!$H$8,-Assumptions!$P$37,0)</f>
        <v>0</v>
      </c>
      <c r="R91" s="102">
        <f>IF(R10=Assumptions!$H$8,-Assumptions!$P$37,0)</f>
        <v>0</v>
      </c>
      <c r="S91" s="102">
        <f>IF(S10=Assumptions!$H$8,-Assumptions!$P$37,0)</f>
        <v>0</v>
      </c>
      <c r="T91" s="102">
        <f>IF(T10=Assumptions!$H$8,-Assumptions!$P$37,0)</f>
        <v>0</v>
      </c>
      <c r="U91" s="102">
        <f>IF(U10=Assumptions!$H$8,-Assumptions!$P$37,0)</f>
        <v>0</v>
      </c>
      <c r="V91" s="102">
        <f>IF(V10=Assumptions!$H$8,-Assumptions!$P$37,0)</f>
        <v>0</v>
      </c>
      <c r="W91" s="102">
        <f>IF(W10=Assumptions!$H$8,-Assumptions!$P$37,0)</f>
        <v>0</v>
      </c>
      <c r="X91" s="102">
        <f>IF(X10=Assumptions!$H$8,-Assumptions!$P$37,0)</f>
        <v>0</v>
      </c>
      <c r="Y91" s="102">
        <f>IF(Y10=Assumptions!$H$8,-Assumptions!$P$37,0)</f>
        <v>0</v>
      </c>
      <c r="Z91" s="102">
        <f>IF(Z10=Assumptions!$H$8,-Assumptions!$P$37,0)</f>
        <v>0</v>
      </c>
      <c r="AA91" s="102">
        <f>IF(AA10=Assumptions!$H$8,-Assumptions!$P$37,0)</f>
        <v>0</v>
      </c>
      <c r="AB91" s="102">
        <f>IF(AB10=Assumptions!$H$8,-Assumptions!$P$37,0)</f>
        <v>0</v>
      </c>
      <c r="AC91" s="102">
        <f>IF(AC10=Assumptions!$H$8,-Assumptions!$P$37,0)</f>
        <v>0</v>
      </c>
      <c r="AD91" s="102">
        <f>IF(AD10=Assumptions!$H$8,-Assumptions!$P$37,0)</f>
        <v>0</v>
      </c>
      <c r="AE91" s="102">
        <f>IF(AE10=Assumptions!$H$8,-Assumptions!$P$37,0)</f>
        <v>0</v>
      </c>
      <c r="AF91" s="102">
        <f>IF(AF10=Assumptions!$H$8,-Assumptions!$P$37,0)</f>
        <v>0</v>
      </c>
      <c r="AG91" s="102">
        <f>IF(AG10=Assumptions!$H$8,-Assumptions!$P$37,0)</f>
        <v>0</v>
      </c>
      <c r="AH91" s="102">
        <f>IF(AH10=Assumptions!$H$8,-Assumptions!$P$37,0)</f>
        <v>0</v>
      </c>
      <c r="AI91" s="102">
        <f>IF(AI10=Assumptions!$H$8,-Assumptions!$P$37,0)</f>
        <v>0</v>
      </c>
      <c r="AJ91" s="102">
        <f>IF(AJ10=Assumptions!$H$8,-Assumptions!$P$37,0)</f>
        <v>0</v>
      </c>
      <c r="AK91" s="102">
        <f>IF(AK10=Assumptions!$H$8,-Assumptions!$P$37,0)</f>
        <v>0</v>
      </c>
      <c r="AL91" s="102">
        <f>IF(AL10=Assumptions!$H$8,-Assumptions!$P$37,0)</f>
        <v>0</v>
      </c>
      <c r="AM91" s="102">
        <f>IF(AM10=Assumptions!$H$8,-Assumptions!$P$37,0)</f>
        <v>0</v>
      </c>
      <c r="AN91" s="102">
        <f>IF(AN10=Assumptions!$H$8,-Assumptions!$P$37,0)</f>
        <v>0</v>
      </c>
      <c r="AO91" s="102">
        <f>IF(AO10=Assumptions!$H$8,-Assumptions!$P$37,0)</f>
        <v>0</v>
      </c>
      <c r="AP91" s="102">
        <f>IF(AP10=Assumptions!$H$8,-Assumptions!$P$37,0)</f>
        <v>0</v>
      </c>
      <c r="AQ91" s="102">
        <f>IF(AQ10=Assumptions!$H$8,-Assumptions!$P$37,0)</f>
        <v>0</v>
      </c>
      <c r="AR91" s="102">
        <f>IF(AR10=Assumptions!$H$8,-Assumptions!$P$37,0)</f>
        <v>0</v>
      </c>
      <c r="AS91" s="102">
        <f>IF(AS10=Assumptions!$H$8,-Assumptions!$P$37,0)</f>
        <v>0</v>
      </c>
      <c r="AT91" s="102">
        <f>IF(AT10=Assumptions!$H$8,-Assumptions!$P$37,0)</f>
        <v>0</v>
      </c>
      <c r="AU91" s="102">
        <f>IF(AU10=Assumptions!$H$8,-Assumptions!$P$37,0)</f>
        <v>0</v>
      </c>
      <c r="AV91" s="102">
        <f>IF(AV10=Assumptions!$H$8,-Assumptions!$P$37,0)</f>
        <v>0</v>
      </c>
      <c r="AW91" s="102">
        <f>IF(AW10=Assumptions!$H$8,-Assumptions!$P$37,0)</f>
        <v>0</v>
      </c>
      <c r="AX91" s="102">
        <f>IF(AX10=Assumptions!$H$8,-Assumptions!$P$37,0)</f>
        <v>0</v>
      </c>
      <c r="AY91" s="102">
        <f>IF(AY10=Assumptions!$H$8,-Assumptions!$P$37,0)</f>
        <v>0</v>
      </c>
      <c r="AZ91" s="102">
        <f>IF(AZ10=Assumptions!$H$8,-Assumptions!$P$37,0)</f>
        <v>0</v>
      </c>
      <c r="BA91" s="102">
        <f>IF(BA10=Assumptions!$H$8,-Assumptions!$P$37,0)</f>
        <v>0</v>
      </c>
      <c r="BB91" s="102">
        <f>IF(BB10=Assumptions!$H$8,-Assumptions!$P$37,0)</f>
        <v>0</v>
      </c>
      <c r="BC91" s="102">
        <f>IF(BC10=Assumptions!$H$8,-Assumptions!$P$37,0)</f>
        <v>0</v>
      </c>
      <c r="BD91" s="102">
        <f>IF(BD10=Assumptions!$H$8,-Assumptions!$P$37,0)</f>
        <v>0</v>
      </c>
      <c r="BE91" s="102">
        <f>IF(BE10=Assumptions!$H$8,-Assumptions!$P$37,0)</f>
        <v>0</v>
      </c>
      <c r="BF91" s="102">
        <f>IF(BF10=Assumptions!$H$8,-Assumptions!$P$37,0)</f>
        <v>0</v>
      </c>
      <c r="BG91" s="102">
        <f>IF(BG10=Assumptions!$H$8,-Assumptions!$P$37,0)</f>
        <v>0</v>
      </c>
      <c r="BH91" s="102">
        <f>IF(BH10=Assumptions!$H$8,-Assumptions!$P$37,0)</f>
        <v>0</v>
      </c>
      <c r="BI91" s="102">
        <f>IF(BI10=Assumptions!$H$8,-Assumptions!$P$37,0)</f>
        <v>0</v>
      </c>
      <c r="BJ91" s="102">
        <f>IF(BJ10=Assumptions!$H$8,-Assumptions!$P$37,0)</f>
        <v>0</v>
      </c>
      <c r="BK91" s="102">
        <f>IF(BK10=Assumptions!$H$8,-Assumptions!$P$37,0)</f>
        <v>0</v>
      </c>
      <c r="BL91" s="102">
        <f>IF(BL10=Assumptions!$H$8,-Assumptions!$P$37,0)</f>
        <v>0</v>
      </c>
      <c r="BM91" s="102">
        <f>IF(BM10=Assumptions!$H$8,-Assumptions!$P$37,0)</f>
        <v>0</v>
      </c>
      <c r="BN91" s="102">
        <f>IF(BN10=Assumptions!$H$8,-Assumptions!$P$37,0)</f>
        <v>0</v>
      </c>
      <c r="BO91" s="102">
        <f>IF(BO10=Assumptions!$H$8,-Assumptions!$P$37,0)</f>
        <v>0</v>
      </c>
      <c r="BP91" s="102">
        <f>IF(BP10=Assumptions!$H$8,-Assumptions!$P$37,0)</f>
        <v>0</v>
      </c>
      <c r="BQ91" s="102">
        <f>IF(BQ10=Assumptions!$H$8,-Assumptions!$P$37,0)</f>
        <v>0</v>
      </c>
      <c r="BR91" s="102">
        <f>IF(BR10=Assumptions!$H$8,-Assumptions!$P$37,0)</f>
        <v>0</v>
      </c>
      <c r="BS91" s="102">
        <f>IF(BS10=Assumptions!$H$8,-Assumptions!$P$37,0)</f>
        <v>0</v>
      </c>
      <c r="BT91" s="102">
        <f>IF(BT10=Assumptions!$H$8,-Assumptions!$P$37,0)</f>
        <v>0</v>
      </c>
      <c r="BU91" s="102">
        <f>IF(BU10=Assumptions!$H$8,-Assumptions!$P$37,0)</f>
        <v>0</v>
      </c>
      <c r="BV91" s="102">
        <f>IF(BV10=Assumptions!$H$8,-Assumptions!$P$37,0)</f>
        <v>0</v>
      </c>
      <c r="BW91" s="102">
        <f>IF(BW10=Assumptions!$H$8,-Assumptions!$P$37,0)</f>
        <v>0</v>
      </c>
      <c r="BX91" s="102">
        <f>IF(BX10=Assumptions!$H$8,-Assumptions!$P$37,0)</f>
        <v>0</v>
      </c>
      <c r="BY91" s="102">
        <f>IF(BY10=Assumptions!$H$8,-Assumptions!$P$37,0)</f>
        <v>0</v>
      </c>
      <c r="BZ91" s="102">
        <f>IF(BZ10=Assumptions!$H$8,-Assumptions!$P$37,0)</f>
        <v>0</v>
      </c>
      <c r="CA91" s="102">
        <f>IF(CA10=Assumptions!$H$8,-Assumptions!$P$37,0)</f>
        <v>0</v>
      </c>
      <c r="CB91" s="102">
        <f>IF(CB10=Assumptions!$H$8,-Assumptions!$P$37,0)</f>
        <v>0</v>
      </c>
      <c r="CC91" s="102">
        <f>IF(CC10=Assumptions!$H$8,-Assumptions!$P$37,0)</f>
        <v>0</v>
      </c>
      <c r="CD91" s="102">
        <f>IF(CD10=Assumptions!$H$8,-Assumptions!$P$37,0)</f>
        <v>0</v>
      </c>
      <c r="CE91" s="102">
        <f>IF(CE10=Assumptions!$H$8,-Assumptions!$P$37,0)</f>
        <v>0</v>
      </c>
      <c r="CF91" s="102">
        <f>IF(CF10=Assumptions!$H$8,-Assumptions!$P$37,0)</f>
        <v>0</v>
      </c>
      <c r="CG91" s="102">
        <f>IF(CG10=Assumptions!$H$8,-Assumptions!$P$37,0)</f>
        <v>0</v>
      </c>
      <c r="CH91" s="102">
        <f>IF(CH10=Assumptions!$H$8,-Assumptions!$P$37,0)</f>
        <v>0</v>
      </c>
      <c r="CI91" s="102">
        <f>IF(CI10=Assumptions!$H$8,-Assumptions!$P$37,0)</f>
        <v>0</v>
      </c>
      <c r="CJ91" s="102">
        <f>IF(CJ10=Assumptions!$H$8,-Assumptions!$P$37,0)</f>
        <v>0</v>
      </c>
      <c r="CK91" s="102">
        <f>IF(CK10=Assumptions!$H$8,-Assumptions!$P$37,0)</f>
        <v>0</v>
      </c>
      <c r="CL91" s="102">
        <f>IF(CL10=Assumptions!$H$8,-Assumptions!$P$37,0)</f>
        <v>0</v>
      </c>
      <c r="CM91" s="102">
        <f>IF(CM10=Assumptions!$H$8,-Assumptions!$P$37,0)</f>
        <v>0</v>
      </c>
      <c r="CN91" s="102">
        <f>IF(CN10=Assumptions!$H$8,-Assumptions!$P$37,0)</f>
        <v>0</v>
      </c>
      <c r="CO91" s="102">
        <f>IF(CO10=Assumptions!$H$8,-Assumptions!$P$37,0)</f>
        <v>0</v>
      </c>
      <c r="CP91" s="102">
        <f>IF(CP10=Assumptions!$H$8,-Assumptions!$P$37,0)</f>
        <v>0</v>
      </c>
      <c r="CQ91" s="102">
        <f>IF(CQ10=Assumptions!$H$8,-Assumptions!$P$37,0)</f>
        <v>0</v>
      </c>
      <c r="CR91" s="102">
        <f>IF(CR10=Assumptions!$H$8,-Assumptions!$P$37,0)</f>
        <v>0</v>
      </c>
      <c r="CS91" s="102">
        <f>IF(CS10=Assumptions!$H$8,-Assumptions!$P$37,0)</f>
        <v>0</v>
      </c>
      <c r="CT91" s="102">
        <f>IF(CT10=Assumptions!$H$8,-Assumptions!$P$37,0)</f>
        <v>0</v>
      </c>
      <c r="CU91" s="102">
        <f>IF(CU10=Assumptions!$H$8,-Assumptions!$P$37,0)</f>
        <v>0</v>
      </c>
      <c r="CV91" s="102">
        <f>IF(CV10=Assumptions!$H$8,-Assumptions!$P$37,0)</f>
        <v>0</v>
      </c>
      <c r="CW91" s="102">
        <f>IF(CW10=Assumptions!$H$8,-Assumptions!$P$37,0)</f>
        <v>0</v>
      </c>
      <c r="CX91" s="102">
        <f>IF(CX10=Assumptions!$H$8,-Assumptions!$P$37,0)</f>
        <v>0</v>
      </c>
      <c r="CY91" s="102">
        <f>IF(CY10=Assumptions!$H$8,-Assumptions!$P$37,0)</f>
        <v>0</v>
      </c>
      <c r="CZ91" s="102">
        <f>IF(CZ10=Assumptions!$H$8,-Assumptions!$P$37,0)</f>
        <v>0</v>
      </c>
      <c r="DA91" s="102">
        <f>IF(DA10=Assumptions!$H$8,-Assumptions!$P$37,0)</f>
        <v>0</v>
      </c>
      <c r="DB91" s="102">
        <f>IF(DB10=Assumptions!$H$8,-Assumptions!$P$37,0)</f>
        <v>0</v>
      </c>
      <c r="DC91" s="102">
        <f>IF(DC10=Assumptions!$H$8,-Assumptions!$P$37,0)</f>
        <v>0</v>
      </c>
      <c r="DD91" s="102">
        <f>IF(DD10=Assumptions!$H$8,-Assumptions!$P$37,0)</f>
        <v>0</v>
      </c>
      <c r="DE91" s="102">
        <f>IF(DE10=Assumptions!$H$8,-Assumptions!$P$37,0)</f>
        <v>0</v>
      </c>
      <c r="DF91" s="102">
        <f>IF(DF10=Assumptions!$H$8,-Assumptions!$P$37,0)</f>
        <v>0</v>
      </c>
      <c r="DG91" s="102">
        <f>IF(DG10=Assumptions!$H$8,-Assumptions!$P$37,0)</f>
        <v>0</v>
      </c>
      <c r="DH91" s="102">
        <f>IF(DH10=Assumptions!$H$8,-Assumptions!$P$37,0)</f>
        <v>0</v>
      </c>
      <c r="DI91" s="102">
        <f>IF(DI10=Assumptions!$H$8,-Assumptions!$P$37,0)</f>
        <v>0</v>
      </c>
      <c r="DJ91" s="102">
        <f>IF(DJ10=Assumptions!$H$8,-Assumptions!$P$37,0)</f>
        <v>0</v>
      </c>
      <c r="DK91" s="102">
        <f>IF(DK10=Assumptions!$H$8,-Assumptions!$P$37,0)</f>
        <v>0</v>
      </c>
      <c r="DL91" s="102">
        <f>IF(DL10=Assumptions!$H$8,-Assumptions!$P$37,0)</f>
        <v>0</v>
      </c>
      <c r="DM91" s="102">
        <f>IF(DM10=Assumptions!$H$8,-Assumptions!$P$37,0)</f>
        <v>0</v>
      </c>
      <c r="DN91" s="102">
        <f>IF(DN10=Assumptions!$H$8,-Assumptions!$P$37,0)</f>
        <v>0</v>
      </c>
      <c r="DO91" s="102">
        <f>IF(DO10=Assumptions!$H$8,-Assumptions!$P$37,0)</f>
        <v>0</v>
      </c>
      <c r="DP91" s="102">
        <f>IF(DP10=Assumptions!$H$8,-Assumptions!$P$37,0)</f>
        <v>0</v>
      </c>
      <c r="DQ91" s="102">
        <f>IF(DQ10=Assumptions!$H$8,-Assumptions!$P$37,0)</f>
        <v>0</v>
      </c>
      <c r="DR91" s="102">
        <f>IF(DR10=Assumptions!$H$8,-Assumptions!$P$37,0)</f>
        <v>0</v>
      </c>
      <c r="DS91" s="102">
        <f>IF(DS10=Assumptions!$H$8,-Assumptions!$P$37,0)</f>
        <v>0</v>
      </c>
      <c r="DT91" s="102">
        <f>IF(DT10=Assumptions!$H$8,-Assumptions!$P$37,0)</f>
        <v>0</v>
      </c>
      <c r="DU91" s="102">
        <f>IF(DU10=Assumptions!$H$8,-Assumptions!$P$37,0)</f>
        <v>0</v>
      </c>
      <c r="DV91" s="102">
        <f>IF(DV10=Assumptions!$H$8,-Assumptions!$P$37,0)</f>
        <v>0</v>
      </c>
      <c r="DW91" s="102">
        <f>IF(DW10=Assumptions!$H$8,-Assumptions!$P$37,0)</f>
        <v>0</v>
      </c>
      <c r="DX91" s="102">
        <f>IF(DX10=Assumptions!$H$8,-Assumptions!$P$37,0)</f>
        <v>0</v>
      </c>
      <c r="DY91" s="102">
        <f>IF(DY10=Assumptions!$H$8,-Assumptions!$P$37,0)</f>
        <v>0</v>
      </c>
      <c r="DZ91" s="102">
        <f>IF(DZ10=Assumptions!$H$8,-Assumptions!$P$37,0)</f>
        <v>0</v>
      </c>
      <c r="EA91" s="102">
        <f>IF(EA10=Assumptions!$H$8,-Assumptions!$P$37,0)</f>
        <v>0</v>
      </c>
      <c r="EB91" s="102">
        <f>IF(EB10=Assumptions!$H$8,-Assumptions!$P$37,0)</f>
        <v>0</v>
      </c>
      <c r="EC91" s="102">
        <f>IF(EC10=Assumptions!$H$8,-Assumptions!$P$37,0)</f>
        <v>0</v>
      </c>
      <c r="ED91" s="102">
        <f>IF(ED10=Assumptions!$H$8,-Assumptions!$P$37,0)</f>
        <v>0</v>
      </c>
      <c r="EE91" s="102">
        <f>IF(EE10=Assumptions!$H$8,-Assumptions!$P$37,0)</f>
        <v>0</v>
      </c>
      <c r="EF91" s="102">
        <f>IF(EF10=Assumptions!$H$8,-Assumptions!$P$37,0)</f>
        <v>0</v>
      </c>
      <c r="EG91" s="102">
        <f>IF(EG10=Assumptions!$H$8,-Assumptions!$P$37,0)</f>
        <v>0</v>
      </c>
      <c r="EH91" s="102">
        <f>IF(EH10=Assumptions!$H$8,-Assumptions!$P$37,0)</f>
        <v>0</v>
      </c>
      <c r="EI91" s="102">
        <f>IF(EI10=Assumptions!$H$8,-Assumptions!$P$37,0)</f>
        <v>0</v>
      </c>
      <c r="EJ91" s="102">
        <f>IF(EJ10=Assumptions!$H$8,-Assumptions!$P$37,0)</f>
        <v>0</v>
      </c>
      <c r="EK91" s="102">
        <f>IF(EK10=Assumptions!$H$8,-Assumptions!$P$37,0)</f>
        <v>0</v>
      </c>
      <c r="EL91" s="102">
        <f>IF(EL10=Assumptions!$H$8,-Assumptions!$P$37,0)</f>
        <v>0</v>
      </c>
      <c r="EM91" s="102">
        <f>IF(EM10=Assumptions!$H$8,-Assumptions!$P$37,0)</f>
        <v>0</v>
      </c>
      <c r="EN91" s="102">
        <f>IF(EN10=Assumptions!$H$8,-Assumptions!$P$37,0)</f>
        <v>0</v>
      </c>
      <c r="EO91" s="102">
        <f>IF(EO10=Assumptions!$H$8,-Assumptions!$P$37,0)</f>
        <v>0</v>
      </c>
      <c r="EP91" s="102">
        <f>IF(EP10=Assumptions!$H$8,-Assumptions!$P$37,0)</f>
        <v>0</v>
      </c>
      <c r="EQ91" s="102">
        <f>IF(EQ10=Assumptions!$H$8,-Assumptions!$P$37,0)</f>
        <v>0</v>
      </c>
      <c r="ES91" s="98"/>
      <c r="ET91" s="98"/>
      <c r="EU91" s="98"/>
    </row>
    <row r="92" spans="2:151" ht="15.75">
      <c r="H92" s="94" t="s">
        <v>247</v>
      </c>
      <c r="I92" s="95"/>
      <c r="J92" s="102"/>
      <c r="K92" s="102"/>
      <c r="L92" s="102"/>
      <c r="M92" s="102"/>
      <c r="N92" s="102">
        <f ca="1">SUM(O92:EQ92)</f>
        <v>4410976.4252859643</v>
      </c>
      <c r="O92" s="102">
        <f>IF(O10=Assumptions!$G$10,SUM('Annual Cash Flow'!$E$66:$P$66),0)</f>
        <v>0</v>
      </c>
      <c r="P92" s="102">
        <f>IF(P10=Assumptions!$G$10,SUM('Annual Cash Flow'!$E$66:$P$66),0)</f>
        <v>0</v>
      </c>
      <c r="Q92" s="102">
        <f>IF(Q10=Assumptions!$G$10,SUM('Annual Cash Flow'!$E$66:$P$66),0)</f>
        <v>0</v>
      </c>
      <c r="R92" s="102">
        <f>IF(R10=Assumptions!$G$10,SUM('Annual Cash Flow'!$E$66:$P$66),0)</f>
        <v>0</v>
      </c>
      <c r="S92" s="102">
        <f>IF(S10=Assumptions!$G$10,SUM('Annual Cash Flow'!$E$66:$P$66),0)</f>
        <v>0</v>
      </c>
      <c r="T92" s="102">
        <f>IF(T10=Assumptions!$G$10,SUM('Annual Cash Flow'!$E$66:$P$66),0)</f>
        <v>0</v>
      </c>
      <c r="U92" s="102">
        <f>IF(U10=Assumptions!$G$10,SUM('Annual Cash Flow'!$E$66:$P$66),0)</f>
        <v>0</v>
      </c>
      <c r="V92" s="102">
        <f>IF(V10=Assumptions!$G$10,SUM('Annual Cash Flow'!$E$66:$P$66),0)</f>
        <v>0</v>
      </c>
      <c r="W92" s="102">
        <f>IF(W10=Assumptions!$G$10,SUM('Annual Cash Flow'!$E$66:$P$66),0)</f>
        <v>0</v>
      </c>
      <c r="X92" s="102">
        <f>IF(X10=Assumptions!$G$10,SUM('Annual Cash Flow'!$E$66:$P$66),0)</f>
        <v>0</v>
      </c>
      <c r="Y92" s="102">
        <f>IF(Y10=Assumptions!$G$10,SUM('Annual Cash Flow'!$E$66:$P$66),0)</f>
        <v>0</v>
      </c>
      <c r="Z92" s="102">
        <f>IF(Z10=Assumptions!$G$10,SUM('Annual Cash Flow'!$E$66:$P$66),0)</f>
        <v>0</v>
      </c>
      <c r="AA92" s="102">
        <f>IF(AA10=Assumptions!$G$10,SUM('Annual Cash Flow'!$E$66:$P$66),0)</f>
        <v>0</v>
      </c>
      <c r="AB92" s="102">
        <f>IF(AB10=Assumptions!$G$10,SUM('Annual Cash Flow'!$E$66:$P$66),0)</f>
        <v>0</v>
      </c>
      <c r="AC92" s="102">
        <f>IF(AC10=Assumptions!$G$10,SUM('Annual Cash Flow'!$E$66:$P$66),0)</f>
        <v>0</v>
      </c>
      <c r="AD92" s="102">
        <f>IF(AD10=Assumptions!$G$10,SUM('Annual Cash Flow'!$E$66:$P$66),0)</f>
        <v>0</v>
      </c>
      <c r="AE92" s="102">
        <f>IF(AE10=Assumptions!$G$10,SUM('Annual Cash Flow'!$E$66:$P$66),0)</f>
        <v>0</v>
      </c>
      <c r="AF92" s="102">
        <f>IF(AF10=Assumptions!$G$10,SUM('Annual Cash Flow'!$E$66:$P$66),0)</f>
        <v>0</v>
      </c>
      <c r="AG92" s="102">
        <f>IF(AG10=Assumptions!$G$10,SUM('Annual Cash Flow'!$E$66:$P$66),0)</f>
        <v>0</v>
      </c>
      <c r="AH92" s="102">
        <f>IF(AH10=Assumptions!$G$10,SUM('Annual Cash Flow'!$E$66:$P$66),0)</f>
        <v>0</v>
      </c>
      <c r="AI92" s="102">
        <f>IF(AI10=Assumptions!$G$10,SUM('Annual Cash Flow'!$E$66:$P$66),0)</f>
        <v>0</v>
      </c>
      <c r="AJ92" s="102">
        <f>IF(AJ10=Assumptions!$G$10,SUM('Annual Cash Flow'!$E$66:$P$66),0)</f>
        <v>0</v>
      </c>
      <c r="AK92" s="102">
        <f>IF(AK10=Assumptions!$G$10,SUM('Annual Cash Flow'!$E$66:$P$66),0)</f>
        <v>0</v>
      </c>
      <c r="AL92" s="102">
        <f>IF(AL10=Assumptions!$G$10,SUM('Annual Cash Flow'!$E$66:$P$66),0)</f>
        <v>0</v>
      </c>
      <c r="AM92" s="102">
        <f>IF(AM10=Assumptions!$G$10,SUM('Annual Cash Flow'!$E$66:$P$66),0)</f>
        <v>0</v>
      </c>
      <c r="AN92" s="102">
        <f>IF(AN10=Assumptions!$G$10,SUM('Annual Cash Flow'!$E$66:$P$66),0)</f>
        <v>0</v>
      </c>
      <c r="AO92" s="102">
        <f>IF(AO10=Assumptions!$G$10,SUM('Annual Cash Flow'!$E$66:$P$66),0)</f>
        <v>0</v>
      </c>
      <c r="AP92" s="102">
        <f>IF(AP10=Assumptions!$G$10,SUM('Annual Cash Flow'!$E$66:$P$66),0)</f>
        <v>0</v>
      </c>
      <c r="AQ92" s="102">
        <f>IF(AQ10=Assumptions!$G$10,SUM('Annual Cash Flow'!$E$66:$P$66),0)</f>
        <v>0</v>
      </c>
      <c r="AR92" s="102">
        <f>IF(AR10=Assumptions!$G$10,SUM('Annual Cash Flow'!$E$66:$P$66),0)</f>
        <v>0</v>
      </c>
      <c r="AS92" s="102">
        <f>IF(AS10=Assumptions!$G$10,SUM('Annual Cash Flow'!$E$66:$P$66),0)</f>
        <v>0</v>
      </c>
      <c r="AT92" s="102">
        <f>IF(AT10=Assumptions!$G$10,SUM('Annual Cash Flow'!$E$66:$P$66),0)</f>
        <v>0</v>
      </c>
      <c r="AU92" s="102">
        <f>IF(AU10=Assumptions!$G$10,SUM('Annual Cash Flow'!$E$66:$P$66),0)</f>
        <v>0</v>
      </c>
      <c r="AV92" s="102">
        <f>IF(AV10=Assumptions!$G$10,SUM('Annual Cash Flow'!$E$66:$P$66),0)</f>
        <v>0</v>
      </c>
      <c r="AW92" s="102">
        <f>IF(AW10=Assumptions!$G$10,SUM('Annual Cash Flow'!$E$66:$P$66),0)</f>
        <v>0</v>
      </c>
      <c r="AX92" s="102">
        <f>IF(AX10=Assumptions!$G$10,SUM('Annual Cash Flow'!$E$66:$P$66),0)</f>
        <v>0</v>
      </c>
      <c r="AY92" s="102">
        <f>IF(AY10=Assumptions!$G$10,SUM('Annual Cash Flow'!$E$66:$P$66),0)</f>
        <v>0</v>
      </c>
      <c r="AZ92" s="102">
        <f>IF(AZ10=Assumptions!$G$10,SUM('Annual Cash Flow'!$E$66:$P$66),0)</f>
        <v>0</v>
      </c>
      <c r="BA92" s="102">
        <f>IF(BA10=Assumptions!$G$10,SUM('Annual Cash Flow'!$E$66:$P$66),0)</f>
        <v>0</v>
      </c>
      <c r="BB92" s="102">
        <f>IF(BB10=Assumptions!$G$10,SUM('Annual Cash Flow'!$E$66:$P$66),0)</f>
        <v>0</v>
      </c>
      <c r="BC92" s="102">
        <f>IF(BC10=Assumptions!$G$10,SUM('Annual Cash Flow'!$E$66:$P$66),0)</f>
        <v>0</v>
      </c>
      <c r="BD92" s="102">
        <f>IF(BD10=Assumptions!$G$10,SUM('Annual Cash Flow'!$E$66:$P$66),0)</f>
        <v>0</v>
      </c>
      <c r="BE92" s="102">
        <f>IF(BE10=Assumptions!$G$10,SUM('Annual Cash Flow'!$E$66:$P$66),0)</f>
        <v>0</v>
      </c>
      <c r="BF92" s="102">
        <f>IF(BF10=Assumptions!$G$10,SUM('Annual Cash Flow'!$E$66:$P$66),0)</f>
        <v>0</v>
      </c>
      <c r="BG92" s="102">
        <f>IF(BG10=Assumptions!$G$10,SUM('Annual Cash Flow'!$E$66:$P$66),0)</f>
        <v>0</v>
      </c>
      <c r="BH92" s="102">
        <f>IF(BH10=Assumptions!$G$10,SUM('Annual Cash Flow'!$E$66:$P$66),0)</f>
        <v>0</v>
      </c>
      <c r="BI92" s="102">
        <f>IF(BI10=Assumptions!$G$10,SUM('Annual Cash Flow'!$E$66:$P$66),0)</f>
        <v>0</v>
      </c>
      <c r="BJ92" s="102">
        <f>IF(BJ10=Assumptions!$G$10,SUM('Annual Cash Flow'!$E$66:$P$66),0)</f>
        <v>0</v>
      </c>
      <c r="BK92" s="102">
        <f>IF(BK10=Assumptions!$G$10,SUM('Annual Cash Flow'!$E$66:$P$66),0)</f>
        <v>0</v>
      </c>
      <c r="BL92" s="102">
        <f>IF(BL10=Assumptions!$G$10,SUM('Annual Cash Flow'!$E$66:$P$66),0)</f>
        <v>0</v>
      </c>
      <c r="BM92" s="102">
        <f>IF(BM10=Assumptions!$G$10,SUM('Annual Cash Flow'!$E$66:$P$66),0)</f>
        <v>0</v>
      </c>
      <c r="BN92" s="102">
        <f>IF(BN10=Assumptions!$G$10,SUM('Annual Cash Flow'!$E$66:$P$66),0)</f>
        <v>0</v>
      </c>
      <c r="BO92" s="102">
        <f>IF(BO10=Assumptions!$G$10,SUM('Annual Cash Flow'!$E$66:$P$66),0)</f>
        <v>0</v>
      </c>
      <c r="BP92" s="102">
        <f>IF(BP10=Assumptions!$G$10,SUM('Annual Cash Flow'!$E$66:$P$66),0)</f>
        <v>0</v>
      </c>
      <c r="BQ92" s="102">
        <f>IF(BQ10=Assumptions!$G$10,SUM('Annual Cash Flow'!$E$66:$P$66),0)</f>
        <v>0</v>
      </c>
      <c r="BR92" s="102">
        <f>IF(BR10=Assumptions!$G$10,SUM('Annual Cash Flow'!$E$66:$P$66),0)</f>
        <v>0</v>
      </c>
      <c r="BS92" s="102">
        <f>IF(BS10=Assumptions!$G$10,SUM('Annual Cash Flow'!$E$66:$P$66),0)</f>
        <v>0</v>
      </c>
      <c r="BT92" s="102">
        <f>IF(BT10=Assumptions!$G$10,SUM('Annual Cash Flow'!$E$66:$P$66),0)</f>
        <v>0</v>
      </c>
      <c r="BU92" s="102">
        <f>IF(BU10=Assumptions!$G$10,SUM('Annual Cash Flow'!$E$66:$P$66),0)</f>
        <v>0</v>
      </c>
      <c r="BV92" s="102">
        <f>IF(BV10=Assumptions!$G$10,SUM('Annual Cash Flow'!$E$66:$P$66),0)</f>
        <v>0</v>
      </c>
      <c r="BW92" s="102">
        <f>IF(BW10=Assumptions!$G$10,SUM('Annual Cash Flow'!$E$66:$P$66),0)</f>
        <v>0</v>
      </c>
      <c r="BX92" s="102">
        <f>IF(BX10=Assumptions!$G$10,SUM('Annual Cash Flow'!$E$66:$P$66),0)</f>
        <v>0</v>
      </c>
      <c r="BY92" s="102">
        <f>IF(BY10=Assumptions!$G$10,SUM('Annual Cash Flow'!$E$66:$P$66),0)</f>
        <v>0</v>
      </c>
      <c r="BZ92" s="102">
        <f>IF(BZ10=Assumptions!$G$10,SUM('Annual Cash Flow'!$E$66:$P$66),0)</f>
        <v>0</v>
      </c>
      <c r="CA92" s="102">
        <f>IF(CA10=Assumptions!$G$10,SUM('Annual Cash Flow'!$E$66:$P$66),0)</f>
        <v>0</v>
      </c>
      <c r="CB92" s="102">
        <f>IF(CB10=Assumptions!$G$10,SUM('Annual Cash Flow'!$E$66:$P$66),0)</f>
        <v>0</v>
      </c>
      <c r="CC92" s="102">
        <f>IF(CC10=Assumptions!$G$10,SUM('Annual Cash Flow'!$E$66:$P$66),0)</f>
        <v>0</v>
      </c>
      <c r="CD92" s="102">
        <f>IF(CD10=Assumptions!$G$10,SUM('Annual Cash Flow'!$E$66:$P$66),0)</f>
        <v>0</v>
      </c>
      <c r="CE92" s="102">
        <f>IF(CE10=Assumptions!$G$10,SUM('Annual Cash Flow'!$E$66:$P$66),0)</f>
        <v>0</v>
      </c>
      <c r="CF92" s="102">
        <f>IF(CF10=Assumptions!$G$10,SUM('Annual Cash Flow'!$E$66:$P$66),0)</f>
        <v>0</v>
      </c>
      <c r="CG92" s="102">
        <f>IF(CG10=Assumptions!$G$10,SUM('Annual Cash Flow'!$E$66:$P$66),0)</f>
        <v>0</v>
      </c>
      <c r="CH92" s="102">
        <f>IF(CH10=Assumptions!$G$10,SUM('Annual Cash Flow'!$E$66:$P$66),0)</f>
        <v>0</v>
      </c>
      <c r="CI92" s="102">
        <f>IF(CI10=Assumptions!$G$10,SUM('Annual Cash Flow'!$E$66:$P$66),0)</f>
        <v>0</v>
      </c>
      <c r="CJ92" s="102">
        <f>IF(CJ10=Assumptions!$G$10,SUM('Annual Cash Flow'!$E$66:$P$66),0)</f>
        <v>0</v>
      </c>
      <c r="CK92" s="102">
        <f>IF(CK10=Assumptions!$G$10,SUM('Annual Cash Flow'!$E$66:$P$66),0)</f>
        <v>0</v>
      </c>
      <c r="CL92" s="102">
        <f>IF(CL10=Assumptions!$G$10,SUM('Annual Cash Flow'!$E$66:$P$66),0)</f>
        <v>0</v>
      </c>
      <c r="CM92" s="102">
        <f>IF(CM10=Assumptions!$G$10,SUM('Annual Cash Flow'!$E$66:$P$66),0)</f>
        <v>0</v>
      </c>
      <c r="CN92" s="102">
        <f>IF(CN10=Assumptions!$G$10,SUM('Annual Cash Flow'!$E$66:$P$66),0)</f>
        <v>0</v>
      </c>
      <c r="CO92" s="102">
        <f>IF(CO10=Assumptions!$G$10,SUM('Annual Cash Flow'!$E$66:$P$66),0)</f>
        <v>0</v>
      </c>
      <c r="CP92" s="102">
        <f>IF(CP10=Assumptions!$G$10,SUM('Annual Cash Flow'!$E$66:$P$66),0)</f>
        <v>0</v>
      </c>
      <c r="CQ92" s="102">
        <f>IF(CQ10=Assumptions!$G$10,SUM('Annual Cash Flow'!$E$66:$P$66),0)</f>
        <v>0</v>
      </c>
      <c r="CR92" s="102">
        <f>IF(CR10=Assumptions!$G$10,SUM('Annual Cash Flow'!$E$66:$P$66),0)</f>
        <v>0</v>
      </c>
      <c r="CS92" s="102">
        <f>IF(CS10=Assumptions!$G$10,SUM('Annual Cash Flow'!$E$66:$P$66),0)</f>
        <v>0</v>
      </c>
      <c r="CT92" s="102">
        <f>IF(CT10=Assumptions!$G$10,SUM('Annual Cash Flow'!$E$66:$P$66),0)</f>
        <v>0</v>
      </c>
      <c r="CU92" s="102">
        <f>IF(CU10=Assumptions!$G$10,SUM('Annual Cash Flow'!$E$66:$P$66),0)</f>
        <v>0</v>
      </c>
      <c r="CV92" s="102">
        <f>IF(CV10=Assumptions!$G$10,SUM('Annual Cash Flow'!$E$66:$P$66),0)</f>
        <v>0</v>
      </c>
      <c r="CW92" s="102">
        <f>IF(CW10=Assumptions!$G$10,SUM('Annual Cash Flow'!$E$66:$P$66),0)</f>
        <v>0</v>
      </c>
      <c r="CX92" s="102">
        <f>IF(CX10=Assumptions!$G$10,SUM('Annual Cash Flow'!$E$66:$P$66),0)</f>
        <v>0</v>
      </c>
      <c r="CY92" s="102">
        <f>IF(CY10=Assumptions!$G$10,SUM('Annual Cash Flow'!$E$66:$P$66),0)</f>
        <v>0</v>
      </c>
      <c r="CZ92" s="102">
        <f>IF(CZ10=Assumptions!$G$10,SUM('Annual Cash Flow'!$E$66:$P$66),0)</f>
        <v>0</v>
      </c>
      <c r="DA92" s="102">
        <f>IF(DA10=Assumptions!$G$10,SUM('Annual Cash Flow'!$E$66:$P$66),0)</f>
        <v>0</v>
      </c>
      <c r="DB92" s="102">
        <f>IF(DB10=Assumptions!$G$10,SUM('Annual Cash Flow'!$E$66:$P$66),0)</f>
        <v>0</v>
      </c>
      <c r="DC92" s="102">
        <f>IF(DC10=Assumptions!$G$10,SUM('Annual Cash Flow'!$E$66:$P$66),0)</f>
        <v>0</v>
      </c>
      <c r="DD92" s="102">
        <f>IF(DD10=Assumptions!$G$10,SUM('Annual Cash Flow'!$E$66:$P$66),0)</f>
        <v>0</v>
      </c>
      <c r="DE92" s="102">
        <f>IF(DE10=Assumptions!$G$10,SUM('Annual Cash Flow'!$E$66:$P$66),0)</f>
        <v>0</v>
      </c>
      <c r="DF92" s="102">
        <f>IF(DF10=Assumptions!$G$10,SUM('Annual Cash Flow'!$E$66:$P$66),0)</f>
        <v>0</v>
      </c>
      <c r="DG92" s="102">
        <f ca="1">IF(DG10=Assumptions!$G$10,SUM('Annual Cash Flow'!$E$66:$P$66),0)</f>
        <v>4410976.4252859643</v>
      </c>
      <c r="DH92" s="102">
        <f>IF(DH10=Assumptions!$G$10,SUM('Annual Cash Flow'!$E$66:$P$66),0)</f>
        <v>0</v>
      </c>
      <c r="DI92" s="102">
        <f>IF(DI10=Assumptions!$G$10,SUM('Annual Cash Flow'!$E$66:$P$66),0)</f>
        <v>0</v>
      </c>
      <c r="DJ92" s="102">
        <f>IF(DJ10=Assumptions!$G$10,SUM('Annual Cash Flow'!$E$66:$P$66),0)</f>
        <v>0</v>
      </c>
      <c r="DK92" s="102">
        <f>IF(DK10=Assumptions!$G$10,SUM('Annual Cash Flow'!$E$66:$P$66),0)</f>
        <v>0</v>
      </c>
      <c r="DL92" s="102">
        <f>IF(DL10=Assumptions!$G$10,SUM('Annual Cash Flow'!$E$66:$P$66),0)</f>
        <v>0</v>
      </c>
      <c r="DM92" s="102">
        <f>IF(DM10=Assumptions!$G$10,SUM('Annual Cash Flow'!$E$66:$P$66),0)</f>
        <v>0</v>
      </c>
      <c r="DN92" s="102">
        <f>IF(DN10=Assumptions!$G$10,SUM('Annual Cash Flow'!$E$66:$P$66),0)</f>
        <v>0</v>
      </c>
      <c r="DO92" s="102">
        <f>IF(DO10=Assumptions!$G$10,SUM('Annual Cash Flow'!$E$66:$P$66),0)</f>
        <v>0</v>
      </c>
      <c r="DP92" s="102">
        <f>IF(DP10=Assumptions!$G$10,SUM('Annual Cash Flow'!$E$66:$P$66),0)</f>
        <v>0</v>
      </c>
      <c r="DQ92" s="102">
        <f>IF(DQ10=Assumptions!$G$10,SUM('Annual Cash Flow'!$E$66:$P$66),0)</f>
        <v>0</v>
      </c>
      <c r="DR92" s="102">
        <f>IF(DR10=Assumptions!$G$10,SUM('Annual Cash Flow'!$E$66:$P$66),0)</f>
        <v>0</v>
      </c>
      <c r="DS92" s="102">
        <f>IF(DS10=Assumptions!$G$10,SUM('Annual Cash Flow'!$E$66:$P$66),0)</f>
        <v>0</v>
      </c>
      <c r="DT92" s="102">
        <f>IF(DT10=Assumptions!$G$10,SUM('Annual Cash Flow'!$E$66:$P$66),0)</f>
        <v>0</v>
      </c>
      <c r="DU92" s="102">
        <f>IF(DU10=Assumptions!$G$10,SUM('Annual Cash Flow'!$E$66:$P$66),0)</f>
        <v>0</v>
      </c>
      <c r="DV92" s="102">
        <f>IF(DV10=Assumptions!$G$10,SUM('Annual Cash Flow'!$E$66:$P$66),0)</f>
        <v>0</v>
      </c>
      <c r="DW92" s="102">
        <f>IF(DW10=Assumptions!$G$10,SUM('Annual Cash Flow'!$E$66:$P$66),0)</f>
        <v>0</v>
      </c>
      <c r="DX92" s="102">
        <f>IF(DX10=Assumptions!$G$10,SUM('Annual Cash Flow'!$E$66:$P$66),0)</f>
        <v>0</v>
      </c>
      <c r="DY92" s="102">
        <f>IF(DY10=Assumptions!$G$10,SUM('Annual Cash Flow'!$E$66:$P$66),0)</f>
        <v>0</v>
      </c>
      <c r="DZ92" s="102">
        <f>IF(DZ10=Assumptions!$G$10,SUM('Annual Cash Flow'!$E$66:$P$66),0)</f>
        <v>0</v>
      </c>
      <c r="EA92" s="102">
        <f>IF(EA10=Assumptions!$G$10,SUM('Annual Cash Flow'!$E$66:$P$66),0)</f>
        <v>0</v>
      </c>
      <c r="EB92" s="102">
        <f>IF(EB10=Assumptions!$G$10,SUM('Annual Cash Flow'!$E$66:$P$66),0)</f>
        <v>0</v>
      </c>
      <c r="EC92" s="102">
        <f>IF(EC10=Assumptions!$G$10,SUM('Annual Cash Flow'!$E$66:$P$66),0)</f>
        <v>0</v>
      </c>
      <c r="ED92" s="102">
        <f>IF(ED10=Assumptions!$G$10,SUM('Annual Cash Flow'!$E$66:$P$66),0)</f>
        <v>0</v>
      </c>
      <c r="EE92" s="102">
        <f>IF(EE10=Assumptions!$G$10,SUM('Annual Cash Flow'!$E$66:$P$66),0)</f>
        <v>0</v>
      </c>
      <c r="EF92" s="102">
        <f>IF(EF10=Assumptions!$G$10,SUM('Annual Cash Flow'!$E$66:$P$66),0)</f>
        <v>0</v>
      </c>
      <c r="EG92" s="102">
        <f>IF(EG10=Assumptions!$G$10,SUM('Annual Cash Flow'!$E$66:$P$66),0)</f>
        <v>0</v>
      </c>
      <c r="EH92" s="102">
        <f>IF(EH10=Assumptions!$G$10,SUM('Annual Cash Flow'!$E$66:$P$66),0)</f>
        <v>0</v>
      </c>
      <c r="EI92" s="102">
        <f>IF(EI10=Assumptions!$G$10,SUM('Annual Cash Flow'!$E$66:$P$66),0)</f>
        <v>0</v>
      </c>
      <c r="EJ92" s="102">
        <f>IF(EJ10=Assumptions!$G$10,SUM('Annual Cash Flow'!$E$66:$P$66),0)</f>
        <v>0</v>
      </c>
      <c r="EK92" s="102">
        <f>IF(EK10=Assumptions!$G$10,SUM('Annual Cash Flow'!$E$66:$P$66),0)</f>
        <v>0</v>
      </c>
      <c r="EL92" s="102">
        <f>IF(EL10=Assumptions!$G$10,SUM('Annual Cash Flow'!$E$66:$P$66),0)</f>
        <v>0</v>
      </c>
      <c r="EM92" s="102">
        <f>IF(EM10=Assumptions!$G$10,SUM('Annual Cash Flow'!$E$66:$P$66),0)</f>
        <v>0</v>
      </c>
      <c r="EN92" s="102">
        <f>IF(EN10=Assumptions!$G$10,SUM('Annual Cash Flow'!$E$66:$P$66),0)</f>
        <v>0</v>
      </c>
      <c r="EO92" s="102">
        <f>IF(EO10=Assumptions!$G$10,SUM('Annual Cash Flow'!$E$66:$P$66),0)</f>
        <v>0</v>
      </c>
      <c r="EP92" s="102">
        <f>IF(EP10=Assumptions!$G$10,SUM('Annual Cash Flow'!$E$66:$P$66),0)</f>
        <v>0</v>
      </c>
      <c r="EQ92" s="102">
        <f>IF(EQ10=Assumptions!$G$10,SUM('Annual Cash Flow'!$E$66:$P$66),0)</f>
        <v>0</v>
      </c>
      <c r="ES92" s="98"/>
      <c r="ET92" s="98"/>
      <c r="EU92" s="98"/>
    </row>
    <row r="93" spans="2:151" ht="15.75">
      <c r="G93" s="94"/>
      <c r="H93" s="117"/>
      <c r="I93" s="95"/>
      <c r="J93" s="102"/>
      <c r="K93" s="102"/>
      <c r="L93" s="102"/>
      <c r="M93" s="102"/>
      <c r="N93" s="102"/>
      <c r="O93" s="102"/>
      <c r="P93" s="102"/>
      <c r="Q93" s="104"/>
      <c r="R93" s="104"/>
      <c r="S93" s="105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  <c r="BM93" s="104"/>
      <c r="BN93" s="104"/>
      <c r="BO93" s="104"/>
      <c r="BP93" s="104"/>
      <c r="BQ93" s="104"/>
      <c r="BR93" s="104"/>
      <c r="BS93" s="104"/>
      <c r="BT93" s="104"/>
      <c r="BU93" s="104"/>
      <c r="BV93" s="104"/>
      <c r="BW93" s="104"/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4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104"/>
      <c r="DP93" s="104"/>
      <c r="DQ93" s="104"/>
      <c r="DR93" s="104"/>
      <c r="DS93" s="104"/>
      <c r="DT93" s="104"/>
      <c r="DU93" s="104"/>
      <c r="DV93" s="104"/>
      <c r="DW93" s="104"/>
      <c r="DX93" s="104"/>
      <c r="DY93" s="104"/>
      <c r="DZ93" s="104"/>
      <c r="EA93" s="104"/>
      <c r="EB93" s="104"/>
      <c r="EC93" s="104"/>
      <c r="ED93" s="104"/>
      <c r="EE93" s="104"/>
      <c r="EF93" s="104"/>
      <c r="EG93" s="104"/>
      <c r="EH93" s="104"/>
      <c r="EI93" s="104"/>
      <c r="EJ93" s="104"/>
      <c r="EK93" s="104"/>
      <c r="EL93" s="104"/>
      <c r="EM93" s="104"/>
      <c r="EN93" s="104"/>
      <c r="EO93" s="104"/>
      <c r="EP93" s="104"/>
      <c r="EQ93" s="104"/>
      <c r="ES93" s="98"/>
      <c r="ET93" s="98"/>
      <c r="EU93" s="98"/>
    </row>
    <row r="94" spans="2:151" ht="15.75">
      <c r="G94" s="101" t="s">
        <v>314</v>
      </c>
      <c r="H94" s="117"/>
      <c r="I94" s="95"/>
      <c r="J94" s="102"/>
      <c r="K94" s="102"/>
      <c r="L94" s="102"/>
      <c r="M94" s="102"/>
      <c r="N94" s="585" t="s">
        <v>10</v>
      </c>
      <c r="O94" s="585"/>
      <c r="P94" s="102"/>
      <c r="Q94" s="104"/>
      <c r="R94" s="104"/>
      <c r="S94" s="105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4"/>
      <c r="BI94" s="104"/>
      <c r="BJ94" s="104"/>
      <c r="BK94" s="104"/>
      <c r="BL94" s="104"/>
      <c r="BM94" s="104"/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  <c r="DH94" s="104"/>
      <c r="DI94" s="104"/>
      <c r="DJ94" s="104"/>
      <c r="DK94" s="104"/>
      <c r="DL94" s="104"/>
      <c r="DM94" s="104"/>
      <c r="DN94" s="104"/>
      <c r="DO94" s="104"/>
      <c r="DP94" s="104"/>
      <c r="DQ94" s="104"/>
      <c r="DR94" s="104"/>
      <c r="DS94" s="104"/>
      <c r="DT94" s="104"/>
      <c r="DU94" s="104"/>
      <c r="DV94" s="104"/>
      <c r="DW94" s="104"/>
      <c r="DX94" s="104"/>
      <c r="DY94" s="104"/>
      <c r="DZ94" s="104"/>
      <c r="EA94" s="104"/>
      <c r="EB94" s="104"/>
      <c r="EC94" s="104"/>
      <c r="ED94" s="104"/>
      <c r="EE94" s="104"/>
      <c r="EF94" s="104"/>
      <c r="EG94" s="104"/>
      <c r="EH94" s="104"/>
      <c r="EI94" s="104"/>
      <c r="EJ94" s="104"/>
      <c r="EK94" s="104"/>
      <c r="EL94" s="104"/>
      <c r="EM94" s="104"/>
      <c r="EN94" s="104"/>
      <c r="EO94" s="104"/>
      <c r="EP94" s="104"/>
      <c r="EQ94" s="104"/>
      <c r="ES94" s="98"/>
      <c r="ET94" s="98"/>
      <c r="EU94" s="98"/>
    </row>
    <row r="95" spans="2:151" ht="15.75">
      <c r="G95" s="101"/>
      <c r="H95" s="236" t="s">
        <v>196</v>
      </c>
      <c r="I95" s="182"/>
      <c r="J95" s="140"/>
      <c r="K95" s="140"/>
      <c r="L95" s="140"/>
      <c r="M95" s="140"/>
      <c r="N95" s="102">
        <f>SUM(O95:EQ95)</f>
        <v>-535914.46920177469</v>
      </c>
      <c r="O95" s="797">
        <v>0</v>
      </c>
      <c r="P95" s="795">
        <f>IF(SUM($P$104:P104)=0,1,0)*IF(P10&gt;Assumptions!$G$10,0,1)*Assumptions!$M$42</f>
        <v>-11402.435514931369</v>
      </c>
      <c r="Q95" s="795">
        <f>IF(SUM($P$104:Q104)=0,1,0)*IF(Q10&gt;Assumptions!$G$10,0,1)*Assumptions!$M$42</f>
        <v>-11402.435514931369</v>
      </c>
      <c r="R95" s="795">
        <f>IF(SUM($P$104:R104)=0,1,0)*IF(R10&gt;Assumptions!$G$10,0,1)*Assumptions!$M$42</f>
        <v>-11402.435514931369</v>
      </c>
      <c r="S95" s="795">
        <f>IF(SUM($P$104:S104)=0,1,0)*IF(S10&gt;Assumptions!$G$10,0,1)*Assumptions!$M$42</f>
        <v>-11402.435514931369</v>
      </c>
      <c r="T95" s="795">
        <f>IF(SUM($P$104:T104)=0,1,0)*IF(T10&gt;Assumptions!$G$10,0,1)*Assumptions!$M$42</f>
        <v>-11402.435514931369</v>
      </c>
      <c r="U95" s="795">
        <f>IF(SUM($P$104:U104)=0,1,0)*IF(U10&gt;Assumptions!$G$10,0,1)*Assumptions!$M$42</f>
        <v>-11402.435514931369</v>
      </c>
      <c r="V95" s="795">
        <f>IF(SUM($P$104:V104)=0,1,0)*IF(V10&gt;Assumptions!$G$10,0,1)*Assumptions!$M$42</f>
        <v>-11402.435514931369</v>
      </c>
      <c r="W95" s="795">
        <f>IF(SUM($P$104:W104)=0,1,0)*IF(W10&gt;Assumptions!$G$10,0,1)*Assumptions!$M$42</f>
        <v>-11402.435514931369</v>
      </c>
      <c r="X95" s="795">
        <f>IF(SUM($P$104:X104)=0,1,0)*IF(X10&gt;Assumptions!$G$10,0,1)*Assumptions!$M$42</f>
        <v>-11402.435514931369</v>
      </c>
      <c r="Y95" s="795">
        <f>IF(SUM($P$104:Y104)=0,1,0)*IF(Y10&gt;Assumptions!$G$10,0,1)*Assumptions!$M$42</f>
        <v>-11402.435514931369</v>
      </c>
      <c r="Z95" s="795">
        <f>IF(SUM($P$104:Z104)=0,1,0)*IF(Z10&gt;Assumptions!$G$10,0,1)*Assumptions!$M$42</f>
        <v>-11402.435514931369</v>
      </c>
      <c r="AA95" s="795">
        <f>IF(SUM($P$104:AA104)=0,1,0)*IF(AA10&gt;Assumptions!$G$10,0,1)*Assumptions!$M$42</f>
        <v>-11402.435514931369</v>
      </c>
      <c r="AB95" s="795">
        <f>IF(SUM($P$104:AB104)=0,1,0)*IF(AB10&gt;Assumptions!$G$10,0,1)*Assumptions!$M$42</f>
        <v>-11402.435514931369</v>
      </c>
      <c r="AC95" s="795">
        <f>IF(SUM($P$104:AC104)=0,1,0)*IF(AC10&gt;Assumptions!$G$10,0,1)*Assumptions!$M$42</f>
        <v>-11402.435514931369</v>
      </c>
      <c r="AD95" s="795">
        <f>IF(SUM($P$104:AD104)=0,1,0)*IF(AD10&gt;Assumptions!$G$10,0,1)*Assumptions!$M$42</f>
        <v>-11402.435514931369</v>
      </c>
      <c r="AE95" s="795">
        <f>IF(SUM($P$104:AE104)=0,1,0)*IF(AE10&gt;Assumptions!$G$10,0,1)*Assumptions!$M$42</f>
        <v>-11402.435514931369</v>
      </c>
      <c r="AF95" s="795">
        <f>IF(SUM($P$104:AF104)=0,1,0)*IF(AF10&gt;Assumptions!$G$10,0,1)*Assumptions!$M$42</f>
        <v>-11402.435514931369</v>
      </c>
      <c r="AG95" s="795">
        <f>IF(SUM($P$104:AG104)=0,1,0)*IF(AG10&gt;Assumptions!$G$10,0,1)*Assumptions!$M$42</f>
        <v>-11402.435514931369</v>
      </c>
      <c r="AH95" s="795">
        <f>IF(SUM($P$104:AH104)=0,1,0)*IF(AH10&gt;Assumptions!$G$10,0,1)*Assumptions!$M$42</f>
        <v>-11402.435514931369</v>
      </c>
      <c r="AI95" s="795">
        <f>IF(SUM($P$104:AI104)=0,1,0)*IF(AI10&gt;Assumptions!$G$10,0,1)*Assumptions!$M$42</f>
        <v>-11402.435514931369</v>
      </c>
      <c r="AJ95" s="795">
        <f>IF(SUM($P$104:AJ104)=0,1,0)*IF(AJ10&gt;Assumptions!$G$10,0,1)*Assumptions!$M$42</f>
        <v>-11402.435514931369</v>
      </c>
      <c r="AK95" s="795">
        <f>IF(SUM($P$104:AK104)=0,1,0)*IF(AK10&gt;Assumptions!$G$10,0,1)*Assumptions!$M$42</f>
        <v>-11402.435514931369</v>
      </c>
      <c r="AL95" s="795">
        <f>IF(SUM($P$104:AL104)=0,1,0)*IF(AL10&gt;Assumptions!$G$10,0,1)*Assumptions!$M$42</f>
        <v>-11402.435514931369</v>
      </c>
      <c r="AM95" s="795">
        <f>IF(SUM($P$104:AM104)=0,1,0)*IF(AM10&gt;Assumptions!$G$10,0,1)*Assumptions!$M$42</f>
        <v>-11402.435514931369</v>
      </c>
      <c r="AN95" s="795">
        <f>IF(SUM($P$104:AN104)=0,1,0)*IF(AN10&gt;Assumptions!$G$10,0,1)*Assumptions!$M$42</f>
        <v>-11402.435514931369</v>
      </c>
      <c r="AO95" s="795">
        <f>IF(SUM($P$104:AO104)=0,1,0)*IF(AO10&gt;Assumptions!$G$10,0,1)*Assumptions!$M$42</f>
        <v>-11402.435514931369</v>
      </c>
      <c r="AP95" s="795">
        <f>IF(SUM($P$104:AP104)=0,1,0)*IF(AP10&gt;Assumptions!$G$10,0,1)*Assumptions!$M$42</f>
        <v>-11402.435514931369</v>
      </c>
      <c r="AQ95" s="795">
        <f>IF(SUM($P$104:AQ104)=0,1,0)*IF(AQ10&gt;Assumptions!$G$10,0,1)*Assumptions!$M$42</f>
        <v>-11402.435514931369</v>
      </c>
      <c r="AR95" s="795">
        <f>IF(SUM($P$104:AR104)=0,1,0)*IF(AR10&gt;Assumptions!$G$10,0,1)*Assumptions!$M$42</f>
        <v>-11402.435514931369</v>
      </c>
      <c r="AS95" s="795">
        <f>IF(SUM($P$104:AS104)=0,1,0)*IF(AS10&gt;Assumptions!$G$10,0,1)*Assumptions!$M$42</f>
        <v>-11402.435514931369</v>
      </c>
      <c r="AT95" s="795">
        <f>IF(SUM($P$104:AT104)=0,1,0)*IF(AT10&gt;Assumptions!$G$10,0,1)*Assumptions!$M$42</f>
        <v>-11402.435514931369</v>
      </c>
      <c r="AU95" s="795">
        <f>IF(SUM($P$104:AU104)=0,1,0)*IF(AU10&gt;Assumptions!$G$10,0,1)*Assumptions!$M$42</f>
        <v>-11402.435514931369</v>
      </c>
      <c r="AV95" s="795">
        <f>IF(SUM($P$104:AV104)=0,1,0)*IF(AV10&gt;Assumptions!$G$10,0,1)*Assumptions!$M$42</f>
        <v>-11402.435514931369</v>
      </c>
      <c r="AW95" s="795">
        <f>IF(SUM($P$104:AW104)=0,1,0)*IF(AW10&gt;Assumptions!$G$10,0,1)*Assumptions!$M$42</f>
        <v>-11402.435514931369</v>
      </c>
      <c r="AX95" s="795">
        <f>IF(SUM($P$104:AX104)=0,1,0)*IF(AX10&gt;Assumptions!$G$10,0,1)*Assumptions!$M$42</f>
        <v>-11402.435514931369</v>
      </c>
      <c r="AY95" s="795">
        <f>IF(SUM($P$104:AY104)=0,1,0)*IF(AY10&gt;Assumptions!$G$10,0,1)*Assumptions!$M$42</f>
        <v>-11402.435514931369</v>
      </c>
      <c r="AZ95" s="795">
        <f>IF(SUM($P$104:AZ104)=0,1,0)*IF(AZ10&gt;Assumptions!$G$10,0,1)*Assumptions!$M$42</f>
        <v>-11402.435514931369</v>
      </c>
      <c r="BA95" s="795">
        <f>IF(SUM($P$104:BA104)=0,1,0)*IF(BA10&gt;Assumptions!$G$10,0,1)*Assumptions!$M$42</f>
        <v>-11402.435514931369</v>
      </c>
      <c r="BB95" s="795">
        <f>IF(SUM($P$104:BB104)=0,1,0)*IF(BB10&gt;Assumptions!$G$10,0,1)*Assumptions!$M$42</f>
        <v>-11402.435514931369</v>
      </c>
      <c r="BC95" s="795">
        <f>IF(SUM($P$104:BC104)=0,1,0)*IF(BC10&gt;Assumptions!$G$10,0,1)*Assumptions!$M$42</f>
        <v>-11402.435514931369</v>
      </c>
      <c r="BD95" s="795">
        <f>IF(SUM($P$104:BD104)=0,1,0)*IF(BD10&gt;Assumptions!$G$10,0,1)*Assumptions!$M$42</f>
        <v>-11402.435514931369</v>
      </c>
      <c r="BE95" s="795">
        <f>IF(SUM($P$104:BE104)=0,1,0)*IF(BE10&gt;Assumptions!$G$10,0,1)*Assumptions!$M$42</f>
        <v>-11402.435514931369</v>
      </c>
      <c r="BF95" s="795">
        <f>IF(SUM($P$104:BF104)=0,1,0)*IF(BF10&gt;Assumptions!$G$10,0,1)*Assumptions!$M$42</f>
        <v>-11402.435514931369</v>
      </c>
      <c r="BG95" s="795">
        <f>IF(SUM($P$104:BG104)=0,1,0)*IF(BG10&gt;Assumptions!$G$10,0,1)*Assumptions!$M$42</f>
        <v>-11402.435514931369</v>
      </c>
      <c r="BH95" s="795">
        <f>IF(SUM($P$104:BH104)=0,1,0)*IF(BH10&gt;Assumptions!$G$10,0,1)*Assumptions!$M$42</f>
        <v>-11402.435514931369</v>
      </c>
      <c r="BI95" s="795">
        <f>IF(SUM($P$104:BI104)=0,1,0)*IF(BI10&gt;Assumptions!$G$10,0,1)*Assumptions!$M$42</f>
        <v>-11402.435514931369</v>
      </c>
      <c r="BJ95" s="795">
        <f>IF(SUM($P$104:BJ104)=0,1,0)*IF(BJ10&gt;Assumptions!$G$10,0,1)*Assumptions!$M$42</f>
        <v>-11402.435514931369</v>
      </c>
      <c r="BK95" s="795">
        <f>IF(SUM($P$104:BK104)=0,1,0)*IF(BK10&gt;Assumptions!$G$10,0,1)*Assumptions!$M$42</f>
        <v>0</v>
      </c>
      <c r="BL95" s="795">
        <f>IF(SUM($P$104:BL104)=0,1,0)*IF(BL10&gt;Assumptions!$G$10,0,1)*Assumptions!$M$42</f>
        <v>0</v>
      </c>
      <c r="BM95" s="795">
        <f>IF(SUM($P$104:BM104)=0,1,0)*IF(BM10&gt;Assumptions!$G$10,0,1)*Assumptions!$M$42</f>
        <v>0</v>
      </c>
      <c r="BN95" s="795">
        <f>IF(SUM($P$104:BN104)=0,1,0)*IF(BN10&gt;Assumptions!$G$10,0,1)*Assumptions!$M$42</f>
        <v>0</v>
      </c>
      <c r="BO95" s="795">
        <f>IF(SUM($P$104:BO104)=0,1,0)*IF(BO10&gt;Assumptions!$G$10,0,1)*Assumptions!$M$42</f>
        <v>0</v>
      </c>
      <c r="BP95" s="795">
        <f>IF(SUM($P$104:BP104)=0,1,0)*IF(BP10&gt;Assumptions!$G$10,0,1)*Assumptions!$M$42</f>
        <v>0</v>
      </c>
      <c r="BQ95" s="795">
        <f>IF(SUM($P$104:BQ104)=0,1,0)*IF(BQ10&gt;Assumptions!$G$10,0,1)*Assumptions!$M$42</f>
        <v>0</v>
      </c>
      <c r="BR95" s="795">
        <f>IF(SUM($P$104:BR104)=0,1,0)*IF(BR10&gt;Assumptions!$G$10,0,1)*Assumptions!$M$42</f>
        <v>0</v>
      </c>
      <c r="BS95" s="795">
        <f>IF(SUM($P$104:BS104)=0,1,0)*IF(BS10&gt;Assumptions!$G$10,0,1)*Assumptions!$M$42</f>
        <v>0</v>
      </c>
      <c r="BT95" s="795">
        <f>IF(SUM($P$104:BT104)=0,1,0)*IF(BT10&gt;Assumptions!$G$10,0,1)*Assumptions!$M$42</f>
        <v>0</v>
      </c>
      <c r="BU95" s="795">
        <f>IF(SUM($P$104:BU104)=0,1,0)*IF(BU10&gt;Assumptions!$G$10,0,1)*Assumptions!$M$42</f>
        <v>0</v>
      </c>
      <c r="BV95" s="795">
        <f>IF(SUM($P$104:BV104)=0,1,0)*IF(BV10&gt;Assumptions!$G$10,0,1)*Assumptions!$M$42</f>
        <v>0</v>
      </c>
      <c r="BW95" s="795">
        <f>IF(SUM($P$104:BW104)=0,1,0)*IF(BW10&gt;Assumptions!$G$10,0,1)*Assumptions!$M$42</f>
        <v>0</v>
      </c>
      <c r="BX95" s="795">
        <f>IF(SUM($P$104:BX104)=0,1,0)*IF(BX10&gt;Assumptions!$G$10,0,1)*Assumptions!$M$42</f>
        <v>0</v>
      </c>
      <c r="BY95" s="795">
        <f>IF(SUM($P$104:BY104)=0,1,0)*IF(BY10&gt;Assumptions!$G$10,0,1)*Assumptions!$M$42</f>
        <v>0</v>
      </c>
      <c r="BZ95" s="795">
        <f>IF(SUM($P$104:BZ104)=0,1,0)*IF(BZ10&gt;Assumptions!$G$10,0,1)*Assumptions!$M$42</f>
        <v>0</v>
      </c>
      <c r="CA95" s="795">
        <f>IF(SUM($P$104:CA104)=0,1,0)*IF(CA10&gt;Assumptions!$G$10,0,1)*Assumptions!$M$42</f>
        <v>0</v>
      </c>
      <c r="CB95" s="795">
        <f>IF(SUM($P$104:CB104)=0,1,0)*IF(CB10&gt;Assumptions!$G$10,0,1)*Assumptions!$M$42</f>
        <v>0</v>
      </c>
      <c r="CC95" s="795">
        <f>IF(SUM($P$104:CC104)=0,1,0)*IF(CC10&gt;Assumptions!$G$10,0,1)*Assumptions!$M$42</f>
        <v>0</v>
      </c>
      <c r="CD95" s="795">
        <f>IF(SUM($P$104:CD104)=0,1,0)*IF(CD10&gt;Assumptions!$G$10,0,1)*Assumptions!$M$42</f>
        <v>0</v>
      </c>
      <c r="CE95" s="795">
        <f>IF(SUM($P$104:CE104)=0,1,0)*IF(CE10&gt;Assumptions!$G$10,0,1)*Assumptions!$M$42</f>
        <v>0</v>
      </c>
      <c r="CF95" s="795">
        <f>IF(SUM($P$104:CF104)=0,1,0)*IF(CF10&gt;Assumptions!$G$10,0,1)*Assumptions!$M$42</f>
        <v>0</v>
      </c>
      <c r="CG95" s="795">
        <f>IF(SUM($P$104:CG104)=0,1,0)*IF(CG10&gt;Assumptions!$G$10,0,1)*Assumptions!$M$42</f>
        <v>0</v>
      </c>
      <c r="CH95" s="795">
        <f>IF(SUM($P$104:CH104)=0,1,0)*IF(CH10&gt;Assumptions!$G$10,0,1)*Assumptions!$M$42</f>
        <v>0</v>
      </c>
      <c r="CI95" s="795">
        <f>IF(SUM($P$104:CI104)=0,1,0)*IF(CI10&gt;Assumptions!$G$10,0,1)*Assumptions!$M$42</f>
        <v>0</v>
      </c>
      <c r="CJ95" s="795">
        <f>IF(SUM($P$104:CJ104)=0,1,0)*IF(CJ10&gt;Assumptions!$G$10,0,1)*Assumptions!$M$42</f>
        <v>0</v>
      </c>
      <c r="CK95" s="795">
        <f>IF(SUM($P$104:CK104)=0,1,0)*IF(CK10&gt;Assumptions!$G$10,0,1)*Assumptions!$M$42</f>
        <v>0</v>
      </c>
      <c r="CL95" s="795">
        <f>IF(SUM($P$104:CL104)=0,1,0)*IF(CL10&gt;Assumptions!$G$10,0,1)*Assumptions!$M$42</f>
        <v>0</v>
      </c>
      <c r="CM95" s="795">
        <f>IF(SUM($P$104:CM104)=0,1,0)*IF(CM10&gt;Assumptions!$G$10,0,1)*Assumptions!$M$42</f>
        <v>0</v>
      </c>
      <c r="CN95" s="795">
        <f>IF(SUM($P$104:CN104)=0,1,0)*IF(CN10&gt;Assumptions!$G$10,0,1)*Assumptions!$M$42</f>
        <v>0</v>
      </c>
      <c r="CO95" s="795">
        <f>IF(SUM($P$104:CO104)=0,1,0)*IF(CO10&gt;Assumptions!$G$10,0,1)*Assumptions!$M$42</f>
        <v>0</v>
      </c>
      <c r="CP95" s="795">
        <f>IF(SUM($P$104:CP104)=0,1,0)*IF(CP10&gt;Assumptions!$G$10,0,1)*Assumptions!$M$42</f>
        <v>0</v>
      </c>
      <c r="CQ95" s="795">
        <f>IF(SUM($P$104:CQ104)=0,1,0)*IF(CQ10&gt;Assumptions!$G$10,0,1)*Assumptions!$M$42</f>
        <v>0</v>
      </c>
      <c r="CR95" s="795">
        <f>IF(SUM($P$104:CR104)=0,1,0)*IF(CR10&gt;Assumptions!$G$10,0,1)*Assumptions!$M$42</f>
        <v>0</v>
      </c>
      <c r="CS95" s="795">
        <f>IF(SUM($P$104:CS104)=0,1,0)*IF(CS10&gt;Assumptions!$G$10,0,1)*Assumptions!$M$42</f>
        <v>0</v>
      </c>
      <c r="CT95" s="795">
        <f>IF(SUM($P$104:CT104)=0,1,0)*IF(CT10&gt;Assumptions!$G$10,0,1)*Assumptions!$M$42</f>
        <v>0</v>
      </c>
      <c r="CU95" s="795">
        <f>IF(SUM($P$104:CU104)=0,1,0)*IF(CU10&gt;Assumptions!$G$10,0,1)*Assumptions!$M$42</f>
        <v>0</v>
      </c>
      <c r="CV95" s="795">
        <f>IF(SUM($P$104:CV104)=0,1,0)*IF(CV10&gt;Assumptions!$G$10,0,1)*Assumptions!$M$42</f>
        <v>0</v>
      </c>
      <c r="CW95" s="795">
        <f>IF(SUM($P$104:CW104)=0,1,0)*IF(CW10&gt;Assumptions!$G$10,0,1)*Assumptions!$M$42</f>
        <v>0</v>
      </c>
      <c r="CX95" s="795">
        <f>IF(SUM($P$104:CX104)=0,1,0)*IF(CX10&gt;Assumptions!$G$10,0,1)*Assumptions!$M$42</f>
        <v>0</v>
      </c>
      <c r="CY95" s="795">
        <f>IF(SUM($P$104:CY104)=0,1,0)*IF(CY10&gt;Assumptions!$G$10,0,1)*Assumptions!$M$42</f>
        <v>0</v>
      </c>
      <c r="CZ95" s="795">
        <f>IF(SUM($P$104:CZ104)=0,1,0)*IF(CZ10&gt;Assumptions!$G$10,0,1)*Assumptions!$M$42</f>
        <v>0</v>
      </c>
      <c r="DA95" s="795">
        <f>IF(SUM($P$104:DA104)=0,1,0)*IF(DA10&gt;Assumptions!$G$10,0,1)*Assumptions!$M$42</f>
        <v>0</v>
      </c>
      <c r="DB95" s="795">
        <f>IF(SUM($P$104:DB104)=0,1,0)*IF(DB10&gt;Assumptions!$G$10,0,1)*Assumptions!$M$42</f>
        <v>0</v>
      </c>
      <c r="DC95" s="795">
        <f>IF(SUM($P$104:DC104)=0,1,0)*IF(DC10&gt;Assumptions!$G$10,0,1)*Assumptions!$M$42</f>
        <v>0</v>
      </c>
      <c r="DD95" s="795">
        <f>IF(SUM($P$104:DD104)=0,1,0)*IF(DD10&gt;Assumptions!$G$10,0,1)*Assumptions!$M$42</f>
        <v>0</v>
      </c>
      <c r="DE95" s="795">
        <f>IF(SUM($P$104:DE104)=0,1,0)*IF(DE10&gt;Assumptions!$G$10,0,1)*Assumptions!$M$42</f>
        <v>0</v>
      </c>
      <c r="DF95" s="795">
        <f>IF(SUM($P$104:DF104)=0,1,0)*IF(DF10&gt;Assumptions!$G$10,0,1)*Assumptions!$M$42</f>
        <v>0</v>
      </c>
      <c r="DG95" s="795">
        <f>IF(SUM($P$104:DG104)=0,1,0)*IF(DG10&gt;Assumptions!$G$10,0,1)*Assumptions!$M$42</f>
        <v>0</v>
      </c>
      <c r="DH95" s="795">
        <f>IF(SUM($P$104:DH104)=0,1,0)*IF(DH10&gt;Assumptions!$G$10,0,1)*Assumptions!$M$42</f>
        <v>0</v>
      </c>
      <c r="DI95" s="795">
        <f>IF(SUM($P$104:DI104)=0,1,0)*IF(DI10&gt;Assumptions!$G$10,0,1)*Assumptions!$M$42</f>
        <v>0</v>
      </c>
      <c r="DJ95" s="795">
        <f>IF(SUM($P$104:DJ104)=0,1,0)*IF(DJ10&gt;Assumptions!$G$10,0,1)*Assumptions!$M$42</f>
        <v>0</v>
      </c>
      <c r="DK95" s="795">
        <f>IF(SUM($P$104:DK104)=0,1,0)*IF(DK10&gt;Assumptions!$G$10,0,1)*Assumptions!$M$42</f>
        <v>0</v>
      </c>
      <c r="DL95" s="795">
        <f>IF(SUM($P$104:DL104)=0,1,0)*IF(DL10&gt;Assumptions!$G$10,0,1)*Assumptions!$M$42</f>
        <v>0</v>
      </c>
      <c r="DM95" s="795">
        <f>IF(SUM($P$104:DM104)=0,1,0)*IF(DM10&gt;Assumptions!$G$10,0,1)*Assumptions!$M$42</f>
        <v>0</v>
      </c>
      <c r="DN95" s="795">
        <f>IF(SUM($P$104:DN104)=0,1,0)*IF(DN10&gt;Assumptions!$G$10,0,1)*Assumptions!$M$42</f>
        <v>0</v>
      </c>
      <c r="DO95" s="795">
        <f>IF(SUM($P$104:DO104)=0,1,0)*IF(DO10&gt;Assumptions!$G$10,0,1)*Assumptions!$M$42</f>
        <v>0</v>
      </c>
      <c r="DP95" s="795">
        <f>IF(SUM($P$104:DP104)=0,1,0)*IF(DP10&gt;Assumptions!$G$10,0,1)*Assumptions!$M$42</f>
        <v>0</v>
      </c>
      <c r="DQ95" s="795">
        <f>IF(SUM($P$104:DQ104)=0,1,0)*IF(DQ10&gt;Assumptions!$G$10,0,1)*Assumptions!$M$42</f>
        <v>0</v>
      </c>
      <c r="DR95" s="795">
        <f>IF(SUM($P$104:DR104)=0,1,0)*IF(DR10&gt;Assumptions!$G$10,0,1)*Assumptions!$M$42</f>
        <v>0</v>
      </c>
      <c r="DS95" s="795">
        <f>IF(SUM($P$104:DS104)=0,1,0)*IF(DS10&gt;Assumptions!$G$10,0,1)*Assumptions!$M$42</f>
        <v>0</v>
      </c>
      <c r="DT95" s="795">
        <f>IF(SUM($P$104:DT104)=0,1,0)*IF(DT10&gt;Assumptions!$G$10,0,1)*Assumptions!$M$42</f>
        <v>0</v>
      </c>
      <c r="DU95" s="795">
        <f>IF(SUM($P$104:DU104)=0,1,0)*IF(DU10&gt;Assumptions!$G$10,0,1)*Assumptions!$M$42</f>
        <v>0</v>
      </c>
      <c r="DV95" s="795">
        <f>IF(SUM($P$104:DV104)=0,1,0)*IF(DV10&gt;Assumptions!$G$10,0,1)*Assumptions!$M$42</f>
        <v>0</v>
      </c>
      <c r="DW95" s="795">
        <f>IF(SUM($P$104:DW104)=0,1,0)*IF(DW10&gt;Assumptions!$G$10,0,1)*Assumptions!$M$42</f>
        <v>0</v>
      </c>
      <c r="DX95" s="795">
        <f>IF(SUM($P$104:DX104)=0,1,0)*IF(DX10&gt;Assumptions!$G$10,0,1)*Assumptions!$M$42</f>
        <v>0</v>
      </c>
      <c r="DY95" s="795">
        <f>IF(SUM($P$104:DY104)=0,1,0)*IF(DY10&gt;Assumptions!$G$10,0,1)*Assumptions!$M$42</f>
        <v>0</v>
      </c>
      <c r="DZ95" s="795">
        <f>IF(SUM($P$104:DZ104)=0,1,0)*IF(DZ10&gt;Assumptions!$G$10,0,1)*Assumptions!$M$42</f>
        <v>0</v>
      </c>
      <c r="EA95" s="795">
        <f>IF(SUM($P$104:EA104)=0,1,0)*IF(EA10&gt;Assumptions!$G$10,0,1)*Assumptions!$M$42</f>
        <v>0</v>
      </c>
      <c r="EB95" s="795">
        <f>IF(SUM($P$104:EB104)=0,1,0)*IF(EB10&gt;Assumptions!$G$10,0,1)*Assumptions!$M$42</f>
        <v>0</v>
      </c>
      <c r="EC95" s="795">
        <f>IF(SUM($P$104:EC104)=0,1,0)*IF(EC10&gt;Assumptions!$G$10,0,1)*Assumptions!$M$42</f>
        <v>0</v>
      </c>
      <c r="ED95" s="795">
        <f>IF(SUM($P$104:ED104)=0,1,0)*IF(ED10&gt;Assumptions!$G$10,0,1)*Assumptions!$M$42</f>
        <v>0</v>
      </c>
      <c r="EE95" s="795">
        <f>IF(SUM($P$104:EE104)=0,1,0)*IF(EE10&gt;Assumptions!$G$10,0,1)*Assumptions!$M$42</f>
        <v>0</v>
      </c>
      <c r="EF95" s="795">
        <f>IF(SUM($P$104:EF104)=0,1,0)*IF(EF10&gt;Assumptions!$G$10,0,1)*Assumptions!$M$42</f>
        <v>0</v>
      </c>
      <c r="EG95" s="795">
        <f>IF(SUM($P$104:EG104)=0,1,0)*IF(EG10&gt;Assumptions!$G$10,0,1)*Assumptions!$M$42</f>
        <v>0</v>
      </c>
      <c r="EH95" s="795">
        <f>IF(SUM($P$104:EH104)=0,1,0)*IF(EH10&gt;Assumptions!$G$10,0,1)*Assumptions!$M$42</f>
        <v>0</v>
      </c>
      <c r="EI95" s="795">
        <f>IF(SUM($P$104:EI104)=0,1,0)*IF(EI10&gt;Assumptions!$G$10,0,1)*Assumptions!$M$42</f>
        <v>0</v>
      </c>
      <c r="EJ95" s="795">
        <f>IF(SUM($P$104:EJ104)=0,1,0)*IF(EJ10&gt;Assumptions!$G$10,0,1)*Assumptions!$M$42</f>
        <v>0</v>
      </c>
      <c r="EK95" s="795">
        <f>IF(SUM($P$104:EK104)=0,1,0)*IF(EK10&gt;Assumptions!$G$10,0,1)*Assumptions!$M$42</f>
        <v>0</v>
      </c>
      <c r="EL95" s="795">
        <f>IF(SUM($P$104:EL104)=0,1,0)*IF(EL10&gt;Assumptions!$G$10,0,1)*Assumptions!$M$42</f>
        <v>0</v>
      </c>
      <c r="EM95" s="795">
        <f>IF(SUM($P$104:EM104)=0,1,0)*IF(EM10&gt;Assumptions!$G$10,0,1)*Assumptions!$M$42</f>
        <v>0</v>
      </c>
      <c r="EN95" s="795">
        <f>IF(SUM($P$104:EN104)=0,1,0)*IF(EN10&gt;Assumptions!$G$10,0,1)*Assumptions!$M$42</f>
        <v>0</v>
      </c>
      <c r="EO95" s="795">
        <f>IF(SUM($P$104:EO104)=0,1,0)*IF(EO10&gt;Assumptions!$G$10,0,1)*Assumptions!$M$42</f>
        <v>0</v>
      </c>
      <c r="EP95" s="795">
        <f>IF(SUM($P$104:EP104)=0,1,0)*IF(EP10&gt;Assumptions!$G$10,0,1)*Assumptions!$M$42</f>
        <v>0</v>
      </c>
      <c r="EQ95" s="795">
        <f>IF(SUM($P$104:EQ104)=0,1,0)*IF(EQ10&gt;Assumptions!$G$10,0,1)*Assumptions!$M$42</f>
        <v>0</v>
      </c>
      <c r="ER95" s="102"/>
      <c r="ES95" s="98"/>
      <c r="ET95" s="98"/>
      <c r="EU95" s="98"/>
    </row>
    <row r="96" spans="2:151" ht="15.75">
      <c r="G96" s="101"/>
      <c r="H96" s="125" t="s">
        <v>215</v>
      </c>
      <c r="I96" s="95"/>
      <c r="J96" s="102"/>
      <c r="K96" s="102"/>
      <c r="L96" s="102"/>
      <c r="M96" s="102"/>
      <c r="N96" s="102">
        <f ca="1">SUM(O96:EQ96)</f>
        <v>-780159.45048735198</v>
      </c>
      <c r="O96" s="102">
        <f>IF(AND(Assumptions!$M$48&gt;0,'Monthly Cash Flow Solution'!O10&gt;=Assumptions!$M$48,'Monthly Cash Flow Solution'!O10&lt;=Assumptions!$G$10),Assumptions!$L$51,0)</f>
        <v>0</v>
      </c>
      <c r="P96" s="102">
        <f>IF(AND(Assumptions!$M$48&gt;0,'Monthly Cash Flow Solution'!P10&gt;=Assumptions!$M$48,'Monthly Cash Flow Solution'!P10&lt;=Assumptions!$G$10),Assumptions!$L$51,0)</f>
        <v>0</v>
      </c>
      <c r="Q96" s="102">
        <f>IF(AND(Assumptions!$M$48&gt;0,'Monthly Cash Flow Solution'!Q10&gt;=Assumptions!$M$48,'Monthly Cash Flow Solution'!Q10&lt;=Assumptions!$G$10),Assumptions!$L$51,0)</f>
        <v>0</v>
      </c>
      <c r="R96" s="102">
        <f>IF(AND(Assumptions!$M$48&gt;0,'Monthly Cash Flow Solution'!R10&gt;=Assumptions!$M$48,'Monthly Cash Flow Solution'!R10&lt;=Assumptions!$G$10),Assumptions!$L$51,0)</f>
        <v>0</v>
      </c>
      <c r="S96" s="102">
        <f>IF(AND(Assumptions!$M$48&gt;0,'Monthly Cash Flow Solution'!S10&gt;=Assumptions!$M$48,'Monthly Cash Flow Solution'!S10&lt;=Assumptions!$G$10),Assumptions!$L$51,0)</f>
        <v>0</v>
      </c>
      <c r="T96" s="102">
        <f>IF(AND(Assumptions!$M$48&gt;0,'Monthly Cash Flow Solution'!T10&gt;=Assumptions!$M$48,'Monthly Cash Flow Solution'!T10&lt;=Assumptions!$G$10),Assumptions!$L$51,0)</f>
        <v>0</v>
      </c>
      <c r="U96" s="102">
        <f>IF(AND(Assumptions!$M$48&gt;0,'Monthly Cash Flow Solution'!U10&gt;=Assumptions!$M$48,'Monthly Cash Flow Solution'!U10&lt;=Assumptions!$G$10),Assumptions!$L$51,0)</f>
        <v>0</v>
      </c>
      <c r="V96" s="102">
        <f>IF(AND(Assumptions!$M$48&gt;0,'Monthly Cash Flow Solution'!V10&gt;=Assumptions!$M$48,'Monthly Cash Flow Solution'!V10&lt;=Assumptions!$G$10),Assumptions!$L$51,0)</f>
        <v>0</v>
      </c>
      <c r="W96" s="102">
        <f>IF(AND(Assumptions!$M$48&gt;0,'Monthly Cash Flow Solution'!W10&gt;=Assumptions!$M$48,'Monthly Cash Flow Solution'!W10&lt;=Assumptions!$G$10),Assumptions!$L$51,0)</f>
        <v>0</v>
      </c>
      <c r="X96" s="102">
        <f>IF(AND(Assumptions!$M$48&gt;0,'Monthly Cash Flow Solution'!X10&gt;=Assumptions!$M$48,'Monthly Cash Flow Solution'!X10&lt;=Assumptions!$G$10),Assumptions!$L$51,0)</f>
        <v>0</v>
      </c>
      <c r="Y96" s="102">
        <f>IF(AND(Assumptions!$M$48&gt;0,'Monthly Cash Flow Solution'!Y10&gt;=Assumptions!$M$48,'Monthly Cash Flow Solution'!Y10&lt;=Assumptions!$G$10),Assumptions!$L$51,0)</f>
        <v>0</v>
      </c>
      <c r="Z96" s="102">
        <f>IF(AND(Assumptions!$M$48&gt;0,'Monthly Cash Flow Solution'!Z10&gt;=Assumptions!$M$48,'Monthly Cash Flow Solution'!Z10&lt;=Assumptions!$G$10),Assumptions!$L$51,0)</f>
        <v>0</v>
      </c>
      <c r="AA96" s="102">
        <f>IF(AND(Assumptions!$M$48&gt;0,'Monthly Cash Flow Solution'!AA10&gt;=Assumptions!$M$48,'Monthly Cash Flow Solution'!AA10&lt;=Assumptions!$G$10),Assumptions!$L$51,0)</f>
        <v>0</v>
      </c>
      <c r="AB96" s="102">
        <f>IF(AND(Assumptions!$M$48&gt;0,'Monthly Cash Flow Solution'!AB10&gt;=Assumptions!$M$48,'Monthly Cash Flow Solution'!AB10&lt;=Assumptions!$G$10),Assumptions!$L$51,0)</f>
        <v>0</v>
      </c>
      <c r="AC96" s="102">
        <f>IF(AND(Assumptions!$M$48&gt;0,'Monthly Cash Flow Solution'!AC10&gt;=Assumptions!$M$48,'Monthly Cash Flow Solution'!AC10&lt;=Assumptions!$G$10),Assumptions!$L$51,0)</f>
        <v>0</v>
      </c>
      <c r="AD96" s="102">
        <f>IF(AND(Assumptions!$M$48&gt;0,'Monthly Cash Flow Solution'!AD10&gt;=Assumptions!$M$48,'Monthly Cash Flow Solution'!AD10&lt;=Assumptions!$G$10),Assumptions!$L$51,0)</f>
        <v>0</v>
      </c>
      <c r="AE96" s="102">
        <f>IF(AND(Assumptions!$M$48&gt;0,'Monthly Cash Flow Solution'!AE10&gt;=Assumptions!$M$48,'Monthly Cash Flow Solution'!AE10&lt;=Assumptions!$G$10),Assumptions!$L$51,0)</f>
        <v>0</v>
      </c>
      <c r="AF96" s="102">
        <f>IF(AND(Assumptions!$M$48&gt;0,'Monthly Cash Flow Solution'!AF10&gt;=Assumptions!$M$48,'Monthly Cash Flow Solution'!AF10&lt;=Assumptions!$G$10),Assumptions!$L$51,0)</f>
        <v>0</v>
      </c>
      <c r="AG96" s="102">
        <f>IF(AND(Assumptions!$M$48&gt;0,'Monthly Cash Flow Solution'!AG10&gt;=Assumptions!$M$48,'Monthly Cash Flow Solution'!AG10&lt;=Assumptions!$G$10),Assumptions!$L$51,0)</f>
        <v>0</v>
      </c>
      <c r="AH96" s="102">
        <f>IF(AND(Assumptions!$M$48&gt;0,'Monthly Cash Flow Solution'!AH10&gt;=Assumptions!$M$48,'Monthly Cash Flow Solution'!AH10&lt;=Assumptions!$G$10),Assumptions!$L$51,0)</f>
        <v>0</v>
      </c>
      <c r="AI96" s="102">
        <f>IF(AND(Assumptions!$M$48&gt;0,'Monthly Cash Flow Solution'!AI10&gt;=Assumptions!$M$48,'Monthly Cash Flow Solution'!AI10&lt;=Assumptions!$G$10),Assumptions!$L$51,0)</f>
        <v>0</v>
      </c>
      <c r="AJ96" s="102">
        <f>IF(AND(Assumptions!$M$48&gt;0,'Monthly Cash Flow Solution'!AJ10&gt;=Assumptions!$M$48,'Monthly Cash Flow Solution'!AJ10&lt;=Assumptions!$G$10),Assumptions!$L$51,0)</f>
        <v>0</v>
      </c>
      <c r="AK96" s="102">
        <f>IF(AND(Assumptions!$M$48&gt;0,'Monthly Cash Flow Solution'!AK10&gt;=Assumptions!$M$48,'Monthly Cash Flow Solution'!AK10&lt;=Assumptions!$G$10),Assumptions!$L$51,0)</f>
        <v>0</v>
      </c>
      <c r="AL96" s="102">
        <f>IF(AND(Assumptions!$M$48&gt;0,'Monthly Cash Flow Solution'!AL10&gt;=Assumptions!$M$48,'Monthly Cash Flow Solution'!AL10&lt;=Assumptions!$G$10),Assumptions!$L$51,0)</f>
        <v>0</v>
      </c>
      <c r="AM96" s="102">
        <f>IF(AND(Assumptions!$M$48&gt;0,'Monthly Cash Flow Solution'!AM10&gt;=Assumptions!$M$48,'Monthly Cash Flow Solution'!AM10&lt;=Assumptions!$G$10),Assumptions!$L$51,0)</f>
        <v>0</v>
      </c>
      <c r="AN96" s="102">
        <f>IF(AND(Assumptions!$M$48&gt;0,'Monthly Cash Flow Solution'!AN10&gt;=Assumptions!$M$48,'Monthly Cash Flow Solution'!AN10&lt;=Assumptions!$G$10),Assumptions!$L$51,0)</f>
        <v>0</v>
      </c>
      <c r="AO96" s="102">
        <f>IF(AND(Assumptions!$M$48&gt;0,'Monthly Cash Flow Solution'!AO10&gt;=Assumptions!$M$48,'Monthly Cash Flow Solution'!AO10&lt;=Assumptions!$G$10),Assumptions!$L$51,0)</f>
        <v>0</v>
      </c>
      <c r="AP96" s="102">
        <f>IF(AND(Assumptions!$M$48&gt;0,'Monthly Cash Flow Solution'!AP10&gt;=Assumptions!$M$48,'Monthly Cash Flow Solution'!AP10&lt;=Assumptions!$G$10),Assumptions!$L$51,0)</f>
        <v>0</v>
      </c>
      <c r="AQ96" s="102">
        <f>IF(AND(Assumptions!$M$48&gt;0,'Monthly Cash Flow Solution'!AQ10&gt;=Assumptions!$M$48,'Monthly Cash Flow Solution'!AQ10&lt;=Assumptions!$G$10),Assumptions!$L$51,0)</f>
        <v>0</v>
      </c>
      <c r="AR96" s="102">
        <f>IF(AND(Assumptions!$M$48&gt;0,'Monthly Cash Flow Solution'!AR10&gt;=Assumptions!$M$48,'Monthly Cash Flow Solution'!AR10&lt;=Assumptions!$G$10),Assumptions!$L$51,0)</f>
        <v>0</v>
      </c>
      <c r="AS96" s="102">
        <f>IF(AND(Assumptions!$M$48&gt;0,'Monthly Cash Flow Solution'!AS10&gt;=Assumptions!$M$48,'Monthly Cash Flow Solution'!AS10&lt;=Assumptions!$G$10),Assumptions!$L$51,0)</f>
        <v>0</v>
      </c>
      <c r="AT96" s="102">
        <f>IF(AND(Assumptions!$M$48&gt;0,'Monthly Cash Flow Solution'!AT10&gt;=Assumptions!$M$48,'Monthly Cash Flow Solution'!AT10&lt;=Assumptions!$G$10),Assumptions!$L$51,0)</f>
        <v>0</v>
      </c>
      <c r="AU96" s="102">
        <f>IF(AND(Assumptions!$M$48&gt;0,'Monthly Cash Flow Solution'!AU10&gt;=Assumptions!$M$48,'Monthly Cash Flow Solution'!AU10&lt;=Assumptions!$G$10),Assumptions!$L$51,0)</f>
        <v>0</v>
      </c>
      <c r="AV96" s="102">
        <f>IF(AND(Assumptions!$M$48&gt;0,'Monthly Cash Flow Solution'!AV10&gt;=Assumptions!$M$48,'Monthly Cash Flow Solution'!AV10&lt;=Assumptions!$G$10),Assumptions!$L$51,0)</f>
        <v>0</v>
      </c>
      <c r="AW96" s="102">
        <f>IF(AND(Assumptions!$M$48&gt;0,'Monthly Cash Flow Solution'!AW10&gt;=Assumptions!$M$48,'Monthly Cash Flow Solution'!AW10&lt;=Assumptions!$G$10),Assumptions!$L$51,0)</f>
        <v>0</v>
      </c>
      <c r="AX96" s="102">
        <f>IF(AND(Assumptions!$M$48&gt;0,'Monthly Cash Flow Solution'!AX10&gt;=Assumptions!$M$48,'Monthly Cash Flow Solution'!AX10&lt;=Assumptions!$G$10),Assumptions!$L$51,0)</f>
        <v>0</v>
      </c>
      <c r="AY96" s="102">
        <f>IF(AND(Assumptions!$M$48&gt;0,'Monthly Cash Flow Solution'!AY10&gt;=Assumptions!$M$48,'Monthly Cash Flow Solution'!AY10&lt;=Assumptions!$G$10),Assumptions!$L$51,0)</f>
        <v>0</v>
      </c>
      <c r="AZ96" s="102">
        <f>IF(AND(Assumptions!$M$48&gt;0,'Monthly Cash Flow Solution'!AZ10&gt;=Assumptions!$M$48,'Monthly Cash Flow Solution'!AZ10&lt;=Assumptions!$G$10),Assumptions!$L$51,0)</f>
        <v>0</v>
      </c>
      <c r="BA96" s="102">
        <f>IF(AND(Assumptions!$M$48&gt;0,'Monthly Cash Flow Solution'!BA10&gt;=Assumptions!$M$48,'Monthly Cash Flow Solution'!BA10&lt;=Assumptions!$G$10),Assumptions!$L$51,0)</f>
        <v>0</v>
      </c>
      <c r="BB96" s="102">
        <f>IF(AND(Assumptions!$M$48&gt;0,'Monthly Cash Flow Solution'!BB10&gt;=Assumptions!$M$48,'Monthly Cash Flow Solution'!BB10&lt;=Assumptions!$G$10),Assumptions!$L$51,0)</f>
        <v>0</v>
      </c>
      <c r="BC96" s="102">
        <f>IF(AND(Assumptions!$M$48&gt;0,'Monthly Cash Flow Solution'!BC10&gt;=Assumptions!$M$48,'Monthly Cash Flow Solution'!BC10&lt;=Assumptions!$G$10),Assumptions!$L$51,0)</f>
        <v>0</v>
      </c>
      <c r="BD96" s="102">
        <f>IF(AND(Assumptions!$M$48&gt;0,'Monthly Cash Flow Solution'!BD10&gt;=Assumptions!$M$48,'Monthly Cash Flow Solution'!BD10&lt;=Assumptions!$G$10),Assumptions!$L$51,0)</f>
        <v>0</v>
      </c>
      <c r="BE96" s="102">
        <f>IF(AND(Assumptions!$M$48&gt;0,'Monthly Cash Flow Solution'!BE10&gt;=Assumptions!$M$48,'Monthly Cash Flow Solution'!BE10&lt;=Assumptions!$G$10),Assumptions!$L$51,0)</f>
        <v>0</v>
      </c>
      <c r="BF96" s="102">
        <f>IF(AND(Assumptions!$M$48&gt;0,'Monthly Cash Flow Solution'!BF10&gt;=Assumptions!$M$48,'Monthly Cash Flow Solution'!BF10&lt;=Assumptions!$G$10),Assumptions!$L$51,0)</f>
        <v>0</v>
      </c>
      <c r="BG96" s="102">
        <f>IF(AND(Assumptions!$M$48&gt;0,'Monthly Cash Flow Solution'!BG10&gt;=Assumptions!$M$48,'Monthly Cash Flow Solution'!BG10&lt;=Assumptions!$G$10),Assumptions!$L$51,0)</f>
        <v>0</v>
      </c>
      <c r="BH96" s="102">
        <f>IF(AND(Assumptions!$M$48&gt;0,'Monthly Cash Flow Solution'!BH10&gt;=Assumptions!$M$48,'Monthly Cash Flow Solution'!BH10&lt;=Assumptions!$G$10),Assumptions!$L$51,0)</f>
        <v>0</v>
      </c>
      <c r="BI96" s="102">
        <f>IF(AND(Assumptions!$M$48&gt;0,'Monthly Cash Flow Solution'!BI10&gt;=Assumptions!$M$48,'Monthly Cash Flow Solution'!BI10&lt;=Assumptions!$G$10),Assumptions!$L$51,0)</f>
        <v>0</v>
      </c>
      <c r="BJ96" s="102">
        <f>IF(AND(Assumptions!$M$48&gt;0,'Monthly Cash Flow Solution'!BJ10&gt;=Assumptions!$M$48,'Monthly Cash Flow Solution'!BJ10&lt;=Assumptions!$G$10),Assumptions!$L$51,0)</f>
        <v>0</v>
      </c>
      <c r="BK96" s="102">
        <f ca="1">IF(AND(Assumptions!$M$48&gt;0,'Monthly Cash Flow Solution'!BK10&gt;=Assumptions!$M$48,'Monthly Cash Flow Solution'!BK10&lt;=Assumptions!$G$10),Assumptions!$L$51,0)</f>
        <v>-15921.621438517401</v>
      </c>
      <c r="BL96" s="102">
        <f ca="1">IF(AND(Assumptions!$M$48&gt;0,'Monthly Cash Flow Solution'!BL10&gt;=Assumptions!$M$48,'Monthly Cash Flow Solution'!BL10&lt;=Assumptions!$G$10),Assumptions!$L$51,0)</f>
        <v>-15921.621438517401</v>
      </c>
      <c r="BM96" s="102">
        <f ca="1">IF(AND(Assumptions!$M$48&gt;0,'Monthly Cash Flow Solution'!BM10&gt;=Assumptions!$M$48,'Monthly Cash Flow Solution'!BM10&lt;=Assumptions!$G$10),Assumptions!$L$51,0)</f>
        <v>-15921.621438517401</v>
      </c>
      <c r="BN96" s="102">
        <f ca="1">IF(AND(Assumptions!$M$48&gt;0,'Monthly Cash Flow Solution'!BN10&gt;=Assumptions!$M$48,'Monthly Cash Flow Solution'!BN10&lt;=Assumptions!$G$10),Assumptions!$L$51,0)</f>
        <v>-15921.621438517401</v>
      </c>
      <c r="BO96" s="102">
        <f ca="1">IF(AND(Assumptions!$M$48&gt;0,'Monthly Cash Flow Solution'!BO10&gt;=Assumptions!$M$48,'Monthly Cash Flow Solution'!BO10&lt;=Assumptions!$G$10),Assumptions!$L$51,0)</f>
        <v>-15921.621438517401</v>
      </c>
      <c r="BP96" s="102">
        <f ca="1">IF(AND(Assumptions!$M$48&gt;0,'Monthly Cash Flow Solution'!BP10&gt;=Assumptions!$M$48,'Monthly Cash Flow Solution'!BP10&lt;=Assumptions!$G$10),Assumptions!$L$51,0)</f>
        <v>-15921.621438517401</v>
      </c>
      <c r="BQ96" s="102">
        <f ca="1">IF(AND(Assumptions!$M$48&gt;0,'Monthly Cash Flow Solution'!BQ10&gt;=Assumptions!$M$48,'Monthly Cash Flow Solution'!BQ10&lt;=Assumptions!$G$10),Assumptions!$L$51,0)</f>
        <v>-15921.621438517401</v>
      </c>
      <c r="BR96" s="102">
        <f ca="1">IF(AND(Assumptions!$M$48&gt;0,'Monthly Cash Flow Solution'!BR10&gt;=Assumptions!$M$48,'Monthly Cash Flow Solution'!BR10&lt;=Assumptions!$G$10),Assumptions!$L$51,0)</f>
        <v>-15921.621438517401</v>
      </c>
      <c r="BS96" s="102">
        <f ca="1">IF(AND(Assumptions!$M$48&gt;0,'Monthly Cash Flow Solution'!BS10&gt;=Assumptions!$M$48,'Monthly Cash Flow Solution'!BS10&lt;=Assumptions!$G$10),Assumptions!$L$51,0)</f>
        <v>-15921.621438517401</v>
      </c>
      <c r="BT96" s="102">
        <f ca="1">IF(AND(Assumptions!$M$48&gt;0,'Monthly Cash Flow Solution'!BT10&gt;=Assumptions!$M$48,'Monthly Cash Flow Solution'!BT10&lt;=Assumptions!$G$10),Assumptions!$L$51,0)</f>
        <v>-15921.621438517401</v>
      </c>
      <c r="BU96" s="102">
        <f ca="1">IF(AND(Assumptions!$M$48&gt;0,'Monthly Cash Flow Solution'!BU10&gt;=Assumptions!$M$48,'Monthly Cash Flow Solution'!BU10&lt;=Assumptions!$G$10),Assumptions!$L$51,0)</f>
        <v>-15921.621438517401</v>
      </c>
      <c r="BV96" s="102">
        <f ca="1">IF(AND(Assumptions!$M$48&gt;0,'Monthly Cash Flow Solution'!BV10&gt;=Assumptions!$M$48,'Monthly Cash Flow Solution'!BV10&lt;=Assumptions!$G$10),Assumptions!$L$51,0)</f>
        <v>-15921.621438517401</v>
      </c>
      <c r="BW96" s="102">
        <f ca="1">IF(AND(Assumptions!$M$48&gt;0,'Monthly Cash Flow Solution'!BW10&gt;=Assumptions!$M$48,'Monthly Cash Flow Solution'!BW10&lt;=Assumptions!$G$10),Assumptions!$L$51,0)</f>
        <v>-15921.621438517401</v>
      </c>
      <c r="BX96" s="102">
        <f ca="1">IF(AND(Assumptions!$M$48&gt;0,'Monthly Cash Flow Solution'!BX10&gt;=Assumptions!$M$48,'Monthly Cash Flow Solution'!BX10&lt;=Assumptions!$G$10),Assumptions!$L$51,0)</f>
        <v>-15921.621438517401</v>
      </c>
      <c r="BY96" s="102">
        <f ca="1">IF(AND(Assumptions!$M$48&gt;0,'Monthly Cash Flow Solution'!BY10&gt;=Assumptions!$M$48,'Monthly Cash Flow Solution'!BY10&lt;=Assumptions!$G$10),Assumptions!$L$51,0)</f>
        <v>-15921.621438517401</v>
      </c>
      <c r="BZ96" s="102">
        <f ca="1">IF(AND(Assumptions!$M$48&gt;0,'Monthly Cash Flow Solution'!BZ10&gt;=Assumptions!$M$48,'Monthly Cash Flow Solution'!BZ10&lt;=Assumptions!$G$10),Assumptions!$L$51,0)</f>
        <v>-15921.621438517401</v>
      </c>
      <c r="CA96" s="102">
        <f ca="1">IF(AND(Assumptions!$M$48&gt;0,'Monthly Cash Flow Solution'!CA10&gt;=Assumptions!$M$48,'Monthly Cash Flow Solution'!CA10&lt;=Assumptions!$G$10),Assumptions!$L$51,0)</f>
        <v>-15921.621438517401</v>
      </c>
      <c r="CB96" s="102">
        <f ca="1">IF(AND(Assumptions!$M$48&gt;0,'Monthly Cash Flow Solution'!CB10&gt;=Assumptions!$M$48,'Monthly Cash Flow Solution'!CB10&lt;=Assumptions!$G$10),Assumptions!$L$51,0)</f>
        <v>-15921.621438517401</v>
      </c>
      <c r="CC96" s="102">
        <f ca="1">IF(AND(Assumptions!$M$48&gt;0,'Monthly Cash Flow Solution'!CC10&gt;=Assumptions!$M$48,'Monthly Cash Flow Solution'!CC10&lt;=Assumptions!$G$10),Assumptions!$L$51,0)</f>
        <v>-15921.621438517401</v>
      </c>
      <c r="CD96" s="102">
        <f ca="1">IF(AND(Assumptions!$M$48&gt;0,'Monthly Cash Flow Solution'!CD10&gt;=Assumptions!$M$48,'Monthly Cash Flow Solution'!CD10&lt;=Assumptions!$G$10),Assumptions!$L$51,0)</f>
        <v>-15921.621438517401</v>
      </c>
      <c r="CE96" s="102">
        <f ca="1">IF(AND(Assumptions!$M$48&gt;0,'Monthly Cash Flow Solution'!CE10&gt;=Assumptions!$M$48,'Monthly Cash Flow Solution'!CE10&lt;=Assumptions!$G$10),Assumptions!$L$51,0)</f>
        <v>-15921.621438517401</v>
      </c>
      <c r="CF96" s="102">
        <f ca="1">IF(AND(Assumptions!$M$48&gt;0,'Monthly Cash Flow Solution'!CF10&gt;=Assumptions!$M$48,'Monthly Cash Flow Solution'!CF10&lt;=Assumptions!$G$10),Assumptions!$L$51,0)</f>
        <v>-15921.621438517401</v>
      </c>
      <c r="CG96" s="102">
        <f ca="1">IF(AND(Assumptions!$M$48&gt;0,'Monthly Cash Flow Solution'!CG10&gt;=Assumptions!$M$48,'Monthly Cash Flow Solution'!CG10&lt;=Assumptions!$G$10),Assumptions!$L$51,0)</f>
        <v>-15921.621438517401</v>
      </c>
      <c r="CH96" s="102">
        <f ca="1">IF(AND(Assumptions!$M$48&gt;0,'Monthly Cash Flow Solution'!CH10&gt;=Assumptions!$M$48,'Monthly Cash Flow Solution'!CH10&lt;=Assumptions!$G$10),Assumptions!$L$51,0)</f>
        <v>-15921.621438517401</v>
      </c>
      <c r="CI96" s="102">
        <f ca="1">IF(AND(Assumptions!$M$48&gt;0,'Monthly Cash Flow Solution'!CI10&gt;=Assumptions!$M$48,'Monthly Cash Flow Solution'!CI10&lt;=Assumptions!$G$10),Assumptions!$L$51,0)</f>
        <v>-15921.621438517401</v>
      </c>
      <c r="CJ96" s="102">
        <f ca="1">IF(AND(Assumptions!$M$48&gt;0,'Monthly Cash Flow Solution'!CJ10&gt;=Assumptions!$M$48,'Monthly Cash Flow Solution'!CJ10&lt;=Assumptions!$G$10),Assumptions!$L$51,0)</f>
        <v>-15921.621438517401</v>
      </c>
      <c r="CK96" s="102">
        <f ca="1">IF(AND(Assumptions!$M$48&gt;0,'Monthly Cash Flow Solution'!CK10&gt;=Assumptions!$M$48,'Monthly Cash Flow Solution'!CK10&lt;=Assumptions!$G$10),Assumptions!$L$51,0)</f>
        <v>-15921.621438517401</v>
      </c>
      <c r="CL96" s="102">
        <f ca="1">IF(AND(Assumptions!$M$48&gt;0,'Monthly Cash Flow Solution'!CL10&gt;=Assumptions!$M$48,'Monthly Cash Flow Solution'!CL10&lt;=Assumptions!$G$10),Assumptions!$L$51,0)</f>
        <v>-15921.621438517401</v>
      </c>
      <c r="CM96" s="102">
        <f ca="1">IF(AND(Assumptions!$M$48&gt;0,'Monthly Cash Flow Solution'!CM10&gt;=Assumptions!$M$48,'Monthly Cash Flow Solution'!CM10&lt;=Assumptions!$G$10),Assumptions!$L$51,0)</f>
        <v>-15921.621438517401</v>
      </c>
      <c r="CN96" s="102">
        <f ca="1">IF(AND(Assumptions!$M$48&gt;0,'Monthly Cash Flow Solution'!CN10&gt;=Assumptions!$M$48,'Monthly Cash Flow Solution'!CN10&lt;=Assumptions!$G$10),Assumptions!$L$51,0)</f>
        <v>-15921.621438517401</v>
      </c>
      <c r="CO96" s="102">
        <f ca="1">IF(AND(Assumptions!$M$48&gt;0,'Monthly Cash Flow Solution'!CO10&gt;=Assumptions!$M$48,'Monthly Cash Flow Solution'!CO10&lt;=Assumptions!$G$10),Assumptions!$L$51,0)</f>
        <v>-15921.621438517401</v>
      </c>
      <c r="CP96" s="102">
        <f ca="1">IF(AND(Assumptions!$M$48&gt;0,'Monthly Cash Flow Solution'!CP10&gt;=Assumptions!$M$48,'Monthly Cash Flow Solution'!CP10&lt;=Assumptions!$G$10),Assumptions!$L$51,0)</f>
        <v>-15921.621438517401</v>
      </c>
      <c r="CQ96" s="102">
        <f ca="1">IF(AND(Assumptions!$M$48&gt;0,'Monthly Cash Flow Solution'!CQ10&gt;=Assumptions!$M$48,'Monthly Cash Flow Solution'!CQ10&lt;=Assumptions!$G$10),Assumptions!$L$51,0)</f>
        <v>-15921.621438517401</v>
      </c>
      <c r="CR96" s="102">
        <f ca="1">IF(AND(Assumptions!$M$48&gt;0,'Monthly Cash Flow Solution'!CR10&gt;=Assumptions!$M$48,'Monthly Cash Flow Solution'!CR10&lt;=Assumptions!$G$10),Assumptions!$L$51,0)</f>
        <v>-15921.621438517401</v>
      </c>
      <c r="CS96" s="102">
        <f ca="1">IF(AND(Assumptions!$M$48&gt;0,'Monthly Cash Flow Solution'!CS10&gt;=Assumptions!$M$48,'Monthly Cash Flow Solution'!CS10&lt;=Assumptions!$G$10),Assumptions!$L$51,0)</f>
        <v>-15921.621438517401</v>
      </c>
      <c r="CT96" s="102">
        <f ca="1">IF(AND(Assumptions!$M$48&gt;0,'Monthly Cash Flow Solution'!CT10&gt;=Assumptions!$M$48,'Monthly Cash Flow Solution'!CT10&lt;=Assumptions!$G$10),Assumptions!$L$51,0)</f>
        <v>-15921.621438517401</v>
      </c>
      <c r="CU96" s="102">
        <f ca="1">IF(AND(Assumptions!$M$48&gt;0,'Monthly Cash Flow Solution'!CU10&gt;=Assumptions!$M$48,'Monthly Cash Flow Solution'!CU10&lt;=Assumptions!$G$10),Assumptions!$L$51,0)</f>
        <v>-15921.621438517401</v>
      </c>
      <c r="CV96" s="102">
        <f ca="1">IF(AND(Assumptions!$M$48&gt;0,'Monthly Cash Flow Solution'!CV10&gt;=Assumptions!$M$48,'Monthly Cash Flow Solution'!CV10&lt;=Assumptions!$G$10),Assumptions!$L$51,0)</f>
        <v>-15921.621438517401</v>
      </c>
      <c r="CW96" s="102">
        <f ca="1">IF(AND(Assumptions!$M$48&gt;0,'Monthly Cash Flow Solution'!CW10&gt;=Assumptions!$M$48,'Monthly Cash Flow Solution'!CW10&lt;=Assumptions!$G$10),Assumptions!$L$51,0)</f>
        <v>-15921.621438517401</v>
      </c>
      <c r="CX96" s="102">
        <f ca="1">IF(AND(Assumptions!$M$48&gt;0,'Monthly Cash Flow Solution'!CX10&gt;=Assumptions!$M$48,'Monthly Cash Flow Solution'!CX10&lt;=Assumptions!$G$10),Assumptions!$L$51,0)</f>
        <v>-15921.621438517401</v>
      </c>
      <c r="CY96" s="102">
        <f ca="1">IF(AND(Assumptions!$M$48&gt;0,'Monthly Cash Flow Solution'!CY10&gt;=Assumptions!$M$48,'Monthly Cash Flow Solution'!CY10&lt;=Assumptions!$G$10),Assumptions!$L$51,0)</f>
        <v>-15921.621438517401</v>
      </c>
      <c r="CZ96" s="102">
        <f ca="1">IF(AND(Assumptions!$M$48&gt;0,'Monthly Cash Flow Solution'!CZ10&gt;=Assumptions!$M$48,'Monthly Cash Flow Solution'!CZ10&lt;=Assumptions!$G$10),Assumptions!$L$51,0)</f>
        <v>-15921.621438517401</v>
      </c>
      <c r="DA96" s="102">
        <f ca="1">IF(AND(Assumptions!$M$48&gt;0,'Monthly Cash Flow Solution'!DA10&gt;=Assumptions!$M$48,'Monthly Cash Flow Solution'!DA10&lt;=Assumptions!$G$10),Assumptions!$L$51,0)</f>
        <v>-15921.621438517401</v>
      </c>
      <c r="DB96" s="102">
        <f ca="1">IF(AND(Assumptions!$M$48&gt;0,'Monthly Cash Flow Solution'!DB10&gt;=Assumptions!$M$48,'Monthly Cash Flow Solution'!DB10&lt;=Assumptions!$G$10),Assumptions!$L$51,0)</f>
        <v>-15921.621438517401</v>
      </c>
      <c r="DC96" s="102">
        <f ca="1">IF(AND(Assumptions!$M$48&gt;0,'Monthly Cash Flow Solution'!DC10&gt;=Assumptions!$M$48,'Monthly Cash Flow Solution'!DC10&lt;=Assumptions!$G$10),Assumptions!$L$51,0)</f>
        <v>-15921.621438517401</v>
      </c>
      <c r="DD96" s="102">
        <f ca="1">IF(AND(Assumptions!$M$48&gt;0,'Monthly Cash Flow Solution'!DD10&gt;=Assumptions!$M$48,'Monthly Cash Flow Solution'!DD10&lt;=Assumptions!$G$10),Assumptions!$L$51,0)</f>
        <v>-15921.621438517401</v>
      </c>
      <c r="DE96" s="102">
        <f ca="1">IF(AND(Assumptions!$M$48&gt;0,'Monthly Cash Flow Solution'!DE10&gt;=Assumptions!$M$48,'Monthly Cash Flow Solution'!DE10&lt;=Assumptions!$G$10),Assumptions!$L$51,0)</f>
        <v>-15921.621438517401</v>
      </c>
      <c r="DF96" s="102">
        <f ca="1">IF(AND(Assumptions!$M$48&gt;0,'Monthly Cash Flow Solution'!DF10&gt;=Assumptions!$M$48,'Monthly Cash Flow Solution'!DF10&lt;=Assumptions!$G$10),Assumptions!$L$51,0)</f>
        <v>-15921.621438517401</v>
      </c>
      <c r="DG96" s="102">
        <f ca="1">IF(AND(Assumptions!$M$48&gt;0,'Monthly Cash Flow Solution'!DG10&gt;=Assumptions!$M$48,'Monthly Cash Flow Solution'!DG10&lt;=Assumptions!$G$10),Assumptions!$L$51,0)</f>
        <v>-15921.621438517401</v>
      </c>
      <c r="DH96" s="102">
        <f>IF(AND(Assumptions!$M$48&gt;0,'Monthly Cash Flow Solution'!DH10&gt;=Assumptions!$M$48,'Monthly Cash Flow Solution'!DH10&lt;=Assumptions!$G$10),Assumptions!$L$51,0)</f>
        <v>0</v>
      </c>
      <c r="DI96" s="102">
        <f>IF(AND(Assumptions!$M$48&gt;0,'Monthly Cash Flow Solution'!DI10&gt;=Assumptions!$M$48,'Monthly Cash Flow Solution'!DI10&lt;=Assumptions!$G$10),Assumptions!$L$51,0)</f>
        <v>0</v>
      </c>
      <c r="DJ96" s="102">
        <f>IF(AND(Assumptions!$M$48&gt;0,'Monthly Cash Flow Solution'!DJ10&gt;=Assumptions!$M$48,'Monthly Cash Flow Solution'!DJ10&lt;=Assumptions!$G$10),Assumptions!$L$51,0)</f>
        <v>0</v>
      </c>
      <c r="DK96" s="102">
        <f>IF(AND(Assumptions!$M$48&gt;0,'Monthly Cash Flow Solution'!DK10&gt;=Assumptions!$M$48,'Monthly Cash Flow Solution'!DK10&lt;=Assumptions!$G$10),Assumptions!$L$51,0)</f>
        <v>0</v>
      </c>
      <c r="DL96" s="102">
        <f>IF(AND(Assumptions!$M$48&gt;0,'Monthly Cash Flow Solution'!DL10&gt;=Assumptions!$M$48,'Monthly Cash Flow Solution'!DL10&lt;=Assumptions!$G$10),Assumptions!$L$51,0)</f>
        <v>0</v>
      </c>
      <c r="DM96" s="102">
        <f>IF(AND(Assumptions!$M$48&gt;0,'Monthly Cash Flow Solution'!DM10&gt;=Assumptions!$M$48,'Monthly Cash Flow Solution'!DM10&lt;=Assumptions!$G$10),Assumptions!$L$51,0)</f>
        <v>0</v>
      </c>
      <c r="DN96" s="102">
        <f>IF(AND(Assumptions!$M$48&gt;0,'Monthly Cash Flow Solution'!DN10&gt;=Assumptions!$M$48,'Monthly Cash Flow Solution'!DN10&lt;=Assumptions!$G$10),Assumptions!$L$51,0)</f>
        <v>0</v>
      </c>
      <c r="DO96" s="102">
        <f>IF(AND(Assumptions!$M$48&gt;0,'Monthly Cash Flow Solution'!DO10&gt;=Assumptions!$M$48,'Monthly Cash Flow Solution'!DO10&lt;=Assumptions!$G$10),Assumptions!$L$51,0)</f>
        <v>0</v>
      </c>
      <c r="DP96" s="102">
        <f>IF(AND(Assumptions!$M$48&gt;0,'Monthly Cash Flow Solution'!DP10&gt;=Assumptions!$M$48,'Monthly Cash Flow Solution'!DP10&lt;=Assumptions!$G$10),Assumptions!$L$51,0)</f>
        <v>0</v>
      </c>
      <c r="DQ96" s="102">
        <f>IF(AND(Assumptions!$M$48&gt;0,'Monthly Cash Flow Solution'!DQ10&gt;=Assumptions!$M$48,'Monthly Cash Flow Solution'!DQ10&lt;=Assumptions!$G$10),Assumptions!$L$51,0)</f>
        <v>0</v>
      </c>
      <c r="DR96" s="102">
        <f>IF(AND(Assumptions!$M$48&gt;0,'Monthly Cash Flow Solution'!DR10&gt;=Assumptions!$M$48,'Monthly Cash Flow Solution'!DR10&lt;=Assumptions!$G$10),Assumptions!$L$51,0)</f>
        <v>0</v>
      </c>
      <c r="DS96" s="102">
        <f>IF(AND(Assumptions!$M$48&gt;0,'Monthly Cash Flow Solution'!DS10&gt;=Assumptions!$M$48,'Monthly Cash Flow Solution'!DS10&lt;=Assumptions!$G$10),Assumptions!$L$51,0)</f>
        <v>0</v>
      </c>
      <c r="DT96" s="102">
        <f>IF(AND(Assumptions!$M$48&gt;0,'Monthly Cash Flow Solution'!DT10&gt;=Assumptions!$M$48,'Monthly Cash Flow Solution'!DT10&lt;=Assumptions!$G$10),Assumptions!$L$51,0)</f>
        <v>0</v>
      </c>
      <c r="DU96" s="102">
        <f>IF(AND(Assumptions!$M$48&gt;0,'Monthly Cash Flow Solution'!DU10&gt;=Assumptions!$M$48,'Monthly Cash Flow Solution'!DU10&lt;=Assumptions!$G$10),Assumptions!$L$51,0)</f>
        <v>0</v>
      </c>
      <c r="DV96" s="102">
        <f>IF(AND(Assumptions!$M$48&gt;0,'Monthly Cash Flow Solution'!DV10&gt;=Assumptions!$M$48,'Monthly Cash Flow Solution'!DV10&lt;=Assumptions!$G$10),Assumptions!$L$51,0)</f>
        <v>0</v>
      </c>
      <c r="DW96" s="102">
        <f>IF(AND(Assumptions!$M$48&gt;0,'Monthly Cash Flow Solution'!DW10&gt;=Assumptions!$M$48,'Monthly Cash Flow Solution'!DW10&lt;=Assumptions!$G$10),Assumptions!$L$51,0)</f>
        <v>0</v>
      </c>
      <c r="DX96" s="102">
        <f>IF(AND(Assumptions!$M$48&gt;0,'Monthly Cash Flow Solution'!DX10&gt;=Assumptions!$M$48,'Monthly Cash Flow Solution'!DX10&lt;=Assumptions!$G$10),Assumptions!$L$51,0)</f>
        <v>0</v>
      </c>
      <c r="DY96" s="102">
        <f>IF(AND(Assumptions!$M$48&gt;0,'Monthly Cash Flow Solution'!DY10&gt;=Assumptions!$M$48,'Monthly Cash Flow Solution'!DY10&lt;=Assumptions!$G$10),Assumptions!$L$51,0)</f>
        <v>0</v>
      </c>
      <c r="DZ96" s="102">
        <f>IF(AND(Assumptions!$M$48&gt;0,'Monthly Cash Flow Solution'!DZ10&gt;=Assumptions!$M$48,'Monthly Cash Flow Solution'!DZ10&lt;=Assumptions!$G$10),Assumptions!$L$51,0)</f>
        <v>0</v>
      </c>
      <c r="EA96" s="102">
        <f>IF(AND(Assumptions!$M$48&gt;0,'Monthly Cash Flow Solution'!EA10&gt;=Assumptions!$M$48,'Monthly Cash Flow Solution'!EA10&lt;=Assumptions!$G$10),Assumptions!$L$51,0)</f>
        <v>0</v>
      </c>
      <c r="EB96" s="102">
        <f>IF(AND(Assumptions!$M$48&gt;0,'Monthly Cash Flow Solution'!EB10&gt;=Assumptions!$M$48,'Monthly Cash Flow Solution'!EB10&lt;=Assumptions!$G$10),Assumptions!$L$51,0)</f>
        <v>0</v>
      </c>
      <c r="EC96" s="102">
        <f>IF(AND(Assumptions!$M$48&gt;0,'Monthly Cash Flow Solution'!EC10&gt;=Assumptions!$M$48,'Monthly Cash Flow Solution'!EC10&lt;=Assumptions!$G$10),Assumptions!$L$51,0)</f>
        <v>0</v>
      </c>
      <c r="ED96" s="102">
        <f>IF(AND(Assumptions!$M$48&gt;0,'Monthly Cash Flow Solution'!ED10&gt;=Assumptions!$M$48,'Monthly Cash Flow Solution'!ED10&lt;=Assumptions!$G$10),Assumptions!$L$51,0)</f>
        <v>0</v>
      </c>
      <c r="EE96" s="102">
        <f>IF(AND(Assumptions!$M$48&gt;0,'Monthly Cash Flow Solution'!EE10&gt;=Assumptions!$M$48,'Monthly Cash Flow Solution'!EE10&lt;=Assumptions!$G$10),Assumptions!$L$51,0)</f>
        <v>0</v>
      </c>
      <c r="EF96" s="102">
        <f>IF(AND(Assumptions!$M$48&gt;0,'Monthly Cash Flow Solution'!EF10&gt;=Assumptions!$M$48,'Monthly Cash Flow Solution'!EF10&lt;=Assumptions!$G$10),Assumptions!$L$51,0)</f>
        <v>0</v>
      </c>
      <c r="EG96" s="102">
        <f>IF(AND(Assumptions!$M$48&gt;0,'Monthly Cash Flow Solution'!EG10&gt;=Assumptions!$M$48,'Monthly Cash Flow Solution'!EG10&lt;=Assumptions!$G$10),Assumptions!$L$51,0)</f>
        <v>0</v>
      </c>
      <c r="EH96" s="102">
        <f>IF(AND(Assumptions!$M$48&gt;0,'Monthly Cash Flow Solution'!EH10&gt;=Assumptions!$M$48,'Monthly Cash Flow Solution'!EH10&lt;=Assumptions!$G$10),Assumptions!$L$51,0)</f>
        <v>0</v>
      </c>
      <c r="EI96" s="102">
        <f>IF(AND(Assumptions!$M$48&gt;0,'Monthly Cash Flow Solution'!EI10&gt;=Assumptions!$M$48,'Monthly Cash Flow Solution'!EI10&lt;=Assumptions!$G$10),Assumptions!$L$51,0)</f>
        <v>0</v>
      </c>
      <c r="EJ96" s="102">
        <f>IF(AND(Assumptions!$M$48&gt;0,'Monthly Cash Flow Solution'!EJ10&gt;=Assumptions!$M$48,'Monthly Cash Flow Solution'!EJ10&lt;=Assumptions!$G$10),Assumptions!$L$51,0)</f>
        <v>0</v>
      </c>
      <c r="EK96" s="102">
        <f>IF(AND(Assumptions!$M$48&gt;0,'Monthly Cash Flow Solution'!EK10&gt;=Assumptions!$M$48,'Monthly Cash Flow Solution'!EK10&lt;=Assumptions!$G$10),Assumptions!$L$51,0)</f>
        <v>0</v>
      </c>
      <c r="EL96" s="102">
        <f>IF(AND(Assumptions!$M$48&gt;0,'Monthly Cash Flow Solution'!EL10&gt;=Assumptions!$M$48,'Monthly Cash Flow Solution'!EL10&lt;=Assumptions!$G$10),Assumptions!$L$51,0)</f>
        <v>0</v>
      </c>
      <c r="EM96" s="102">
        <f>IF(AND(Assumptions!$M$48&gt;0,'Monthly Cash Flow Solution'!EM10&gt;=Assumptions!$M$48,'Monthly Cash Flow Solution'!EM10&lt;=Assumptions!$G$10),Assumptions!$L$51,0)</f>
        <v>0</v>
      </c>
      <c r="EN96" s="102">
        <f>IF(AND(Assumptions!$M$48&gt;0,'Monthly Cash Flow Solution'!EN10&gt;=Assumptions!$M$48,'Monthly Cash Flow Solution'!EN10&lt;=Assumptions!$G$10),Assumptions!$L$51,0)</f>
        <v>0</v>
      </c>
      <c r="EO96" s="102">
        <f>IF(AND(Assumptions!$M$48&gt;0,'Monthly Cash Flow Solution'!EO10&gt;=Assumptions!$M$48,'Monthly Cash Flow Solution'!EO10&lt;=Assumptions!$G$10),Assumptions!$L$51,0)</f>
        <v>0</v>
      </c>
      <c r="EP96" s="102">
        <f>IF(AND(Assumptions!$M$48&gt;0,'Monthly Cash Flow Solution'!EP10&gt;=Assumptions!$M$48,'Monthly Cash Flow Solution'!EP10&lt;=Assumptions!$G$10),Assumptions!$L$51,0)</f>
        <v>0</v>
      </c>
      <c r="EQ96" s="102">
        <f>IF(AND(Assumptions!$M$48&gt;0,'Monthly Cash Flow Solution'!EQ10&gt;=Assumptions!$M$48,'Monthly Cash Flow Solution'!EQ10&lt;=Assumptions!$G$10),Assumptions!$L$51,0)</f>
        <v>0</v>
      </c>
      <c r="ES96" s="98"/>
      <c r="ET96" s="98"/>
      <c r="EU96" s="98"/>
    </row>
    <row r="97" spans="7:151" ht="15.75">
      <c r="G97" s="94"/>
      <c r="H97" s="117"/>
      <c r="I97" s="95"/>
      <c r="J97" s="102"/>
      <c r="K97" s="102"/>
      <c r="L97" s="102"/>
      <c r="M97" s="102"/>
      <c r="N97" s="585" t="s">
        <v>10</v>
      </c>
      <c r="O97" s="585"/>
      <c r="P97" s="102"/>
      <c r="Q97" s="104"/>
      <c r="R97" s="104"/>
      <c r="S97" s="105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4"/>
      <c r="CY97" s="104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4"/>
      <c r="DT97" s="104"/>
      <c r="DU97" s="104"/>
      <c r="DV97" s="104"/>
      <c r="DW97" s="104"/>
      <c r="DX97" s="104"/>
      <c r="DY97" s="104"/>
      <c r="DZ97" s="104"/>
      <c r="EA97" s="104"/>
      <c r="EB97" s="104"/>
      <c r="EC97" s="104"/>
      <c r="ED97" s="104"/>
      <c r="EE97" s="104"/>
      <c r="EF97" s="104"/>
      <c r="EG97" s="104"/>
      <c r="EH97" s="104"/>
      <c r="EI97" s="104"/>
      <c r="EJ97" s="104"/>
      <c r="EK97" s="104"/>
      <c r="EL97" s="104"/>
      <c r="EM97" s="104"/>
      <c r="EN97" s="104"/>
      <c r="EO97" s="104"/>
      <c r="EP97" s="104"/>
      <c r="EQ97" s="104"/>
      <c r="ES97" s="98"/>
      <c r="ET97" s="98"/>
      <c r="EU97" s="98"/>
    </row>
    <row r="98" spans="7:151" ht="15.75">
      <c r="G98" s="101" t="s">
        <v>315</v>
      </c>
      <c r="H98" s="117"/>
      <c r="I98" s="95"/>
      <c r="J98" s="102"/>
      <c r="K98" s="102"/>
      <c r="L98" s="102"/>
      <c r="M98" s="102"/>
      <c r="N98" s="102">
        <f ca="1">SUM(P98:EQ98)</f>
        <v>4931653.6962597463</v>
      </c>
      <c r="O98" s="102">
        <f>SUM(O87:O96)</f>
        <v>-2894896.8</v>
      </c>
      <c r="P98" s="102">
        <f ca="1">SUM(P87:P96)</f>
        <v>4642.5640434019642</v>
      </c>
      <c r="Q98" s="102">
        <f t="shared" ref="Q98:CB98" ca="1" si="215">SUM(Q87:Q96)</f>
        <v>-3624.8839565980334</v>
      </c>
      <c r="R98" s="102">
        <f t="shared" ca="1" si="215"/>
        <v>-29194.675956598032</v>
      </c>
      <c r="S98" s="102">
        <f t="shared" ca="1" si="215"/>
        <v>-40531.91595659803</v>
      </c>
      <c r="T98" s="102">
        <f t="shared" ca="1" si="215"/>
        <v>-2150.1151788202551</v>
      </c>
      <c r="U98" s="102">
        <f t="shared" ca="1" si="215"/>
        <v>1377.087932290855</v>
      </c>
      <c r="V98" s="102">
        <f t="shared" ca="1" si="215"/>
        <v>5786.0918211797452</v>
      </c>
      <c r="W98" s="102">
        <f t="shared" ca="1" si="215"/>
        <v>5786.0918211797452</v>
      </c>
      <c r="X98" s="102">
        <f t="shared" ca="1" si="215"/>
        <v>5786.0918211797452</v>
      </c>
      <c r="Y98" s="102">
        <f t="shared" ca="1" si="215"/>
        <v>5786.0918211797452</v>
      </c>
      <c r="Z98" s="102">
        <f t="shared" ca="1" si="215"/>
        <v>5786.0918211797452</v>
      </c>
      <c r="AA98" s="102">
        <f t="shared" ca="1" si="215"/>
        <v>5786.0918211797452</v>
      </c>
      <c r="AB98" s="102">
        <f t="shared" ca="1" si="215"/>
        <v>-35886.951095554374</v>
      </c>
      <c r="AC98" s="102">
        <f t="shared" ca="1" si="215"/>
        <v>-39904.54137555437</v>
      </c>
      <c r="AD98" s="102">
        <f t="shared" ca="1" si="215"/>
        <v>-1279.5413755543723</v>
      </c>
      <c r="AE98" s="102">
        <f t="shared" ca="1" si="215"/>
        <v>-39290.630000398822</v>
      </c>
      <c r="AF98" s="102">
        <f t="shared" ca="1" si="215"/>
        <v>3965.8716547567365</v>
      </c>
      <c r="AG98" s="102">
        <f t="shared" ca="1" si="215"/>
        <v>3965.8716547567365</v>
      </c>
      <c r="AH98" s="102">
        <f t="shared" ca="1" si="215"/>
        <v>8597.3733099122928</v>
      </c>
      <c r="AI98" s="102">
        <f t="shared" ca="1" si="215"/>
        <v>8597.3733099122928</v>
      </c>
      <c r="AJ98" s="102">
        <f t="shared" ca="1" si="215"/>
        <v>8597.3733099122928</v>
      </c>
      <c r="AK98" s="102">
        <f t="shared" ca="1" si="215"/>
        <v>8597.3733099122928</v>
      </c>
      <c r="AL98" s="102">
        <f t="shared" ca="1" si="215"/>
        <v>8597.3733099122928</v>
      </c>
      <c r="AM98" s="102">
        <f t="shared" ca="1" si="215"/>
        <v>8597.3733099122928</v>
      </c>
      <c r="AN98" s="102">
        <f t="shared" ca="1" si="215"/>
        <v>9655.2652345410588</v>
      </c>
      <c r="AO98" s="102">
        <f t="shared" ca="1" si="215"/>
        <v>9655.2652345410588</v>
      </c>
      <c r="AP98" s="102">
        <f t="shared" ca="1" si="215"/>
        <v>9655.2652345410588</v>
      </c>
      <c r="AQ98" s="102">
        <f t="shared" ca="1" si="215"/>
        <v>-25536.868383986941</v>
      </c>
      <c r="AR98" s="102">
        <f t="shared" ca="1" si="215"/>
        <v>6290.1316160130573</v>
      </c>
      <c r="AS98" s="102">
        <f t="shared" ca="1" si="215"/>
        <v>-2507.9017886189395</v>
      </c>
      <c r="AT98" s="102">
        <f t="shared" ca="1" si="215"/>
        <v>9326.8413307837927</v>
      </c>
      <c r="AU98" s="102">
        <f t="shared" ca="1" si="215"/>
        <v>9326.8413307837927</v>
      </c>
      <c r="AV98" s="102">
        <f t="shared" ca="1" si="215"/>
        <v>10296.339610634483</v>
      </c>
      <c r="AW98" s="102">
        <f t="shared" ca="1" si="215"/>
        <v>10296.339610634483</v>
      </c>
      <c r="AX98" s="102">
        <f t="shared" ca="1" si="215"/>
        <v>10296.339610634483</v>
      </c>
      <c r="AY98" s="102">
        <f t="shared" ca="1" si="215"/>
        <v>10296.339610634483</v>
      </c>
      <c r="AZ98" s="102">
        <f t="shared" ca="1" si="215"/>
        <v>11033.522080093147</v>
      </c>
      <c r="BA98" s="102">
        <f t="shared" ca="1" si="215"/>
        <v>11033.522080093147</v>
      </c>
      <c r="BB98" s="102">
        <f t="shared" ca="1" si="215"/>
        <v>11033.522080093147</v>
      </c>
      <c r="BC98" s="102">
        <f t="shared" ca="1" si="215"/>
        <v>11033.522080093147</v>
      </c>
      <c r="BD98" s="102">
        <f t="shared" ca="1" si="215"/>
        <v>11033.522080093147</v>
      </c>
      <c r="BE98" s="102">
        <f t="shared" ca="1" si="215"/>
        <v>11033.522080093147</v>
      </c>
      <c r="BF98" s="102">
        <f t="shared" ca="1" si="215"/>
        <v>11033.522080093147</v>
      </c>
      <c r="BG98" s="102">
        <f t="shared" ca="1" si="215"/>
        <v>11033.522080093147</v>
      </c>
      <c r="BH98" s="102">
        <f t="shared" ca="1" si="215"/>
        <v>11033.522080093147</v>
      </c>
      <c r="BI98" s="102">
        <f t="shared" ca="1" si="215"/>
        <v>11033.522080093147</v>
      </c>
      <c r="BJ98" s="102">
        <f t="shared" ca="1" si="215"/>
        <v>11033.522080093147</v>
      </c>
      <c r="BK98" s="102">
        <f t="shared" ca="1" si="215"/>
        <v>6514.3361565071154</v>
      </c>
      <c r="BL98" s="102">
        <f t="shared" ca="1" si="215"/>
        <v>7098.3504345483216</v>
      </c>
      <c r="BM98" s="102">
        <f t="shared" ca="1" si="215"/>
        <v>7098.3504345483216</v>
      </c>
      <c r="BN98" s="102">
        <f t="shared" ca="1" si="215"/>
        <v>7098.3504345483216</v>
      </c>
      <c r="BO98" s="102">
        <f t="shared" ca="1" si="215"/>
        <v>7098.3504345483216</v>
      </c>
      <c r="BP98" s="102">
        <f t="shared" ca="1" si="215"/>
        <v>7098.3504345483216</v>
      </c>
      <c r="BQ98" s="102">
        <f t="shared" ca="1" si="215"/>
        <v>7098.3504345483216</v>
      </c>
      <c r="BR98" s="102">
        <f t="shared" ca="1" si="215"/>
        <v>7098.3504345483216</v>
      </c>
      <c r="BS98" s="102">
        <f t="shared" ca="1" si="215"/>
        <v>7098.3504345483216</v>
      </c>
      <c r="BT98" s="102">
        <f t="shared" ca="1" si="215"/>
        <v>7098.3504345483216</v>
      </c>
      <c r="BU98" s="102">
        <f t="shared" ca="1" si="215"/>
        <v>7098.3504345483216</v>
      </c>
      <c r="BV98" s="102">
        <f t="shared" ca="1" si="215"/>
        <v>7098.3504345483216</v>
      </c>
      <c r="BW98" s="102">
        <f t="shared" ca="1" si="215"/>
        <v>7098.3504345483216</v>
      </c>
      <c r="BX98" s="102">
        <f t="shared" ca="1" si="215"/>
        <v>7788.9495907402943</v>
      </c>
      <c r="BY98" s="102">
        <f t="shared" ca="1" si="215"/>
        <v>7788.9495907402943</v>
      </c>
      <c r="BZ98" s="102">
        <f t="shared" ca="1" si="215"/>
        <v>7788.9495907402943</v>
      </c>
      <c r="CA98" s="102">
        <f t="shared" ca="1" si="215"/>
        <v>7788.9495907402943</v>
      </c>
      <c r="CB98" s="102">
        <f t="shared" ca="1" si="215"/>
        <v>7788.9495907402943</v>
      </c>
      <c r="CC98" s="102">
        <f t="shared" ref="CC98:EN98" ca="1" si="216">SUM(CC87:CC96)</f>
        <v>7788.9495907402943</v>
      </c>
      <c r="CD98" s="102">
        <f t="shared" ca="1" si="216"/>
        <v>7788.9495907402943</v>
      </c>
      <c r="CE98" s="102">
        <f t="shared" ca="1" si="216"/>
        <v>7788.9495907402943</v>
      </c>
      <c r="CF98" s="102">
        <f t="shared" ca="1" si="216"/>
        <v>7788.9495907402943</v>
      </c>
      <c r="CG98" s="102">
        <f t="shared" ca="1" si="216"/>
        <v>7788.9495907402943</v>
      </c>
      <c r="CH98" s="102">
        <f t="shared" ca="1" si="216"/>
        <v>7788.9495907402943</v>
      </c>
      <c r="CI98" s="102">
        <f t="shared" ca="1" si="216"/>
        <v>7788.9495907402943</v>
      </c>
      <c r="CJ98" s="102">
        <f t="shared" ca="1" si="216"/>
        <v>8500.2667216180289</v>
      </c>
      <c r="CK98" s="102">
        <f t="shared" ca="1" si="216"/>
        <v>8500.2667216180289</v>
      </c>
      <c r="CL98" s="102">
        <f t="shared" ca="1" si="216"/>
        <v>8500.2667216180289</v>
      </c>
      <c r="CM98" s="102">
        <f t="shared" ca="1" si="216"/>
        <v>8500.2667216180289</v>
      </c>
      <c r="CN98" s="102">
        <f t="shared" ca="1" si="216"/>
        <v>8500.2667216180289</v>
      </c>
      <c r="CO98" s="102">
        <f t="shared" ca="1" si="216"/>
        <v>8500.2667216180289</v>
      </c>
      <c r="CP98" s="102">
        <f t="shared" ca="1" si="216"/>
        <v>8500.2667216180289</v>
      </c>
      <c r="CQ98" s="102">
        <f t="shared" ca="1" si="216"/>
        <v>8500.2667216180289</v>
      </c>
      <c r="CR98" s="102">
        <f t="shared" ca="1" si="216"/>
        <v>8500.2667216180289</v>
      </c>
      <c r="CS98" s="102">
        <f t="shared" ca="1" si="216"/>
        <v>8500.2667216180289</v>
      </c>
      <c r="CT98" s="102">
        <f t="shared" ca="1" si="216"/>
        <v>8500.2667216180289</v>
      </c>
      <c r="CU98" s="102">
        <f t="shared" ca="1" si="216"/>
        <v>8500.2667216180289</v>
      </c>
      <c r="CV98" s="102">
        <f t="shared" ca="1" si="216"/>
        <v>9232.9233664220937</v>
      </c>
      <c r="CW98" s="102">
        <f t="shared" ca="1" si="216"/>
        <v>9232.9233664220937</v>
      </c>
      <c r="CX98" s="102">
        <f t="shared" ca="1" si="216"/>
        <v>9232.9233664220937</v>
      </c>
      <c r="CY98" s="102">
        <f t="shared" ca="1" si="216"/>
        <v>9232.9233664220937</v>
      </c>
      <c r="CZ98" s="102">
        <f t="shared" ca="1" si="216"/>
        <v>9232.9233664220937</v>
      </c>
      <c r="DA98" s="102">
        <f t="shared" ca="1" si="216"/>
        <v>9232.9233664220937</v>
      </c>
      <c r="DB98" s="102">
        <f t="shared" ca="1" si="216"/>
        <v>9232.9233664220937</v>
      </c>
      <c r="DC98" s="102">
        <f t="shared" ca="1" si="216"/>
        <v>9232.9233664220937</v>
      </c>
      <c r="DD98" s="102">
        <f t="shared" ca="1" si="216"/>
        <v>9232.9233664220937</v>
      </c>
      <c r="DE98" s="102">
        <f t="shared" ca="1" si="216"/>
        <v>9232.9233664220937</v>
      </c>
      <c r="DF98" s="102">
        <f t="shared" ca="1" si="216"/>
        <v>9232.9233664220937</v>
      </c>
      <c r="DG98" s="102">
        <f t="shared" ca="1" si="216"/>
        <v>4420209.3486523861</v>
      </c>
      <c r="DH98" s="102">
        <f t="shared" ca="1" si="216"/>
        <v>25909.181149087675</v>
      </c>
      <c r="DI98" s="102">
        <f t="shared" si="216"/>
        <v>0</v>
      </c>
      <c r="DJ98" s="102">
        <f t="shared" si="216"/>
        <v>0</v>
      </c>
      <c r="DK98" s="102">
        <f t="shared" si="216"/>
        <v>0</v>
      </c>
      <c r="DL98" s="102">
        <f t="shared" si="216"/>
        <v>0</v>
      </c>
      <c r="DM98" s="102">
        <f t="shared" si="216"/>
        <v>0</v>
      </c>
      <c r="DN98" s="102">
        <f t="shared" si="216"/>
        <v>0</v>
      </c>
      <c r="DO98" s="102">
        <f t="shared" si="216"/>
        <v>0</v>
      </c>
      <c r="DP98" s="102">
        <f t="shared" si="216"/>
        <v>0</v>
      </c>
      <c r="DQ98" s="102">
        <f t="shared" si="216"/>
        <v>0</v>
      </c>
      <c r="DR98" s="102">
        <f t="shared" si="216"/>
        <v>0</v>
      </c>
      <c r="DS98" s="102">
        <f t="shared" si="216"/>
        <v>0</v>
      </c>
      <c r="DT98" s="102">
        <f t="shared" si="216"/>
        <v>0</v>
      </c>
      <c r="DU98" s="102">
        <f t="shared" si="216"/>
        <v>0</v>
      </c>
      <c r="DV98" s="102">
        <f t="shared" si="216"/>
        <v>0</v>
      </c>
      <c r="DW98" s="102">
        <f t="shared" si="216"/>
        <v>0</v>
      </c>
      <c r="DX98" s="102">
        <f t="shared" si="216"/>
        <v>0</v>
      </c>
      <c r="DY98" s="102">
        <f t="shared" si="216"/>
        <v>0</v>
      </c>
      <c r="DZ98" s="102">
        <f t="shared" si="216"/>
        <v>0</v>
      </c>
      <c r="EA98" s="102">
        <f t="shared" si="216"/>
        <v>0</v>
      </c>
      <c r="EB98" s="102">
        <f t="shared" si="216"/>
        <v>0</v>
      </c>
      <c r="EC98" s="102">
        <f t="shared" si="216"/>
        <v>0</v>
      </c>
      <c r="ED98" s="102">
        <f t="shared" si="216"/>
        <v>0</v>
      </c>
      <c r="EE98" s="102">
        <f t="shared" si="216"/>
        <v>0</v>
      </c>
      <c r="EF98" s="102">
        <f t="shared" si="216"/>
        <v>0</v>
      </c>
      <c r="EG98" s="102">
        <f t="shared" si="216"/>
        <v>0</v>
      </c>
      <c r="EH98" s="102">
        <f t="shared" si="216"/>
        <v>0</v>
      </c>
      <c r="EI98" s="102">
        <f t="shared" si="216"/>
        <v>0</v>
      </c>
      <c r="EJ98" s="102">
        <f t="shared" si="216"/>
        <v>0</v>
      </c>
      <c r="EK98" s="102">
        <f t="shared" si="216"/>
        <v>0</v>
      </c>
      <c r="EL98" s="102">
        <f t="shared" si="216"/>
        <v>0</v>
      </c>
      <c r="EM98" s="102">
        <f t="shared" si="216"/>
        <v>0</v>
      </c>
      <c r="EN98" s="102">
        <f t="shared" si="216"/>
        <v>0</v>
      </c>
      <c r="EO98" s="102">
        <f>SUM(EO87:EO96)</f>
        <v>0</v>
      </c>
      <c r="EP98" s="102">
        <f>SUM(EP87:EP96)</f>
        <v>0</v>
      </c>
      <c r="EQ98" s="102">
        <f>SUM(EQ87:EQ96)</f>
        <v>0</v>
      </c>
      <c r="ES98" s="98"/>
      <c r="ET98" s="98"/>
      <c r="EU98" s="98"/>
    </row>
    <row r="99" spans="7:151" ht="15.75">
      <c r="G99" s="94"/>
      <c r="H99" s="117"/>
      <c r="I99" s="95"/>
      <c r="J99" s="102"/>
      <c r="K99" s="102"/>
      <c r="L99" s="102"/>
      <c r="M99" s="102"/>
      <c r="N99" s="102"/>
      <c r="O99" s="102"/>
      <c r="P99" s="102"/>
      <c r="Q99" s="104"/>
      <c r="R99" s="104"/>
      <c r="S99" s="105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  <c r="BA99" s="104"/>
      <c r="BB99" s="104"/>
      <c r="BC99" s="104"/>
      <c r="BD99" s="104"/>
      <c r="BE99" s="104"/>
      <c r="BF99" s="104"/>
      <c r="BG99" s="104"/>
      <c r="BH99" s="104"/>
      <c r="BI99" s="104"/>
      <c r="BJ99" s="104"/>
      <c r="BK99" s="104"/>
      <c r="BL99" s="104"/>
      <c r="BM99" s="104"/>
      <c r="BN99" s="104"/>
      <c r="BO99" s="104"/>
      <c r="BP99" s="104"/>
      <c r="BQ99" s="104"/>
      <c r="BR99" s="104"/>
      <c r="BS99" s="104"/>
      <c r="BT99" s="104"/>
      <c r="BU99" s="104"/>
      <c r="BV99" s="104"/>
      <c r="BW99" s="104"/>
      <c r="BX99" s="104"/>
      <c r="BY99" s="104"/>
      <c r="BZ99" s="104"/>
      <c r="CA99" s="104"/>
      <c r="CB99" s="104"/>
      <c r="CC99" s="104"/>
      <c r="CD99" s="104"/>
      <c r="CE99" s="104"/>
      <c r="CF99" s="104"/>
      <c r="CG99" s="104"/>
      <c r="CH99" s="104"/>
      <c r="CI99" s="104"/>
      <c r="CJ99" s="104"/>
      <c r="CK99" s="104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104"/>
      <c r="DA99" s="104"/>
      <c r="DB99" s="104"/>
      <c r="DC99" s="104"/>
      <c r="DD99" s="104"/>
      <c r="DE99" s="104"/>
      <c r="DF99" s="104"/>
      <c r="DG99" s="104"/>
      <c r="DH99" s="104"/>
      <c r="DI99" s="104"/>
      <c r="DJ99" s="104"/>
      <c r="DK99" s="104"/>
      <c r="DL99" s="104"/>
      <c r="DM99" s="104"/>
      <c r="DN99" s="104"/>
      <c r="DO99" s="104"/>
      <c r="DP99" s="104"/>
      <c r="DQ99" s="104"/>
      <c r="DR99" s="104"/>
      <c r="DS99" s="104"/>
      <c r="DT99" s="104"/>
      <c r="DU99" s="104"/>
      <c r="DV99" s="104"/>
      <c r="DW99" s="104"/>
      <c r="DX99" s="104"/>
      <c r="DY99" s="104"/>
      <c r="DZ99" s="104"/>
      <c r="EA99" s="104"/>
      <c r="EB99" s="104"/>
      <c r="EC99" s="104"/>
      <c r="ED99" s="104"/>
      <c r="EE99" s="104"/>
      <c r="EF99" s="104"/>
      <c r="EG99" s="104"/>
      <c r="EH99" s="104"/>
      <c r="EI99" s="104"/>
      <c r="EJ99" s="104"/>
      <c r="EK99" s="104"/>
      <c r="EL99" s="104"/>
      <c r="EM99" s="104"/>
      <c r="EN99" s="104"/>
      <c r="EO99" s="104"/>
      <c r="EP99" s="104"/>
      <c r="EQ99" s="104"/>
      <c r="ES99" s="98"/>
      <c r="ET99" s="98"/>
      <c r="EU99" s="98"/>
    </row>
    <row r="100" spans="7:151" ht="15.75">
      <c r="G100" s="101" t="s">
        <v>69</v>
      </c>
      <c r="H100" s="117"/>
      <c r="I100" s="95"/>
      <c r="J100" s="102"/>
      <c r="K100" s="102"/>
      <c r="L100" s="102"/>
      <c r="M100" s="102"/>
      <c r="N100" s="585" t="s">
        <v>10</v>
      </c>
      <c r="O100" s="585"/>
      <c r="P100" s="102"/>
      <c r="Q100" s="104"/>
      <c r="R100" s="104"/>
      <c r="S100" s="105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S100" s="98"/>
      <c r="ET100" s="98"/>
      <c r="EU100" s="98"/>
    </row>
    <row r="101" spans="7:151" ht="15.75">
      <c r="G101" s="101"/>
      <c r="H101" s="236" t="s">
        <v>198</v>
      </c>
      <c r="I101" s="182"/>
      <c r="J101" s="706">
        <v>0.1</v>
      </c>
      <c r="K101" s="102" t="e">
        <f>#REF!</f>
        <v>#REF!</v>
      </c>
      <c r="L101" s="102" t="e">
        <f ca="1">-N101-K101</f>
        <v>#REF!</v>
      </c>
      <c r="N101" s="102">
        <f ca="1">SUM(O101:EQ101)</f>
        <v>-112272.78305451786</v>
      </c>
      <c r="O101" s="102">
        <f>MIN($J$101*(O91+O103),0)</f>
        <v>-87553.680000000008</v>
      </c>
      <c r="P101" s="102">
        <f t="shared" ref="P101:AC101" ca="1" si="217">IF(P98&lt;0,$J$101*P98,0)-IF(-P104&gt;P105,$J$101*(-P104-P105),0)+$J$101*P106</f>
        <v>0</v>
      </c>
      <c r="Q101" s="102">
        <f t="shared" ca="1" si="217"/>
        <v>-362.48839565980336</v>
      </c>
      <c r="R101" s="102">
        <f t="shared" ca="1" si="217"/>
        <v>-2919.4675956598035</v>
      </c>
      <c r="S101" s="102">
        <f t="shared" ca="1" si="217"/>
        <v>-4053.1915956598032</v>
      </c>
      <c r="T101" s="102">
        <f t="shared" ca="1" si="217"/>
        <v>-215.01151788202552</v>
      </c>
      <c r="U101" s="102">
        <f t="shared" ca="1" si="217"/>
        <v>0</v>
      </c>
      <c r="V101" s="102">
        <f t="shared" ca="1" si="217"/>
        <v>0</v>
      </c>
      <c r="W101" s="102">
        <f t="shared" ca="1" si="217"/>
        <v>0</v>
      </c>
      <c r="X101" s="102">
        <f t="shared" ca="1" si="217"/>
        <v>0</v>
      </c>
      <c r="Y101" s="102">
        <f t="shared" ca="1" si="217"/>
        <v>0</v>
      </c>
      <c r="Z101" s="102">
        <f t="shared" ca="1" si="217"/>
        <v>0</v>
      </c>
      <c r="AA101" s="102">
        <f t="shared" ca="1" si="217"/>
        <v>0</v>
      </c>
      <c r="AB101" s="102">
        <f t="shared" ca="1" si="217"/>
        <v>-3588.6951095554377</v>
      </c>
      <c r="AC101" s="102">
        <f t="shared" ca="1" si="217"/>
        <v>-3990.4541375554372</v>
      </c>
      <c r="AD101" s="102">
        <f ca="1">IF(AD98&lt;0,$J$101*AD98,0)-IF(-AD104&gt;AD105,$J$101*(-AD104-AD105),0)+$J$101*AD106</f>
        <v>-127.95413755543723</v>
      </c>
      <c r="AE101" s="102">
        <f t="shared" ref="AE101:CP101" ca="1" si="218">IF(AE98&lt;0,$J$101*AE98,0)-IF(-AE104&gt;AE105,$J$101*(-AE104-AE105),0)+$J$101*AE106</f>
        <v>-3929.0630000398824</v>
      </c>
      <c r="AF101" s="102">
        <f t="shared" ca="1" si="218"/>
        <v>0</v>
      </c>
      <c r="AG101" s="102">
        <f t="shared" ca="1" si="218"/>
        <v>0</v>
      </c>
      <c r="AH101" s="102">
        <f t="shared" ca="1" si="218"/>
        <v>0</v>
      </c>
      <c r="AI101" s="102">
        <f t="shared" ca="1" si="218"/>
        <v>0</v>
      </c>
      <c r="AJ101" s="102">
        <f t="shared" ca="1" si="218"/>
        <v>0</v>
      </c>
      <c r="AK101" s="102">
        <f t="shared" ca="1" si="218"/>
        <v>0</v>
      </c>
      <c r="AL101" s="102">
        <f t="shared" ca="1" si="218"/>
        <v>0</v>
      </c>
      <c r="AM101" s="102">
        <f t="shared" ca="1" si="218"/>
        <v>0</v>
      </c>
      <c r="AN101" s="102">
        <f t="shared" ca="1" si="218"/>
        <v>0</v>
      </c>
      <c r="AO101" s="102">
        <f t="shared" ca="1" si="218"/>
        <v>0</v>
      </c>
      <c r="AP101" s="102">
        <f t="shared" ca="1" si="218"/>
        <v>0</v>
      </c>
      <c r="AQ101" s="102">
        <f t="shared" ca="1" si="218"/>
        <v>-2553.6868383986944</v>
      </c>
      <c r="AR101" s="102">
        <f t="shared" ca="1" si="218"/>
        <v>0</v>
      </c>
      <c r="AS101" s="102">
        <f t="shared" ca="1" si="218"/>
        <v>-250.79017886189396</v>
      </c>
      <c r="AT101" s="102">
        <f t="shared" ca="1" si="218"/>
        <v>0</v>
      </c>
      <c r="AU101" s="102">
        <f t="shared" ca="1" si="218"/>
        <v>0</v>
      </c>
      <c r="AV101" s="102">
        <f t="shared" ca="1" si="218"/>
        <v>0</v>
      </c>
      <c r="AW101" s="102">
        <f t="shared" ca="1" si="218"/>
        <v>0</v>
      </c>
      <c r="AX101" s="102">
        <f t="shared" ca="1" si="218"/>
        <v>0</v>
      </c>
      <c r="AY101" s="102">
        <f t="shared" ca="1" si="218"/>
        <v>0</v>
      </c>
      <c r="AZ101" s="102">
        <f t="shared" ca="1" si="218"/>
        <v>0</v>
      </c>
      <c r="BA101" s="102">
        <f t="shared" ca="1" si="218"/>
        <v>0</v>
      </c>
      <c r="BB101" s="102">
        <f t="shared" ca="1" si="218"/>
        <v>0</v>
      </c>
      <c r="BC101" s="102">
        <f t="shared" ca="1" si="218"/>
        <v>0</v>
      </c>
      <c r="BD101" s="102">
        <f t="shared" ca="1" si="218"/>
        <v>0</v>
      </c>
      <c r="BE101" s="102">
        <f t="shared" ca="1" si="218"/>
        <v>0</v>
      </c>
      <c r="BF101" s="102">
        <f t="shared" ca="1" si="218"/>
        <v>0</v>
      </c>
      <c r="BG101" s="102">
        <f t="shared" ca="1" si="218"/>
        <v>0</v>
      </c>
      <c r="BH101" s="102">
        <f t="shared" ca="1" si="218"/>
        <v>0</v>
      </c>
      <c r="BI101" s="102">
        <f t="shared" ca="1" si="218"/>
        <v>0</v>
      </c>
      <c r="BJ101" s="102">
        <f t="shared" ca="1" si="218"/>
        <v>0</v>
      </c>
      <c r="BK101" s="102">
        <f t="shared" ca="1" si="218"/>
        <v>-2728.3005476896178</v>
      </c>
      <c r="BL101" s="102">
        <f t="shared" ca="1" si="218"/>
        <v>0</v>
      </c>
      <c r="BM101" s="102">
        <f t="shared" ca="1" si="218"/>
        <v>0</v>
      </c>
      <c r="BN101" s="102">
        <f t="shared" ca="1" si="218"/>
        <v>0</v>
      </c>
      <c r="BO101" s="102">
        <f t="shared" ca="1" si="218"/>
        <v>0</v>
      </c>
      <c r="BP101" s="102">
        <f t="shared" ca="1" si="218"/>
        <v>0</v>
      </c>
      <c r="BQ101" s="102">
        <f t="shared" ca="1" si="218"/>
        <v>0</v>
      </c>
      <c r="BR101" s="102">
        <f t="shared" ca="1" si="218"/>
        <v>0</v>
      </c>
      <c r="BS101" s="102">
        <f t="shared" ca="1" si="218"/>
        <v>0</v>
      </c>
      <c r="BT101" s="102">
        <f t="shared" ca="1" si="218"/>
        <v>0</v>
      </c>
      <c r="BU101" s="102">
        <f t="shared" ca="1" si="218"/>
        <v>0</v>
      </c>
      <c r="BV101" s="102">
        <f t="shared" ca="1" si="218"/>
        <v>0</v>
      </c>
      <c r="BW101" s="102">
        <f t="shared" ca="1" si="218"/>
        <v>0</v>
      </c>
      <c r="BX101" s="102">
        <f t="shared" ca="1" si="218"/>
        <v>0</v>
      </c>
      <c r="BY101" s="102">
        <f t="shared" ca="1" si="218"/>
        <v>0</v>
      </c>
      <c r="BZ101" s="102">
        <f t="shared" ca="1" si="218"/>
        <v>0</v>
      </c>
      <c r="CA101" s="102">
        <f t="shared" ca="1" si="218"/>
        <v>0</v>
      </c>
      <c r="CB101" s="102">
        <f t="shared" ca="1" si="218"/>
        <v>0</v>
      </c>
      <c r="CC101" s="102">
        <f t="shared" ca="1" si="218"/>
        <v>0</v>
      </c>
      <c r="CD101" s="102">
        <f t="shared" ca="1" si="218"/>
        <v>0</v>
      </c>
      <c r="CE101" s="102">
        <f t="shared" ca="1" si="218"/>
        <v>0</v>
      </c>
      <c r="CF101" s="102">
        <f t="shared" ca="1" si="218"/>
        <v>0</v>
      </c>
      <c r="CG101" s="102">
        <f t="shared" ca="1" si="218"/>
        <v>0</v>
      </c>
      <c r="CH101" s="102">
        <f t="shared" ca="1" si="218"/>
        <v>0</v>
      </c>
      <c r="CI101" s="102">
        <f t="shared" ca="1" si="218"/>
        <v>0</v>
      </c>
      <c r="CJ101" s="102">
        <f t="shared" ca="1" si="218"/>
        <v>0</v>
      </c>
      <c r="CK101" s="102">
        <f t="shared" ca="1" si="218"/>
        <v>0</v>
      </c>
      <c r="CL101" s="102">
        <f t="shared" ca="1" si="218"/>
        <v>0</v>
      </c>
      <c r="CM101" s="102">
        <f t="shared" ca="1" si="218"/>
        <v>0</v>
      </c>
      <c r="CN101" s="102">
        <f t="shared" ca="1" si="218"/>
        <v>0</v>
      </c>
      <c r="CO101" s="102">
        <f t="shared" ca="1" si="218"/>
        <v>0</v>
      </c>
      <c r="CP101" s="102">
        <f t="shared" ca="1" si="218"/>
        <v>0</v>
      </c>
      <c r="CQ101" s="102">
        <f t="shared" ref="CQ101:EQ101" ca="1" si="219">IF(CQ98&lt;0,$J$101*CQ98,0)-IF(-CQ104&gt;CQ105,$J$101*(-CQ104-CQ105),0)+$J$101*CQ106</f>
        <v>0</v>
      </c>
      <c r="CR101" s="102">
        <f t="shared" ca="1" si="219"/>
        <v>0</v>
      </c>
      <c r="CS101" s="102">
        <f t="shared" ca="1" si="219"/>
        <v>0</v>
      </c>
      <c r="CT101" s="102">
        <f t="shared" ca="1" si="219"/>
        <v>0</v>
      </c>
      <c r="CU101" s="102">
        <f t="shared" ca="1" si="219"/>
        <v>0</v>
      </c>
      <c r="CV101" s="102">
        <f t="shared" ca="1" si="219"/>
        <v>0</v>
      </c>
      <c r="CW101" s="102">
        <f t="shared" ca="1" si="219"/>
        <v>0</v>
      </c>
      <c r="CX101" s="102">
        <f t="shared" ca="1" si="219"/>
        <v>0</v>
      </c>
      <c r="CY101" s="102">
        <f t="shared" ca="1" si="219"/>
        <v>0</v>
      </c>
      <c r="CZ101" s="102">
        <f t="shared" ca="1" si="219"/>
        <v>0</v>
      </c>
      <c r="DA101" s="102">
        <f t="shared" ca="1" si="219"/>
        <v>0</v>
      </c>
      <c r="DB101" s="102">
        <f t="shared" ca="1" si="219"/>
        <v>0</v>
      </c>
      <c r="DC101" s="102">
        <f t="shared" ca="1" si="219"/>
        <v>0</v>
      </c>
      <c r="DD101" s="102">
        <f t="shared" ca="1" si="219"/>
        <v>0</v>
      </c>
      <c r="DE101" s="102">
        <f t="shared" ca="1" si="219"/>
        <v>0</v>
      </c>
      <c r="DF101" s="102">
        <f t="shared" ca="1" si="219"/>
        <v>0</v>
      </c>
      <c r="DG101" s="102">
        <f t="shared" ca="1" si="219"/>
        <v>0</v>
      </c>
      <c r="DH101" s="102">
        <f t="shared" ca="1" si="219"/>
        <v>0</v>
      </c>
      <c r="DI101" s="102">
        <f t="shared" si="219"/>
        <v>0</v>
      </c>
      <c r="DJ101" s="102">
        <f t="shared" si="219"/>
        <v>0</v>
      </c>
      <c r="DK101" s="102">
        <f t="shared" si="219"/>
        <v>0</v>
      </c>
      <c r="DL101" s="102">
        <f t="shared" si="219"/>
        <v>0</v>
      </c>
      <c r="DM101" s="102">
        <f t="shared" si="219"/>
        <v>0</v>
      </c>
      <c r="DN101" s="102">
        <f t="shared" si="219"/>
        <v>0</v>
      </c>
      <c r="DO101" s="102">
        <f t="shared" si="219"/>
        <v>0</v>
      </c>
      <c r="DP101" s="102">
        <f t="shared" si="219"/>
        <v>0</v>
      </c>
      <c r="DQ101" s="102">
        <f t="shared" si="219"/>
        <v>0</v>
      </c>
      <c r="DR101" s="102">
        <f t="shared" si="219"/>
        <v>0</v>
      </c>
      <c r="DS101" s="102">
        <f t="shared" si="219"/>
        <v>0</v>
      </c>
      <c r="DT101" s="102">
        <f t="shared" si="219"/>
        <v>0</v>
      </c>
      <c r="DU101" s="102">
        <f t="shared" si="219"/>
        <v>0</v>
      </c>
      <c r="DV101" s="102">
        <f t="shared" si="219"/>
        <v>0</v>
      </c>
      <c r="DW101" s="102">
        <f t="shared" si="219"/>
        <v>0</v>
      </c>
      <c r="DX101" s="102">
        <f t="shared" si="219"/>
        <v>0</v>
      </c>
      <c r="DY101" s="102">
        <f t="shared" si="219"/>
        <v>0</v>
      </c>
      <c r="DZ101" s="102">
        <f t="shared" si="219"/>
        <v>0</v>
      </c>
      <c r="EA101" s="102">
        <f t="shared" si="219"/>
        <v>0</v>
      </c>
      <c r="EB101" s="102">
        <f t="shared" si="219"/>
        <v>0</v>
      </c>
      <c r="EC101" s="102">
        <f t="shared" si="219"/>
        <v>0</v>
      </c>
      <c r="ED101" s="102">
        <f t="shared" si="219"/>
        <v>0</v>
      </c>
      <c r="EE101" s="102">
        <f t="shared" si="219"/>
        <v>0</v>
      </c>
      <c r="EF101" s="102">
        <f t="shared" si="219"/>
        <v>0</v>
      </c>
      <c r="EG101" s="102">
        <f t="shared" si="219"/>
        <v>0</v>
      </c>
      <c r="EH101" s="102">
        <f t="shared" si="219"/>
        <v>0</v>
      </c>
      <c r="EI101" s="102">
        <f t="shared" si="219"/>
        <v>0</v>
      </c>
      <c r="EJ101" s="102">
        <f t="shared" si="219"/>
        <v>0</v>
      </c>
      <c r="EK101" s="102">
        <f t="shared" si="219"/>
        <v>0</v>
      </c>
      <c r="EL101" s="102">
        <f t="shared" si="219"/>
        <v>0</v>
      </c>
      <c r="EM101" s="102">
        <f t="shared" si="219"/>
        <v>0</v>
      </c>
      <c r="EN101" s="102">
        <f t="shared" si="219"/>
        <v>0</v>
      </c>
      <c r="EO101" s="102">
        <f t="shared" si="219"/>
        <v>0</v>
      </c>
      <c r="EP101" s="102">
        <f t="shared" si="219"/>
        <v>0</v>
      </c>
      <c r="EQ101" s="102">
        <f t="shared" si="219"/>
        <v>0</v>
      </c>
      <c r="ES101" s="98"/>
      <c r="ET101" s="98"/>
      <c r="EU101" s="98"/>
    </row>
    <row r="102" spans="7:151" ht="15.75">
      <c r="G102" s="101"/>
      <c r="H102" s="236" t="s">
        <v>199</v>
      </c>
      <c r="I102" s="182"/>
      <c r="J102" s="431">
        <f>1-J101</f>
        <v>0.9</v>
      </c>
      <c r="K102" s="102" t="e">
        <f>#REF!</f>
        <v>#REF!</v>
      </c>
      <c r="L102" s="102" t="e">
        <f ca="1">-N102-K102</f>
        <v>#REF!</v>
      </c>
      <c r="N102" s="102">
        <f t="shared" ref="N102:N107" ca="1" si="220">SUM(O102:EQ102)</f>
        <v>-1010455.0474906607</v>
      </c>
      <c r="O102" s="102">
        <f>$J$102*MIN(O98+O103-O87,0)</f>
        <v>-787983.12000000011</v>
      </c>
      <c r="P102" s="102">
        <f ca="1">IF(P98&lt;0,$J$102*P98,0)-IF(-P104&gt;P105,$J$102*(-P104-P105),0)+$J$102*P106</f>
        <v>0</v>
      </c>
      <c r="Q102" s="102">
        <f t="shared" ref="Q102:CB102" ca="1" si="221">IF(Q98&lt;0,$J$102*Q98,0)-IF(-Q104&gt;Q105,$J$102*(-Q104-Q105),0)+$J$102*Q106</f>
        <v>-3262.3955609382301</v>
      </c>
      <c r="R102" s="102">
        <f t="shared" ca="1" si="221"/>
        <v>-26275.208360938228</v>
      </c>
      <c r="S102" s="102">
        <f t="shared" ca="1" si="221"/>
        <v>-36478.724360938228</v>
      </c>
      <c r="T102" s="102">
        <f t="shared" ca="1" si="221"/>
        <v>-1935.1036609382297</v>
      </c>
      <c r="U102" s="102">
        <f t="shared" ca="1" si="221"/>
        <v>0</v>
      </c>
      <c r="V102" s="102">
        <f t="shared" ca="1" si="221"/>
        <v>0</v>
      </c>
      <c r="W102" s="102">
        <f t="shared" ca="1" si="221"/>
        <v>0</v>
      </c>
      <c r="X102" s="102">
        <f t="shared" ca="1" si="221"/>
        <v>0</v>
      </c>
      <c r="Y102" s="102">
        <f t="shared" ca="1" si="221"/>
        <v>0</v>
      </c>
      <c r="Z102" s="102">
        <f t="shared" ca="1" si="221"/>
        <v>0</v>
      </c>
      <c r="AA102" s="102">
        <f t="shared" ca="1" si="221"/>
        <v>0</v>
      </c>
      <c r="AB102" s="102">
        <f t="shared" ca="1" si="221"/>
        <v>-32298.255985998938</v>
      </c>
      <c r="AC102" s="102">
        <f t="shared" ca="1" si="221"/>
        <v>-35914.087237998938</v>
      </c>
      <c r="AD102" s="102">
        <f t="shared" ca="1" si="221"/>
        <v>-1151.5872379989351</v>
      </c>
      <c r="AE102" s="102">
        <f t="shared" ca="1" si="221"/>
        <v>-35361.56700035894</v>
      </c>
      <c r="AF102" s="102">
        <f t="shared" ca="1" si="221"/>
        <v>0</v>
      </c>
      <c r="AG102" s="102">
        <f t="shared" ca="1" si="221"/>
        <v>0</v>
      </c>
      <c r="AH102" s="102">
        <f t="shared" ca="1" si="221"/>
        <v>0</v>
      </c>
      <c r="AI102" s="102">
        <f t="shared" ca="1" si="221"/>
        <v>0</v>
      </c>
      <c r="AJ102" s="102">
        <f t="shared" ca="1" si="221"/>
        <v>0</v>
      </c>
      <c r="AK102" s="102">
        <f t="shared" ca="1" si="221"/>
        <v>0</v>
      </c>
      <c r="AL102" s="102">
        <f t="shared" ca="1" si="221"/>
        <v>0</v>
      </c>
      <c r="AM102" s="102">
        <f t="shared" ca="1" si="221"/>
        <v>0</v>
      </c>
      <c r="AN102" s="102">
        <f t="shared" ca="1" si="221"/>
        <v>0</v>
      </c>
      <c r="AO102" s="102">
        <f t="shared" ca="1" si="221"/>
        <v>0</v>
      </c>
      <c r="AP102" s="102">
        <f t="shared" ca="1" si="221"/>
        <v>0</v>
      </c>
      <c r="AQ102" s="102">
        <f t="shared" ca="1" si="221"/>
        <v>-22983.181545588246</v>
      </c>
      <c r="AR102" s="102">
        <f t="shared" ca="1" si="221"/>
        <v>0</v>
      </c>
      <c r="AS102" s="102">
        <f t="shared" ca="1" si="221"/>
        <v>-2257.1116097570457</v>
      </c>
      <c r="AT102" s="102">
        <f t="shared" ca="1" si="221"/>
        <v>0</v>
      </c>
      <c r="AU102" s="102">
        <f t="shared" ca="1" si="221"/>
        <v>0</v>
      </c>
      <c r="AV102" s="102">
        <f t="shared" ca="1" si="221"/>
        <v>0</v>
      </c>
      <c r="AW102" s="102">
        <f t="shared" ca="1" si="221"/>
        <v>0</v>
      </c>
      <c r="AX102" s="102">
        <f t="shared" ca="1" si="221"/>
        <v>0</v>
      </c>
      <c r="AY102" s="102">
        <f t="shared" ca="1" si="221"/>
        <v>0</v>
      </c>
      <c r="AZ102" s="102">
        <f t="shared" ca="1" si="221"/>
        <v>0</v>
      </c>
      <c r="BA102" s="102">
        <f t="shared" ca="1" si="221"/>
        <v>0</v>
      </c>
      <c r="BB102" s="102">
        <f t="shared" ca="1" si="221"/>
        <v>0</v>
      </c>
      <c r="BC102" s="102">
        <f t="shared" ca="1" si="221"/>
        <v>0</v>
      </c>
      <c r="BD102" s="102">
        <f t="shared" ca="1" si="221"/>
        <v>0</v>
      </c>
      <c r="BE102" s="102">
        <f t="shared" ca="1" si="221"/>
        <v>0</v>
      </c>
      <c r="BF102" s="102">
        <f t="shared" ca="1" si="221"/>
        <v>0</v>
      </c>
      <c r="BG102" s="102">
        <f t="shared" ca="1" si="221"/>
        <v>0</v>
      </c>
      <c r="BH102" s="102">
        <f t="shared" ca="1" si="221"/>
        <v>0</v>
      </c>
      <c r="BI102" s="102">
        <f t="shared" ca="1" si="221"/>
        <v>0</v>
      </c>
      <c r="BJ102" s="102">
        <f t="shared" ca="1" si="221"/>
        <v>0</v>
      </c>
      <c r="BK102" s="102">
        <f t="shared" ca="1" si="221"/>
        <v>-24554.70492920656</v>
      </c>
      <c r="BL102" s="102">
        <f t="shared" ca="1" si="221"/>
        <v>0</v>
      </c>
      <c r="BM102" s="102">
        <f t="shared" ca="1" si="221"/>
        <v>0</v>
      </c>
      <c r="BN102" s="102">
        <f t="shared" ca="1" si="221"/>
        <v>0</v>
      </c>
      <c r="BO102" s="102">
        <f t="shared" ca="1" si="221"/>
        <v>0</v>
      </c>
      <c r="BP102" s="102">
        <f t="shared" ca="1" si="221"/>
        <v>0</v>
      </c>
      <c r="BQ102" s="102">
        <f t="shared" ca="1" si="221"/>
        <v>0</v>
      </c>
      <c r="BR102" s="102">
        <f t="shared" ca="1" si="221"/>
        <v>0</v>
      </c>
      <c r="BS102" s="102">
        <f t="shared" ca="1" si="221"/>
        <v>0</v>
      </c>
      <c r="BT102" s="102">
        <f t="shared" ca="1" si="221"/>
        <v>0</v>
      </c>
      <c r="BU102" s="102">
        <f t="shared" ca="1" si="221"/>
        <v>0</v>
      </c>
      <c r="BV102" s="102">
        <f t="shared" ca="1" si="221"/>
        <v>0</v>
      </c>
      <c r="BW102" s="102">
        <f t="shared" ca="1" si="221"/>
        <v>0</v>
      </c>
      <c r="BX102" s="102">
        <f t="shared" ca="1" si="221"/>
        <v>0</v>
      </c>
      <c r="BY102" s="102">
        <f t="shared" ca="1" si="221"/>
        <v>0</v>
      </c>
      <c r="BZ102" s="102">
        <f t="shared" ca="1" si="221"/>
        <v>0</v>
      </c>
      <c r="CA102" s="102">
        <f t="shared" ca="1" si="221"/>
        <v>0</v>
      </c>
      <c r="CB102" s="102">
        <f t="shared" ca="1" si="221"/>
        <v>0</v>
      </c>
      <c r="CC102" s="102">
        <f t="shared" ref="CC102:EN102" ca="1" si="222">IF(CC98&lt;0,$J$102*CC98,0)-IF(-CC104&gt;CC105,$J$102*(-CC104-CC105),0)+$J$102*CC106</f>
        <v>0</v>
      </c>
      <c r="CD102" s="102">
        <f t="shared" ca="1" si="222"/>
        <v>0</v>
      </c>
      <c r="CE102" s="102">
        <f t="shared" ca="1" si="222"/>
        <v>0</v>
      </c>
      <c r="CF102" s="102">
        <f t="shared" ca="1" si="222"/>
        <v>0</v>
      </c>
      <c r="CG102" s="102">
        <f t="shared" ca="1" si="222"/>
        <v>0</v>
      </c>
      <c r="CH102" s="102">
        <f t="shared" ca="1" si="222"/>
        <v>0</v>
      </c>
      <c r="CI102" s="102">
        <f t="shared" ca="1" si="222"/>
        <v>0</v>
      </c>
      <c r="CJ102" s="102">
        <f t="shared" ca="1" si="222"/>
        <v>0</v>
      </c>
      <c r="CK102" s="102">
        <f t="shared" ca="1" si="222"/>
        <v>0</v>
      </c>
      <c r="CL102" s="102">
        <f t="shared" ca="1" si="222"/>
        <v>0</v>
      </c>
      <c r="CM102" s="102">
        <f t="shared" ca="1" si="222"/>
        <v>0</v>
      </c>
      <c r="CN102" s="102">
        <f t="shared" ca="1" si="222"/>
        <v>0</v>
      </c>
      <c r="CO102" s="102">
        <f t="shared" ca="1" si="222"/>
        <v>0</v>
      </c>
      <c r="CP102" s="102">
        <f t="shared" ca="1" si="222"/>
        <v>0</v>
      </c>
      <c r="CQ102" s="102">
        <f t="shared" ca="1" si="222"/>
        <v>0</v>
      </c>
      <c r="CR102" s="102">
        <f t="shared" ca="1" si="222"/>
        <v>0</v>
      </c>
      <c r="CS102" s="102">
        <f t="shared" ca="1" si="222"/>
        <v>0</v>
      </c>
      <c r="CT102" s="102">
        <f t="shared" ca="1" si="222"/>
        <v>0</v>
      </c>
      <c r="CU102" s="102">
        <f t="shared" ca="1" si="222"/>
        <v>0</v>
      </c>
      <c r="CV102" s="102">
        <f t="shared" ca="1" si="222"/>
        <v>0</v>
      </c>
      <c r="CW102" s="102">
        <f t="shared" ca="1" si="222"/>
        <v>0</v>
      </c>
      <c r="CX102" s="102">
        <f t="shared" ca="1" si="222"/>
        <v>0</v>
      </c>
      <c r="CY102" s="102">
        <f t="shared" ca="1" si="222"/>
        <v>0</v>
      </c>
      <c r="CZ102" s="102">
        <f t="shared" ca="1" si="222"/>
        <v>0</v>
      </c>
      <c r="DA102" s="102">
        <f t="shared" ca="1" si="222"/>
        <v>0</v>
      </c>
      <c r="DB102" s="102">
        <f t="shared" ca="1" si="222"/>
        <v>0</v>
      </c>
      <c r="DC102" s="102">
        <f t="shared" ca="1" si="222"/>
        <v>0</v>
      </c>
      <c r="DD102" s="102">
        <f t="shared" ca="1" si="222"/>
        <v>0</v>
      </c>
      <c r="DE102" s="102">
        <f t="shared" ca="1" si="222"/>
        <v>0</v>
      </c>
      <c r="DF102" s="102">
        <f t="shared" ca="1" si="222"/>
        <v>0</v>
      </c>
      <c r="DG102" s="102">
        <f t="shared" ca="1" si="222"/>
        <v>0</v>
      </c>
      <c r="DH102" s="102">
        <f t="shared" ca="1" si="222"/>
        <v>0</v>
      </c>
      <c r="DI102" s="102">
        <f t="shared" si="222"/>
        <v>0</v>
      </c>
      <c r="DJ102" s="102">
        <f t="shared" si="222"/>
        <v>0</v>
      </c>
      <c r="DK102" s="102">
        <f t="shared" si="222"/>
        <v>0</v>
      </c>
      <c r="DL102" s="102">
        <f t="shared" si="222"/>
        <v>0</v>
      </c>
      <c r="DM102" s="102">
        <f t="shared" si="222"/>
        <v>0</v>
      </c>
      <c r="DN102" s="102">
        <f t="shared" si="222"/>
        <v>0</v>
      </c>
      <c r="DO102" s="102">
        <f t="shared" si="222"/>
        <v>0</v>
      </c>
      <c r="DP102" s="102">
        <f t="shared" si="222"/>
        <v>0</v>
      </c>
      <c r="DQ102" s="102">
        <f t="shared" si="222"/>
        <v>0</v>
      </c>
      <c r="DR102" s="102">
        <f t="shared" si="222"/>
        <v>0</v>
      </c>
      <c r="DS102" s="102">
        <f t="shared" si="222"/>
        <v>0</v>
      </c>
      <c r="DT102" s="102">
        <f t="shared" si="222"/>
        <v>0</v>
      </c>
      <c r="DU102" s="102">
        <f t="shared" si="222"/>
        <v>0</v>
      </c>
      <c r="DV102" s="102">
        <f t="shared" si="222"/>
        <v>0</v>
      </c>
      <c r="DW102" s="102">
        <f t="shared" si="222"/>
        <v>0</v>
      </c>
      <c r="DX102" s="102">
        <f t="shared" si="222"/>
        <v>0</v>
      </c>
      <c r="DY102" s="102">
        <f t="shared" si="222"/>
        <v>0</v>
      </c>
      <c r="DZ102" s="102">
        <f t="shared" si="222"/>
        <v>0</v>
      </c>
      <c r="EA102" s="102">
        <f t="shared" si="222"/>
        <v>0</v>
      </c>
      <c r="EB102" s="102">
        <f t="shared" si="222"/>
        <v>0</v>
      </c>
      <c r="EC102" s="102">
        <f t="shared" si="222"/>
        <v>0</v>
      </c>
      <c r="ED102" s="102">
        <f t="shared" si="222"/>
        <v>0</v>
      </c>
      <c r="EE102" s="102">
        <f t="shared" si="222"/>
        <v>0</v>
      </c>
      <c r="EF102" s="102">
        <f t="shared" si="222"/>
        <v>0</v>
      </c>
      <c r="EG102" s="102">
        <f t="shared" si="222"/>
        <v>0</v>
      </c>
      <c r="EH102" s="102">
        <f t="shared" si="222"/>
        <v>0</v>
      </c>
      <c r="EI102" s="102">
        <f t="shared" si="222"/>
        <v>0</v>
      </c>
      <c r="EJ102" s="102">
        <f t="shared" si="222"/>
        <v>0</v>
      </c>
      <c r="EK102" s="102">
        <f t="shared" si="222"/>
        <v>0</v>
      </c>
      <c r="EL102" s="102">
        <f t="shared" si="222"/>
        <v>0</v>
      </c>
      <c r="EM102" s="102">
        <f t="shared" si="222"/>
        <v>0</v>
      </c>
      <c r="EN102" s="102">
        <f t="shared" si="222"/>
        <v>0</v>
      </c>
      <c r="EO102" s="102">
        <f>IF(EO98&lt;0,$J$102*EO98,0)-IF(-EO104&gt;EO105,$J$102*(-EO104-EO105),0)+$J$102*EO106</f>
        <v>0</v>
      </c>
      <c r="EP102" s="102">
        <f>IF(EP98&lt;0,$J$102*EP98,0)-IF(-EP104&gt;EP105,$J$102*(-EP104-EP105),0)+$J$102*EP106</f>
        <v>0</v>
      </c>
      <c r="EQ102" s="102">
        <f>IF(EQ98&lt;0,$J$102*EQ98,0)-IF(-EQ104&gt;EQ105,$J$102*(-EQ104-EQ105),0)+$J$102*EQ106</f>
        <v>0</v>
      </c>
      <c r="ES102" s="98"/>
      <c r="ET102" s="98"/>
      <c r="EU102" s="98"/>
    </row>
    <row r="103" spans="7:151" ht="15.75">
      <c r="G103" s="101"/>
      <c r="H103" s="117" t="s">
        <v>195</v>
      </c>
      <c r="I103" s="95"/>
      <c r="J103" s="102"/>
      <c r="K103" s="102"/>
      <c r="L103" s="102" t="e">
        <f ca="1">SUM(L101:L102)</f>
        <v>#REF!</v>
      </c>
      <c r="N103" s="102">
        <f t="shared" si="220"/>
        <v>2019359.9999999998</v>
      </c>
      <c r="O103" s="102">
        <f>IF(O10=Assumptions!$D$8,Assumptions!$M$40,0)</f>
        <v>2019359.9999999998</v>
      </c>
      <c r="P103" s="102">
        <f>IF(P10=Assumptions!$D$8,Assumptions!$M$40,0)</f>
        <v>0</v>
      </c>
      <c r="Q103" s="102">
        <f>IF(Q10=Assumptions!$D$8,Assumptions!$M$40,0)</f>
        <v>0</v>
      </c>
      <c r="R103" s="102">
        <f>IF(R10=Assumptions!$D$8,Assumptions!$M$40,0)</f>
        <v>0</v>
      </c>
      <c r="S103" s="102">
        <f>IF(S10=Assumptions!$D$8,Assumptions!$M$40,0)</f>
        <v>0</v>
      </c>
      <c r="T103" s="102">
        <f>IF(T10=Assumptions!$D$8,Assumptions!$M$40,0)</f>
        <v>0</v>
      </c>
      <c r="U103" s="102">
        <f>IF(U10=Assumptions!$D$8,Assumptions!$M$40,0)</f>
        <v>0</v>
      </c>
      <c r="V103" s="102">
        <f>IF(V10=Assumptions!$D$8,Assumptions!$M$40,0)</f>
        <v>0</v>
      </c>
      <c r="W103" s="102">
        <f>IF(W10=Assumptions!$D$8,Assumptions!$M$40,0)</f>
        <v>0</v>
      </c>
      <c r="X103" s="102">
        <f>IF(X10=Assumptions!$D$8,Assumptions!$M$40,0)</f>
        <v>0</v>
      </c>
      <c r="Y103" s="102">
        <f>IF(Y10=Assumptions!$D$8,Assumptions!$M$40,0)</f>
        <v>0</v>
      </c>
      <c r="Z103" s="102">
        <f>IF(Z10=Assumptions!$D$8,Assumptions!$M$40,0)</f>
        <v>0</v>
      </c>
      <c r="AA103" s="102">
        <f>IF(AA10=Assumptions!$D$8,Assumptions!$M$40,0)</f>
        <v>0</v>
      </c>
      <c r="AB103" s="102">
        <f>IF(AB10=Assumptions!$D$8,Assumptions!$M$40,0)</f>
        <v>0</v>
      </c>
      <c r="AC103" s="102">
        <f>IF(AC10=Assumptions!$D$8,Assumptions!$M$40,0)</f>
        <v>0</v>
      </c>
      <c r="AD103" s="102">
        <f>IF(AD10=Assumptions!$D$8,Assumptions!$M$40,0)</f>
        <v>0</v>
      </c>
      <c r="AE103" s="102">
        <f>IF(AE10=Assumptions!$D$8,Assumptions!$M$40,0)</f>
        <v>0</v>
      </c>
      <c r="AF103" s="102">
        <f>IF(AF10=Assumptions!$D$8,Assumptions!$M$40,0)</f>
        <v>0</v>
      </c>
      <c r="AG103" s="102">
        <f>IF(AG10=Assumptions!$D$8,Assumptions!$M$40,0)</f>
        <v>0</v>
      </c>
      <c r="AH103" s="102">
        <f>IF(AH10=Assumptions!$D$8,Assumptions!$M$40,0)</f>
        <v>0</v>
      </c>
      <c r="AI103" s="102">
        <f>IF(AI10=Assumptions!$D$8,Assumptions!$M$40,0)</f>
        <v>0</v>
      </c>
      <c r="AJ103" s="102">
        <f>IF(AJ10=Assumptions!$D$8,Assumptions!$M$40,0)</f>
        <v>0</v>
      </c>
      <c r="AK103" s="102">
        <f>IF(AK10=Assumptions!$D$8,Assumptions!$M$40,0)</f>
        <v>0</v>
      </c>
      <c r="AL103" s="102">
        <f>IF(AL10=Assumptions!$D$8,Assumptions!$M$40,0)</f>
        <v>0</v>
      </c>
      <c r="AM103" s="102">
        <f>IF(AM10=Assumptions!$D$8,Assumptions!$M$40,0)</f>
        <v>0</v>
      </c>
      <c r="AN103" s="102">
        <f>IF(AN10=Assumptions!$D$8,Assumptions!$M$40,0)</f>
        <v>0</v>
      </c>
      <c r="AO103" s="102">
        <f>IF(AO10=Assumptions!$D$8,Assumptions!$M$40,0)</f>
        <v>0</v>
      </c>
      <c r="AP103" s="102">
        <f>IF(AP10=Assumptions!$D$8,Assumptions!$M$40,0)</f>
        <v>0</v>
      </c>
      <c r="AQ103" s="102">
        <f>IF(AQ10=Assumptions!$D$8,Assumptions!$M$40,0)</f>
        <v>0</v>
      </c>
      <c r="AR103" s="102">
        <f>IF(AR10=Assumptions!$D$8,Assumptions!$M$40,0)</f>
        <v>0</v>
      </c>
      <c r="AS103" s="102">
        <f>IF(AS10=Assumptions!$D$8,Assumptions!$M$40,0)</f>
        <v>0</v>
      </c>
      <c r="AT103" s="102">
        <f>IF(AT10=Assumptions!$D$8,Assumptions!$M$40,0)</f>
        <v>0</v>
      </c>
      <c r="AU103" s="102">
        <f>IF(AU10=Assumptions!$D$8,Assumptions!$M$40,0)</f>
        <v>0</v>
      </c>
      <c r="AV103" s="102">
        <f>IF(AV10=Assumptions!$D$8,Assumptions!$M$40,0)</f>
        <v>0</v>
      </c>
      <c r="AW103" s="102">
        <f>IF(AW10=Assumptions!$D$8,Assumptions!$M$40,0)</f>
        <v>0</v>
      </c>
      <c r="AX103" s="102">
        <f>IF(AX10=Assumptions!$D$8,Assumptions!$M$40,0)</f>
        <v>0</v>
      </c>
      <c r="AY103" s="102">
        <f>IF(AY10=Assumptions!$D$8,Assumptions!$M$40,0)</f>
        <v>0</v>
      </c>
      <c r="AZ103" s="102">
        <f>IF(AZ10=Assumptions!$D$8,Assumptions!$M$40,0)</f>
        <v>0</v>
      </c>
      <c r="BA103" s="102">
        <f>IF(BA10=Assumptions!$D$8,Assumptions!$M$40,0)</f>
        <v>0</v>
      </c>
      <c r="BB103" s="102">
        <f>IF(BB10=Assumptions!$D$8,Assumptions!$M$40,0)</f>
        <v>0</v>
      </c>
      <c r="BC103" s="102">
        <f>IF(BC10=Assumptions!$D$8,Assumptions!$M$40,0)</f>
        <v>0</v>
      </c>
      <c r="BD103" s="102">
        <f>IF(BD10=Assumptions!$D$8,Assumptions!$M$40,0)</f>
        <v>0</v>
      </c>
      <c r="BE103" s="102">
        <f>IF(BE10=Assumptions!$D$8,Assumptions!$M$40,0)</f>
        <v>0</v>
      </c>
      <c r="BF103" s="102">
        <f>IF(BF10=Assumptions!$D$8,Assumptions!$M$40,0)</f>
        <v>0</v>
      </c>
      <c r="BG103" s="102">
        <f>IF(BG10=Assumptions!$D$8,Assumptions!$M$40,0)</f>
        <v>0</v>
      </c>
      <c r="BH103" s="102">
        <f>IF(BH10=Assumptions!$D$8,Assumptions!$M$40,0)</f>
        <v>0</v>
      </c>
      <c r="BI103" s="102">
        <f>IF(BI10=Assumptions!$D$8,Assumptions!$M$40,0)</f>
        <v>0</v>
      </c>
      <c r="BJ103" s="102">
        <f>IF(BJ10=Assumptions!$D$8,Assumptions!$M$40,0)</f>
        <v>0</v>
      </c>
      <c r="BK103" s="102">
        <f>IF(BK10=Assumptions!$D$8,Assumptions!$M$40,0)</f>
        <v>0</v>
      </c>
      <c r="BL103" s="102">
        <f>IF(BL10=Assumptions!$D$8,Assumptions!$M$40,0)</f>
        <v>0</v>
      </c>
      <c r="BM103" s="102">
        <f>IF(BM10=Assumptions!$D$8,Assumptions!$M$40,0)</f>
        <v>0</v>
      </c>
      <c r="BN103" s="102">
        <f>IF(BN10=Assumptions!$D$8,Assumptions!$M$40,0)</f>
        <v>0</v>
      </c>
      <c r="BO103" s="102">
        <f>IF(BO10=Assumptions!$D$8,Assumptions!$M$40,0)</f>
        <v>0</v>
      </c>
      <c r="BP103" s="102">
        <f>IF(BP10=Assumptions!$D$8,Assumptions!$M$40,0)</f>
        <v>0</v>
      </c>
      <c r="BQ103" s="102">
        <f>IF(BQ10=Assumptions!$D$8,Assumptions!$M$40,0)</f>
        <v>0</v>
      </c>
      <c r="BR103" s="102">
        <f>IF(BR10=Assumptions!$D$8,Assumptions!$M$40,0)</f>
        <v>0</v>
      </c>
      <c r="BS103" s="102">
        <f>IF(BS10=Assumptions!$D$8,Assumptions!$M$40,0)</f>
        <v>0</v>
      </c>
      <c r="BT103" s="102">
        <f>IF(BT10=Assumptions!$D$8,Assumptions!$M$40,0)</f>
        <v>0</v>
      </c>
      <c r="BU103" s="102">
        <f>IF(BU10=Assumptions!$D$8,Assumptions!$M$40,0)</f>
        <v>0</v>
      </c>
      <c r="BV103" s="102">
        <f>IF(BV10=Assumptions!$D$8,Assumptions!$M$40,0)</f>
        <v>0</v>
      </c>
      <c r="BW103" s="102">
        <f>IF(BW10=Assumptions!$D$8,Assumptions!$M$40,0)</f>
        <v>0</v>
      </c>
      <c r="BX103" s="102">
        <f>IF(BX10=Assumptions!$D$8,Assumptions!$M$40,0)</f>
        <v>0</v>
      </c>
      <c r="BY103" s="102">
        <f>IF(BY10=Assumptions!$D$8,Assumptions!$M$40,0)</f>
        <v>0</v>
      </c>
      <c r="BZ103" s="102">
        <f>IF(BZ10=Assumptions!$D$8,Assumptions!$M$40,0)</f>
        <v>0</v>
      </c>
      <c r="CA103" s="102">
        <f>IF(CA10=Assumptions!$D$8,Assumptions!$M$40,0)</f>
        <v>0</v>
      </c>
      <c r="CB103" s="102">
        <f>IF(CB10=Assumptions!$D$8,Assumptions!$M$40,0)</f>
        <v>0</v>
      </c>
      <c r="CC103" s="102">
        <f>IF(CC10=Assumptions!$D$8,Assumptions!$M$40,0)</f>
        <v>0</v>
      </c>
      <c r="CD103" s="102">
        <f>IF(CD10=Assumptions!$D$8,Assumptions!$M$40,0)</f>
        <v>0</v>
      </c>
      <c r="CE103" s="102">
        <f>IF(CE10=Assumptions!$D$8,Assumptions!$M$40,0)</f>
        <v>0</v>
      </c>
      <c r="CF103" s="102">
        <f>IF(CF10=Assumptions!$D$8,Assumptions!$M$40,0)</f>
        <v>0</v>
      </c>
      <c r="CG103" s="102">
        <f>IF(CG10=Assumptions!$D$8,Assumptions!$M$40,0)</f>
        <v>0</v>
      </c>
      <c r="CH103" s="102">
        <f>IF(CH10=Assumptions!$D$8,Assumptions!$M$40,0)</f>
        <v>0</v>
      </c>
      <c r="CI103" s="102">
        <f>IF(CI10=Assumptions!$D$8,Assumptions!$M$40,0)</f>
        <v>0</v>
      </c>
      <c r="CJ103" s="102">
        <f>IF(CJ10=Assumptions!$D$8,Assumptions!$M$40,0)</f>
        <v>0</v>
      </c>
      <c r="CK103" s="102">
        <f>IF(CK10=Assumptions!$D$8,Assumptions!$M$40,0)</f>
        <v>0</v>
      </c>
      <c r="CL103" s="102">
        <f>IF(CL10=Assumptions!$D$8,Assumptions!$M$40,0)</f>
        <v>0</v>
      </c>
      <c r="CM103" s="102">
        <f>IF(CM10=Assumptions!$D$8,Assumptions!$M$40,0)</f>
        <v>0</v>
      </c>
      <c r="CN103" s="102">
        <f>IF(CN10=Assumptions!$D$8,Assumptions!$M$40,0)</f>
        <v>0</v>
      </c>
      <c r="CO103" s="102">
        <f>IF(CO10=Assumptions!$D$8,Assumptions!$M$40,0)</f>
        <v>0</v>
      </c>
      <c r="CP103" s="102">
        <f>IF(CP10=Assumptions!$D$8,Assumptions!$M$40,0)</f>
        <v>0</v>
      </c>
      <c r="CQ103" s="102">
        <f>IF(CQ10=Assumptions!$D$8,Assumptions!$M$40,0)</f>
        <v>0</v>
      </c>
      <c r="CR103" s="102">
        <f>IF(CR10=Assumptions!$D$8,Assumptions!$M$40,0)</f>
        <v>0</v>
      </c>
      <c r="CS103" s="102">
        <f>IF(CS10=Assumptions!$D$8,Assumptions!$M$40,0)</f>
        <v>0</v>
      </c>
      <c r="CT103" s="102">
        <f>IF(CT10=Assumptions!$D$8,Assumptions!$M$40,0)</f>
        <v>0</v>
      </c>
      <c r="CU103" s="102">
        <f>IF(CU10=Assumptions!$D$8,Assumptions!$M$40,0)</f>
        <v>0</v>
      </c>
      <c r="CV103" s="102">
        <f>IF(CV10=Assumptions!$D$8,Assumptions!$M$40,0)</f>
        <v>0</v>
      </c>
      <c r="CW103" s="102">
        <f>IF(CW10=Assumptions!$D$8,Assumptions!$M$40,0)</f>
        <v>0</v>
      </c>
      <c r="CX103" s="102">
        <f>IF(CX10=Assumptions!$D$8,Assumptions!$M$40,0)</f>
        <v>0</v>
      </c>
      <c r="CY103" s="102">
        <f>IF(CY10=Assumptions!$D$8,Assumptions!$M$40,0)</f>
        <v>0</v>
      </c>
      <c r="CZ103" s="102">
        <f>IF(CZ10=Assumptions!$D$8,Assumptions!$M$40,0)</f>
        <v>0</v>
      </c>
      <c r="DA103" s="102">
        <f>IF(DA10=Assumptions!$D$8,Assumptions!$M$40,0)</f>
        <v>0</v>
      </c>
      <c r="DB103" s="102">
        <f>IF(DB10=Assumptions!$D$8,Assumptions!$M$40,0)</f>
        <v>0</v>
      </c>
      <c r="DC103" s="102">
        <f>IF(DC10=Assumptions!$D$8,Assumptions!$M$40,0)</f>
        <v>0</v>
      </c>
      <c r="DD103" s="102">
        <f>IF(DD10=Assumptions!$D$8,Assumptions!$M$40,0)</f>
        <v>0</v>
      </c>
      <c r="DE103" s="102">
        <f>IF(DE10=Assumptions!$D$8,Assumptions!$M$40,0)</f>
        <v>0</v>
      </c>
      <c r="DF103" s="102">
        <f>IF(DF10=Assumptions!$D$8,Assumptions!$M$40,0)</f>
        <v>0</v>
      </c>
      <c r="DG103" s="102">
        <f>IF(DG10=Assumptions!$D$8,Assumptions!$M$40,0)</f>
        <v>0</v>
      </c>
      <c r="DH103" s="102">
        <f>IF(DH10=Assumptions!$D$8,Assumptions!$M$40,0)</f>
        <v>0</v>
      </c>
      <c r="DI103" s="102">
        <f>IF(DI10=Assumptions!$D$8,Assumptions!$M$40,0)</f>
        <v>0</v>
      </c>
      <c r="DJ103" s="102">
        <f>IF(DJ10=Assumptions!$D$8,Assumptions!$M$40,0)</f>
        <v>0</v>
      </c>
      <c r="DK103" s="102">
        <f>IF(DK10=Assumptions!$D$8,Assumptions!$M$40,0)</f>
        <v>0</v>
      </c>
      <c r="DL103" s="102">
        <f>IF(DL10=Assumptions!$D$8,Assumptions!$M$40,0)</f>
        <v>0</v>
      </c>
      <c r="DM103" s="102">
        <f>IF(DM10=Assumptions!$D$8,Assumptions!$M$40,0)</f>
        <v>0</v>
      </c>
      <c r="DN103" s="102">
        <f>IF(DN10=Assumptions!$D$8,Assumptions!$M$40,0)</f>
        <v>0</v>
      </c>
      <c r="DO103" s="102">
        <f>IF(DO10=Assumptions!$D$8,Assumptions!$M$40,0)</f>
        <v>0</v>
      </c>
      <c r="DP103" s="102">
        <f>IF(DP10=Assumptions!$D$8,Assumptions!$M$40,0)</f>
        <v>0</v>
      </c>
      <c r="DQ103" s="102">
        <f>IF(DQ10=Assumptions!$D$8,Assumptions!$M$40,0)</f>
        <v>0</v>
      </c>
      <c r="DR103" s="102">
        <f>IF(DR10=Assumptions!$D$8,Assumptions!$M$40,0)</f>
        <v>0</v>
      </c>
      <c r="DS103" s="102">
        <f>IF(DS10=Assumptions!$D$8,Assumptions!$M$40,0)</f>
        <v>0</v>
      </c>
      <c r="DT103" s="102">
        <f>IF(DT10=Assumptions!$D$8,Assumptions!$M$40,0)</f>
        <v>0</v>
      </c>
      <c r="DU103" s="102">
        <f>IF(DU10=Assumptions!$D$8,Assumptions!$M$40,0)</f>
        <v>0</v>
      </c>
      <c r="DV103" s="102">
        <f>IF(DV10=Assumptions!$D$8,Assumptions!$M$40,0)</f>
        <v>0</v>
      </c>
      <c r="DW103" s="102">
        <f>IF(DW10=Assumptions!$D$8,Assumptions!$M$40,0)</f>
        <v>0</v>
      </c>
      <c r="DX103" s="102">
        <f>IF(DX10=Assumptions!$D$8,Assumptions!$M$40,0)</f>
        <v>0</v>
      </c>
      <c r="DY103" s="102">
        <f>IF(DY10=Assumptions!$D$8,Assumptions!$M$40,0)</f>
        <v>0</v>
      </c>
      <c r="DZ103" s="102">
        <f>IF(DZ10=Assumptions!$D$8,Assumptions!$M$40,0)</f>
        <v>0</v>
      </c>
      <c r="EA103" s="102">
        <f>IF(EA10=Assumptions!$D$8,Assumptions!$M$40,0)</f>
        <v>0</v>
      </c>
      <c r="EB103" s="102">
        <f>IF(EB10=Assumptions!$D$8,Assumptions!$M$40,0)</f>
        <v>0</v>
      </c>
      <c r="EC103" s="102">
        <f>IF(EC10=Assumptions!$D$8,Assumptions!$M$40,0)</f>
        <v>0</v>
      </c>
      <c r="ED103" s="102">
        <f>IF(ED10=Assumptions!$D$8,Assumptions!$M$40,0)</f>
        <v>0</v>
      </c>
      <c r="EE103" s="102">
        <f>IF(EE10=Assumptions!$D$8,Assumptions!$M$40,0)</f>
        <v>0</v>
      </c>
      <c r="EF103" s="102">
        <f>IF(EF10=Assumptions!$D$8,Assumptions!$M$40,0)</f>
        <v>0</v>
      </c>
      <c r="EG103" s="102">
        <f>IF(EG10=Assumptions!$D$8,Assumptions!$M$40,0)</f>
        <v>0</v>
      </c>
      <c r="EH103" s="102">
        <f>IF(EH10=Assumptions!$D$8,Assumptions!$M$40,0)</f>
        <v>0</v>
      </c>
      <c r="EI103" s="102">
        <f>IF(EI10=Assumptions!$D$8,Assumptions!$M$40,0)</f>
        <v>0</v>
      </c>
      <c r="EJ103" s="102">
        <f>IF(EJ10=Assumptions!$D$8,Assumptions!$M$40,0)</f>
        <v>0</v>
      </c>
      <c r="EK103" s="102">
        <f>IF(EK10=Assumptions!$D$8,Assumptions!$M$40,0)</f>
        <v>0</v>
      </c>
      <c r="EL103" s="102">
        <f>IF(EL10=Assumptions!$D$8,Assumptions!$M$40,0)</f>
        <v>0</v>
      </c>
      <c r="EM103" s="102">
        <f>IF(EM10=Assumptions!$D$8,Assumptions!$M$40,0)</f>
        <v>0</v>
      </c>
      <c r="EN103" s="102">
        <f>IF(EN10=Assumptions!$D$8,Assumptions!$M$40,0)</f>
        <v>0</v>
      </c>
      <c r="EO103" s="102">
        <f>IF(EO10=Assumptions!$D$8,Assumptions!$M$40,0)</f>
        <v>0</v>
      </c>
      <c r="EP103" s="102">
        <f>IF(EP10=Assumptions!$D$8,Assumptions!$M$40,0)</f>
        <v>0</v>
      </c>
      <c r="EQ103" s="102">
        <f>IF(EQ10=Assumptions!$D$8,Assumptions!$M$40,0)</f>
        <v>0</v>
      </c>
      <c r="ES103" s="98"/>
      <c r="ET103" s="98"/>
      <c r="EU103" s="98"/>
    </row>
    <row r="104" spans="7:151" ht="15.75">
      <c r="G104" s="101"/>
      <c r="H104" s="117" t="s">
        <v>197</v>
      </c>
      <c r="I104" s="95"/>
      <c r="J104" s="102"/>
      <c r="K104" s="102"/>
      <c r="L104" s="102"/>
      <c r="N104" s="102">
        <f t="shared" si="220"/>
        <v>-1899994.9187111054</v>
      </c>
      <c r="O104" s="102">
        <f>IF(AND(Assumptions!$M$48&gt;0,O10=Assumptions!$M$48),-VLOOKUP(Assumptions!$M$48,'Amort Schedule - Acqn Loan'!$B$29:$G$388,6),IF(AND(Assumptions!$M$48=0,O10=Assumptions!$G$10),-VLOOKUP(O10,'Amort Schedule - Acqn Loan'!$B$29:$G$388,6),0))</f>
        <v>0</v>
      </c>
      <c r="P104" s="102">
        <f>IF(AND(Assumptions!$M$48&gt;0,P10=Assumptions!$M$48),-VLOOKUP(Assumptions!$M$48,'Amort Schedule - Acqn Loan'!$B$29:$G$388,6),IF(AND(Assumptions!$M$48=0,P10=Assumptions!$G$10),-VLOOKUP(P10,'Amort Schedule - Acqn Loan'!$B$29:$G$388,6),0))</f>
        <v>0</v>
      </c>
      <c r="Q104" s="102">
        <f>IF(AND(Assumptions!$M$48&gt;0,Q10=Assumptions!$M$48),-VLOOKUP(Assumptions!$M$48,'Amort Schedule - Acqn Loan'!$B$29:$G$388,6),IF(AND(Assumptions!$M$48=0,Q10=Assumptions!$G$10),-VLOOKUP(Q10,'Amort Schedule - Acqn Loan'!$B$29:$G$388,6),0))</f>
        <v>0</v>
      </c>
      <c r="R104" s="102">
        <f>IF(AND(Assumptions!$M$48&gt;0,R10=Assumptions!$M$48),-VLOOKUP(Assumptions!$M$48,'Amort Schedule - Acqn Loan'!$B$29:$G$388,6),IF(AND(Assumptions!$M$48=0,R10=Assumptions!$G$10),-VLOOKUP(R10,'Amort Schedule - Acqn Loan'!$B$29:$G$388,6),0))</f>
        <v>0</v>
      </c>
      <c r="S104" s="102">
        <f>IF(AND(Assumptions!$M$48&gt;0,S10=Assumptions!$M$48),-VLOOKUP(Assumptions!$M$48,'Amort Schedule - Acqn Loan'!$B$29:$G$388,6),IF(AND(Assumptions!$M$48=0,S10=Assumptions!$G$10),-VLOOKUP(S10,'Amort Schedule - Acqn Loan'!$B$29:$G$388,6),0))</f>
        <v>0</v>
      </c>
      <c r="T104" s="102">
        <f>IF(AND(Assumptions!$M$48&gt;0,T10=Assumptions!$M$48),-VLOOKUP(Assumptions!$M$48,'Amort Schedule - Acqn Loan'!$B$29:$G$388,6),IF(AND(Assumptions!$M$48=0,T10=Assumptions!$G$10),-VLOOKUP(T10,'Amort Schedule - Acqn Loan'!$B$29:$G$388,6),0))</f>
        <v>0</v>
      </c>
      <c r="U104" s="102">
        <f>IF(AND(Assumptions!$M$48&gt;0,U10=Assumptions!$M$48),-VLOOKUP(Assumptions!$M$48,'Amort Schedule - Acqn Loan'!$B$29:$G$388,6),IF(AND(Assumptions!$M$48=0,U10=Assumptions!$G$10),-VLOOKUP(U10,'Amort Schedule - Acqn Loan'!$B$29:$G$388,6),0))</f>
        <v>0</v>
      </c>
      <c r="V104" s="102">
        <f>IF(AND(Assumptions!$M$48&gt;0,V10=Assumptions!$M$48),-VLOOKUP(Assumptions!$M$48,'Amort Schedule - Acqn Loan'!$B$29:$G$388,6),IF(AND(Assumptions!$M$48=0,V10=Assumptions!$G$10),-VLOOKUP(V10,'Amort Schedule - Acqn Loan'!$B$29:$G$388,6),0))</f>
        <v>0</v>
      </c>
      <c r="W104" s="102">
        <f>IF(AND(Assumptions!$M$48&gt;0,W10=Assumptions!$M$48),-VLOOKUP(Assumptions!$M$48,'Amort Schedule - Acqn Loan'!$B$29:$G$388,6),IF(AND(Assumptions!$M$48=0,W10=Assumptions!$G$10),-VLOOKUP(W10,'Amort Schedule - Acqn Loan'!$B$29:$G$388,6),0))</f>
        <v>0</v>
      </c>
      <c r="X104" s="102">
        <f>IF(AND(Assumptions!$M$48&gt;0,X10=Assumptions!$M$48),-VLOOKUP(Assumptions!$M$48,'Amort Schedule - Acqn Loan'!$B$29:$G$388,6),IF(AND(Assumptions!$M$48=0,X10=Assumptions!$G$10),-VLOOKUP(X10,'Amort Schedule - Acqn Loan'!$B$29:$G$388,6),0))</f>
        <v>0</v>
      </c>
      <c r="Y104" s="102">
        <f>IF(AND(Assumptions!$M$48&gt;0,Y10=Assumptions!$M$48),-VLOOKUP(Assumptions!$M$48,'Amort Schedule - Acqn Loan'!$B$29:$G$388,6),IF(AND(Assumptions!$M$48=0,Y10=Assumptions!$G$10),-VLOOKUP(Y10,'Amort Schedule - Acqn Loan'!$B$29:$G$388,6),0))</f>
        <v>0</v>
      </c>
      <c r="Z104" s="102">
        <f>IF(AND(Assumptions!$M$48&gt;0,Z10=Assumptions!$M$48),-VLOOKUP(Assumptions!$M$48,'Amort Schedule - Acqn Loan'!$B$29:$G$388,6),IF(AND(Assumptions!$M$48=0,Z10=Assumptions!$G$10),-VLOOKUP(Z10,'Amort Schedule - Acqn Loan'!$B$29:$G$388,6),0))</f>
        <v>0</v>
      </c>
      <c r="AA104" s="102">
        <f>IF(AND(Assumptions!$M$48&gt;0,AA10=Assumptions!$M$48),-VLOOKUP(Assumptions!$M$48,'Amort Schedule - Acqn Loan'!$B$29:$G$388,6),IF(AND(Assumptions!$M$48=0,AA10=Assumptions!$G$10),-VLOOKUP(AA10,'Amort Schedule - Acqn Loan'!$B$29:$G$388,6),0))</f>
        <v>0</v>
      </c>
      <c r="AB104" s="102">
        <f>IF(AND(Assumptions!$M$48&gt;0,AB10=Assumptions!$M$48),-VLOOKUP(Assumptions!$M$48,'Amort Schedule - Acqn Loan'!$B$29:$G$388,6),IF(AND(Assumptions!$M$48=0,AB10=Assumptions!$G$10),-VLOOKUP(AB10,'Amort Schedule - Acqn Loan'!$B$29:$G$388,6),0))</f>
        <v>0</v>
      </c>
      <c r="AC104" s="102">
        <f>IF(AND(Assumptions!$M$48&gt;0,AC10=Assumptions!$M$48),-VLOOKUP(Assumptions!$M$48,'Amort Schedule - Acqn Loan'!$B$29:$G$388,6),IF(AND(Assumptions!$M$48=0,AC10=Assumptions!$G$10),-VLOOKUP(AC10,'Amort Schedule - Acqn Loan'!$B$29:$G$388,6),0))</f>
        <v>0</v>
      </c>
      <c r="AD104" s="102">
        <f>IF(AND(Assumptions!$M$48&gt;0,AD10=Assumptions!$M$48),-VLOOKUP(Assumptions!$M$48,'Amort Schedule - Acqn Loan'!$B$29:$G$388,6),IF(AND(Assumptions!$M$48=0,AD10=Assumptions!$G$10),-VLOOKUP(AD10,'Amort Schedule - Acqn Loan'!$B$29:$G$388,6),0))</f>
        <v>0</v>
      </c>
      <c r="AE104" s="102">
        <f>IF(AND(Assumptions!$M$48&gt;0,AE10=Assumptions!$M$48),-VLOOKUP(Assumptions!$M$48,'Amort Schedule - Acqn Loan'!$B$29:$G$388,6),IF(AND(Assumptions!$M$48=0,AE10=Assumptions!$G$10),-VLOOKUP(AE10,'Amort Schedule - Acqn Loan'!$B$29:$G$388,6),0))</f>
        <v>0</v>
      </c>
      <c r="AF104" s="102">
        <f>IF(AND(Assumptions!$M$48&gt;0,AF10=Assumptions!$M$48),-VLOOKUP(Assumptions!$M$48,'Amort Schedule - Acqn Loan'!$B$29:$G$388,6),IF(AND(Assumptions!$M$48=0,AF10=Assumptions!$G$10),-VLOOKUP(AF10,'Amort Schedule - Acqn Loan'!$B$29:$G$388,6),0))</f>
        <v>0</v>
      </c>
      <c r="AG104" s="102">
        <f>IF(AND(Assumptions!$M$48&gt;0,AG10=Assumptions!$M$48),-VLOOKUP(Assumptions!$M$48,'Amort Schedule - Acqn Loan'!$B$29:$G$388,6),IF(AND(Assumptions!$M$48=0,AG10=Assumptions!$G$10),-VLOOKUP(AG10,'Amort Schedule - Acqn Loan'!$B$29:$G$388,6),0))</f>
        <v>0</v>
      </c>
      <c r="AH104" s="102">
        <f>IF(AND(Assumptions!$M$48&gt;0,AH10=Assumptions!$M$48),-VLOOKUP(Assumptions!$M$48,'Amort Schedule - Acqn Loan'!$B$29:$G$388,6),IF(AND(Assumptions!$M$48=0,AH10=Assumptions!$G$10),-VLOOKUP(AH10,'Amort Schedule - Acqn Loan'!$B$29:$G$388,6),0))</f>
        <v>0</v>
      </c>
      <c r="AI104" s="102">
        <f>IF(AND(Assumptions!$M$48&gt;0,AI10=Assumptions!$M$48),-VLOOKUP(Assumptions!$M$48,'Amort Schedule - Acqn Loan'!$B$29:$G$388,6),IF(AND(Assumptions!$M$48=0,AI10=Assumptions!$G$10),-VLOOKUP(AI10,'Amort Schedule - Acqn Loan'!$B$29:$G$388,6),0))</f>
        <v>0</v>
      </c>
      <c r="AJ104" s="102">
        <f>IF(AND(Assumptions!$M$48&gt;0,AJ10=Assumptions!$M$48),-VLOOKUP(Assumptions!$M$48,'Amort Schedule - Acqn Loan'!$B$29:$G$388,6),IF(AND(Assumptions!$M$48=0,AJ10=Assumptions!$G$10),-VLOOKUP(AJ10,'Amort Schedule - Acqn Loan'!$B$29:$G$388,6),0))</f>
        <v>0</v>
      </c>
      <c r="AK104" s="102">
        <f>IF(AND(Assumptions!$M$48&gt;0,AK10=Assumptions!$M$48),-VLOOKUP(Assumptions!$M$48,'Amort Schedule - Acqn Loan'!$B$29:$G$388,6),IF(AND(Assumptions!$M$48=0,AK10=Assumptions!$G$10),-VLOOKUP(AK10,'Amort Schedule - Acqn Loan'!$B$29:$G$388,6),0))</f>
        <v>0</v>
      </c>
      <c r="AL104" s="102">
        <f>IF(AND(Assumptions!$M$48&gt;0,AL10=Assumptions!$M$48),-VLOOKUP(Assumptions!$M$48,'Amort Schedule - Acqn Loan'!$B$29:$G$388,6),IF(AND(Assumptions!$M$48=0,AL10=Assumptions!$G$10),-VLOOKUP(AL10,'Amort Schedule - Acqn Loan'!$B$29:$G$388,6),0))</f>
        <v>0</v>
      </c>
      <c r="AM104" s="102">
        <f>IF(AND(Assumptions!$M$48&gt;0,AM10=Assumptions!$M$48),-VLOOKUP(Assumptions!$M$48,'Amort Schedule - Acqn Loan'!$B$29:$G$388,6),IF(AND(Assumptions!$M$48=0,AM10=Assumptions!$G$10),-VLOOKUP(AM10,'Amort Schedule - Acqn Loan'!$B$29:$G$388,6),0))</f>
        <v>0</v>
      </c>
      <c r="AN104" s="102">
        <f>IF(AND(Assumptions!$M$48&gt;0,AN10=Assumptions!$M$48),-VLOOKUP(Assumptions!$M$48,'Amort Schedule - Acqn Loan'!$B$29:$G$388,6),IF(AND(Assumptions!$M$48=0,AN10=Assumptions!$G$10),-VLOOKUP(AN10,'Amort Schedule - Acqn Loan'!$B$29:$G$388,6),0))</f>
        <v>0</v>
      </c>
      <c r="AO104" s="102">
        <f>IF(AND(Assumptions!$M$48&gt;0,AO10=Assumptions!$M$48),-VLOOKUP(Assumptions!$M$48,'Amort Schedule - Acqn Loan'!$B$29:$G$388,6),IF(AND(Assumptions!$M$48=0,AO10=Assumptions!$G$10),-VLOOKUP(AO10,'Amort Schedule - Acqn Loan'!$B$29:$G$388,6),0))</f>
        <v>0</v>
      </c>
      <c r="AP104" s="102">
        <f>IF(AND(Assumptions!$M$48&gt;0,AP10=Assumptions!$M$48),-VLOOKUP(Assumptions!$M$48,'Amort Schedule - Acqn Loan'!$B$29:$G$388,6),IF(AND(Assumptions!$M$48=0,AP10=Assumptions!$G$10),-VLOOKUP(AP10,'Amort Schedule - Acqn Loan'!$B$29:$G$388,6),0))</f>
        <v>0</v>
      </c>
      <c r="AQ104" s="102">
        <f>IF(AND(Assumptions!$M$48&gt;0,AQ10=Assumptions!$M$48),-VLOOKUP(Assumptions!$M$48,'Amort Schedule - Acqn Loan'!$B$29:$G$388,6),IF(AND(Assumptions!$M$48=0,AQ10=Assumptions!$G$10),-VLOOKUP(AQ10,'Amort Schedule - Acqn Loan'!$B$29:$G$388,6),0))</f>
        <v>0</v>
      </c>
      <c r="AR104" s="102">
        <f>IF(AND(Assumptions!$M$48&gt;0,AR10=Assumptions!$M$48),-VLOOKUP(Assumptions!$M$48,'Amort Schedule - Acqn Loan'!$B$29:$G$388,6),IF(AND(Assumptions!$M$48=0,AR10=Assumptions!$G$10),-VLOOKUP(AR10,'Amort Schedule - Acqn Loan'!$B$29:$G$388,6),0))</f>
        <v>0</v>
      </c>
      <c r="AS104" s="102">
        <f>IF(AND(Assumptions!$M$48&gt;0,AS10=Assumptions!$M$48),-VLOOKUP(Assumptions!$M$48,'Amort Schedule - Acqn Loan'!$B$29:$G$388,6),IF(AND(Assumptions!$M$48=0,AS10=Assumptions!$G$10),-VLOOKUP(AS10,'Amort Schedule - Acqn Loan'!$B$29:$G$388,6),0))</f>
        <v>0</v>
      </c>
      <c r="AT104" s="102">
        <f>IF(AND(Assumptions!$M$48&gt;0,AT10=Assumptions!$M$48),-VLOOKUP(Assumptions!$M$48,'Amort Schedule - Acqn Loan'!$B$29:$G$388,6),IF(AND(Assumptions!$M$48=0,AT10=Assumptions!$G$10),-VLOOKUP(AT10,'Amort Schedule - Acqn Loan'!$B$29:$G$388,6),0))</f>
        <v>0</v>
      </c>
      <c r="AU104" s="102">
        <f>IF(AND(Assumptions!$M$48&gt;0,AU10=Assumptions!$M$48),-VLOOKUP(Assumptions!$M$48,'Amort Schedule - Acqn Loan'!$B$29:$G$388,6),IF(AND(Assumptions!$M$48=0,AU10=Assumptions!$G$10),-VLOOKUP(AU10,'Amort Schedule - Acqn Loan'!$B$29:$G$388,6),0))</f>
        <v>0</v>
      </c>
      <c r="AV104" s="102">
        <f>IF(AND(Assumptions!$M$48&gt;0,AV10=Assumptions!$M$48),-VLOOKUP(Assumptions!$M$48,'Amort Schedule - Acqn Loan'!$B$29:$G$388,6),IF(AND(Assumptions!$M$48=0,AV10=Assumptions!$G$10),-VLOOKUP(AV10,'Amort Schedule - Acqn Loan'!$B$29:$G$388,6),0))</f>
        <v>0</v>
      </c>
      <c r="AW104" s="102">
        <f>IF(AND(Assumptions!$M$48&gt;0,AW10=Assumptions!$M$48),-VLOOKUP(Assumptions!$M$48,'Amort Schedule - Acqn Loan'!$B$29:$G$388,6),IF(AND(Assumptions!$M$48=0,AW10=Assumptions!$G$10),-VLOOKUP(AW10,'Amort Schedule - Acqn Loan'!$B$29:$G$388,6),0))</f>
        <v>0</v>
      </c>
      <c r="AX104" s="102">
        <f>IF(AND(Assumptions!$M$48&gt;0,AX10=Assumptions!$M$48),-VLOOKUP(Assumptions!$M$48,'Amort Schedule - Acqn Loan'!$B$29:$G$388,6),IF(AND(Assumptions!$M$48=0,AX10=Assumptions!$G$10),-VLOOKUP(AX10,'Amort Schedule - Acqn Loan'!$B$29:$G$388,6),0))</f>
        <v>0</v>
      </c>
      <c r="AY104" s="102">
        <f>IF(AND(Assumptions!$M$48&gt;0,AY10=Assumptions!$M$48),-VLOOKUP(Assumptions!$M$48,'Amort Schedule - Acqn Loan'!$B$29:$G$388,6),IF(AND(Assumptions!$M$48=0,AY10=Assumptions!$G$10),-VLOOKUP(AY10,'Amort Schedule - Acqn Loan'!$B$29:$G$388,6),0))</f>
        <v>0</v>
      </c>
      <c r="AZ104" s="102">
        <f>IF(AND(Assumptions!$M$48&gt;0,AZ10=Assumptions!$M$48),-VLOOKUP(Assumptions!$M$48,'Amort Schedule - Acqn Loan'!$B$29:$G$388,6),IF(AND(Assumptions!$M$48=0,AZ10=Assumptions!$G$10),-VLOOKUP(AZ10,'Amort Schedule - Acqn Loan'!$B$29:$G$388,6),0))</f>
        <v>0</v>
      </c>
      <c r="BA104" s="102">
        <f>IF(AND(Assumptions!$M$48&gt;0,BA10=Assumptions!$M$48),-VLOOKUP(Assumptions!$M$48,'Amort Schedule - Acqn Loan'!$B$29:$G$388,6),IF(AND(Assumptions!$M$48=0,BA10=Assumptions!$G$10),-VLOOKUP(BA10,'Amort Schedule - Acqn Loan'!$B$29:$G$388,6),0))</f>
        <v>0</v>
      </c>
      <c r="BB104" s="102">
        <f>IF(AND(Assumptions!$M$48&gt;0,BB10=Assumptions!$M$48),-VLOOKUP(Assumptions!$M$48,'Amort Schedule - Acqn Loan'!$B$29:$G$388,6),IF(AND(Assumptions!$M$48=0,BB10=Assumptions!$G$10),-VLOOKUP(BB10,'Amort Schedule - Acqn Loan'!$B$29:$G$388,6),0))</f>
        <v>0</v>
      </c>
      <c r="BC104" s="102">
        <f>IF(AND(Assumptions!$M$48&gt;0,BC10=Assumptions!$M$48),-VLOOKUP(Assumptions!$M$48,'Amort Schedule - Acqn Loan'!$B$29:$G$388,6),IF(AND(Assumptions!$M$48=0,BC10=Assumptions!$G$10),-VLOOKUP(BC10,'Amort Schedule - Acqn Loan'!$B$29:$G$388,6),0))</f>
        <v>0</v>
      </c>
      <c r="BD104" s="102">
        <f>IF(AND(Assumptions!$M$48&gt;0,BD10=Assumptions!$M$48),-VLOOKUP(Assumptions!$M$48,'Amort Schedule - Acqn Loan'!$B$29:$G$388,6),IF(AND(Assumptions!$M$48=0,BD10=Assumptions!$G$10),-VLOOKUP(BD10,'Amort Schedule - Acqn Loan'!$B$29:$G$388,6),0))</f>
        <v>0</v>
      </c>
      <c r="BE104" s="102">
        <f>IF(AND(Assumptions!$M$48&gt;0,BE10=Assumptions!$M$48),-VLOOKUP(Assumptions!$M$48,'Amort Schedule - Acqn Loan'!$B$29:$G$388,6),IF(AND(Assumptions!$M$48=0,BE10=Assumptions!$G$10),-VLOOKUP(BE10,'Amort Schedule - Acqn Loan'!$B$29:$G$388,6),0))</f>
        <v>0</v>
      </c>
      <c r="BF104" s="102">
        <f>IF(AND(Assumptions!$M$48&gt;0,BF10=Assumptions!$M$48),-VLOOKUP(Assumptions!$M$48,'Amort Schedule - Acqn Loan'!$B$29:$G$388,6),IF(AND(Assumptions!$M$48=0,BF10=Assumptions!$G$10),-VLOOKUP(BF10,'Amort Schedule - Acqn Loan'!$B$29:$G$388,6),0))</f>
        <v>0</v>
      </c>
      <c r="BG104" s="102">
        <f>IF(AND(Assumptions!$M$48&gt;0,BG10=Assumptions!$M$48),-VLOOKUP(Assumptions!$M$48,'Amort Schedule - Acqn Loan'!$B$29:$G$388,6),IF(AND(Assumptions!$M$48=0,BG10=Assumptions!$G$10),-VLOOKUP(BG10,'Amort Schedule - Acqn Loan'!$B$29:$G$388,6),0))</f>
        <v>0</v>
      </c>
      <c r="BH104" s="102">
        <f>IF(AND(Assumptions!$M$48&gt;0,BH10=Assumptions!$M$48),-VLOOKUP(Assumptions!$M$48,'Amort Schedule - Acqn Loan'!$B$29:$G$388,6),IF(AND(Assumptions!$M$48=0,BH10=Assumptions!$G$10),-VLOOKUP(BH10,'Amort Schedule - Acqn Loan'!$B$29:$G$388,6),0))</f>
        <v>0</v>
      </c>
      <c r="BI104" s="102">
        <f>IF(AND(Assumptions!$M$48&gt;0,BI10=Assumptions!$M$48),-VLOOKUP(Assumptions!$M$48,'Amort Schedule - Acqn Loan'!$B$29:$G$388,6),IF(AND(Assumptions!$M$48=0,BI10=Assumptions!$G$10),-VLOOKUP(BI10,'Amort Schedule - Acqn Loan'!$B$29:$G$388,6),0))</f>
        <v>0</v>
      </c>
      <c r="BJ104" s="102">
        <f>IF(AND(Assumptions!$M$48&gt;0,BJ10=Assumptions!$M$48),-VLOOKUP(Assumptions!$M$48,'Amort Schedule - Acqn Loan'!$B$29:$G$388,6),IF(AND(Assumptions!$M$48=0,BJ10=Assumptions!$G$10),-VLOOKUP(BJ10,'Amort Schedule - Acqn Loan'!$B$29:$G$388,6),0))</f>
        <v>0</v>
      </c>
      <c r="BK104" s="102">
        <f>IF(AND(Assumptions!$M$48&gt;0,BK10=Assumptions!$M$48),-VLOOKUP(Assumptions!$M$48,'Amort Schedule - Acqn Loan'!$B$29:$G$388,6),IF(AND(Assumptions!$M$48=0,BK10=Assumptions!$G$10),-VLOOKUP(BK10,'Amort Schedule - Acqn Loan'!$B$29:$G$388,6),0))</f>
        <v>-1899994.9187111054</v>
      </c>
      <c r="BL104" s="102">
        <f>IF(AND(Assumptions!$M$48&gt;0,BL10=Assumptions!$M$48),-VLOOKUP(Assumptions!$M$48,'Amort Schedule - Acqn Loan'!$B$29:$G$388,6),IF(AND(Assumptions!$M$48=0,BL10=Assumptions!$G$10),-VLOOKUP(BL10,'Amort Schedule - Acqn Loan'!$B$29:$G$388,6),0))</f>
        <v>0</v>
      </c>
      <c r="BM104" s="102">
        <f>IF(AND(Assumptions!$M$48&gt;0,BM10=Assumptions!$M$48),-VLOOKUP(Assumptions!$M$48,'Amort Schedule - Acqn Loan'!$B$29:$G$388,6),IF(AND(Assumptions!$M$48=0,BM10=Assumptions!$G$10),-VLOOKUP(BM10,'Amort Schedule - Acqn Loan'!$B$29:$G$388,6),0))</f>
        <v>0</v>
      </c>
      <c r="BN104" s="102">
        <f>IF(AND(Assumptions!$M$48&gt;0,BN10=Assumptions!$M$48),-VLOOKUP(Assumptions!$M$48,'Amort Schedule - Acqn Loan'!$B$29:$G$388,6),IF(AND(Assumptions!$M$48=0,BN10=Assumptions!$G$10),-VLOOKUP(BN10,'Amort Schedule - Acqn Loan'!$B$29:$G$388,6),0))</f>
        <v>0</v>
      </c>
      <c r="BO104" s="102">
        <f>IF(AND(Assumptions!$M$48&gt;0,BO10=Assumptions!$M$48),-VLOOKUP(Assumptions!$M$48,'Amort Schedule - Acqn Loan'!$B$29:$G$388,6),IF(AND(Assumptions!$M$48=0,BO10=Assumptions!$G$10),-VLOOKUP(BO10,'Amort Schedule - Acqn Loan'!$B$29:$G$388,6),0))</f>
        <v>0</v>
      </c>
      <c r="BP104" s="102">
        <f>IF(AND(Assumptions!$M$48&gt;0,BP10=Assumptions!$M$48),-VLOOKUP(Assumptions!$M$48,'Amort Schedule - Acqn Loan'!$B$29:$G$388,6),IF(AND(Assumptions!$M$48=0,BP10=Assumptions!$G$10),-VLOOKUP(BP10,'Amort Schedule - Acqn Loan'!$B$29:$G$388,6),0))</f>
        <v>0</v>
      </c>
      <c r="BQ104" s="102">
        <f>IF(AND(Assumptions!$M$48&gt;0,BQ10=Assumptions!$M$48),-VLOOKUP(Assumptions!$M$48,'Amort Schedule - Acqn Loan'!$B$29:$G$388,6),IF(AND(Assumptions!$M$48=0,BQ10=Assumptions!$G$10),-VLOOKUP(BQ10,'Amort Schedule - Acqn Loan'!$B$29:$G$388,6),0))</f>
        <v>0</v>
      </c>
      <c r="BR104" s="102">
        <f>IF(AND(Assumptions!$M$48&gt;0,BR10=Assumptions!$M$48),-VLOOKUP(Assumptions!$M$48,'Amort Schedule - Acqn Loan'!$B$29:$G$388,6),IF(AND(Assumptions!$M$48=0,BR10=Assumptions!$G$10),-VLOOKUP(BR10,'Amort Schedule - Acqn Loan'!$B$29:$G$388,6),0))</f>
        <v>0</v>
      </c>
      <c r="BS104" s="102">
        <f>IF(AND(Assumptions!$M$48&gt;0,BS10=Assumptions!$M$48),-VLOOKUP(Assumptions!$M$48,'Amort Schedule - Acqn Loan'!$B$29:$G$388,6),IF(AND(Assumptions!$M$48=0,BS10=Assumptions!$G$10),-VLOOKUP(BS10,'Amort Schedule - Acqn Loan'!$B$29:$G$388,6),0))</f>
        <v>0</v>
      </c>
      <c r="BT104" s="102">
        <f>IF(AND(Assumptions!$M$48&gt;0,BT10=Assumptions!$M$48),-VLOOKUP(Assumptions!$M$48,'Amort Schedule - Acqn Loan'!$B$29:$G$388,6),IF(AND(Assumptions!$M$48=0,BT10=Assumptions!$G$10),-VLOOKUP(BT10,'Amort Schedule - Acqn Loan'!$B$29:$G$388,6),0))</f>
        <v>0</v>
      </c>
      <c r="BU104" s="102">
        <f>IF(AND(Assumptions!$M$48&gt;0,BU10=Assumptions!$M$48),-VLOOKUP(Assumptions!$M$48,'Amort Schedule - Acqn Loan'!$B$29:$G$388,6),IF(AND(Assumptions!$M$48=0,BU10=Assumptions!$G$10),-VLOOKUP(BU10,'Amort Schedule - Acqn Loan'!$B$29:$G$388,6),0))</f>
        <v>0</v>
      </c>
      <c r="BV104" s="102">
        <f>IF(AND(Assumptions!$M$48&gt;0,BV10=Assumptions!$M$48),-VLOOKUP(Assumptions!$M$48,'Amort Schedule - Acqn Loan'!$B$29:$G$388,6),IF(AND(Assumptions!$M$48=0,BV10=Assumptions!$G$10),-VLOOKUP(BV10,'Amort Schedule - Acqn Loan'!$B$29:$G$388,6),0))</f>
        <v>0</v>
      </c>
      <c r="BW104" s="102">
        <f>IF(AND(Assumptions!$M$48&gt;0,BW10=Assumptions!$M$48),-VLOOKUP(Assumptions!$M$48,'Amort Schedule - Acqn Loan'!$B$29:$G$388,6),IF(AND(Assumptions!$M$48=0,BW10=Assumptions!$G$10),-VLOOKUP(BW10,'Amort Schedule - Acqn Loan'!$B$29:$G$388,6),0))</f>
        <v>0</v>
      </c>
      <c r="BX104" s="102">
        <f>IF(AND(Assumptions!$M$48&gt;0,BX10=Assumptions!$M$48),-VLOOKUP(Assumptions!$M$48,'Amort Schedule - Acqn Loan'!$B$29:$G$388,6),IF(AND(Assumptions!$M$48=0,BX10=Assumptions!$G$10),-VLOOKUP(BX10,'Amort Schedule - Acqn Loan'!$B$29:$G$388,6),0))</f>
        <v>0</v>
      </c>
      <c r="BY104" s="102">
        <f>IF(AND(Assumptions!$M$48&gt;0,BY10=Assumptions!$M$48),-VLOOKUP(Assumptions!$M$48,'Amort Schedule - Acqn Loan'!$B$29:$G$388,6),IF(AND(Assumptions!$M$48=0,BY10=Assumptions!$G$10),-VLOOKUP(BY10,'Amort Schedule - Acqn Loan'!$B$29:$G$388,6),0))</f>
        <v>0</v>
      </c>
      <c r="BZ104" s="102">
        <f>IF(AND(Assumptions!$M$48&gt;0,BZ10=Assumptions!$M$48),-VLOOKUP(Assumptions!$M$48,'Amort Schedule - Acqn Loan'!$B$29:$G$388,6),IF(AND(Assumptions!$M$48=0,BZ10=Assumptions!$G$10),-VLOOKUP(BZ10,'Amort Schedule - Acqn Loan'!$B$29:$G$388,6),0))</f>
        <v>0</v>
      </c>
      <c r="CA104" s="102">
        <f>IF(AND(Assumptions!$M$48&gt;0,CA10=Assumptions!$M$48),-VLOOKUP(Assumptions!$M$48,'Amort Schedule - Acqn Loan'!$B$29:$G$388,6),IF(AND(Assumptions!$M$48=0,CA10=Assumptions!$G$10),-VLOOKUP(CA10,'Amort Schedule - Acqn Loan'!$B$29:$G$388,6),0))</f>
        <v>0</v>
      </c>
      <c r="CB104" s="102">
        <f>IF(AND(Assumptions!$M$48&gt;0,CB10=Assumptions!$M$48),-VLOOKUP(Assumptions!$M$48,'Amort Schedule - Acqn Loan'!$B$29:$G$388,6),IF(AND(Assumptions!$M$48=0,CB10=Assumptions!$G$10),-VLOOKUP(CB10,'Amort Schedule - Acqn Loan'!$B$29:$G$388,6),0))</f>
        <v>0</v>
      </c>
      <c r="CC104" s="102">
        <f>IF(AND(Assumptions!$M$48&gt;0,CC10=Assumptions!$M$48),-VLOOKUP(Assumptions!$M$48,'Amort Schedule - Acqn Loan'!$B$29:$G$388,6),IF(AND(Assumptions!$M$48=0,CC10=Assumptions!$G$10),-VLOOKUP(CC10,'Amort Schedule - Acqn Loan'!$B$29:$G$388,6),0))</f>
        <v>0</v>
      </c>
      <c r="CD104" s="102">
        <f>IF(AND(Assumptions!$M$48&gt;0,CD10=Assumptions!$M$48),-VLOOKUP(Assumptions!$M$48,'Amort Schedule - Acqn Loan'!$B$29:$G$388,6),IF(AND(Assumptions!$M$48=0,CD10=Assumptions!$G$10),-VLOOKUP(CD10,'Amort Schedule - Acqn Loan'!$B$29:$G$388,6),0))</f>
        <v>0</v>
      </c>
      <c r="CE104" s="102">
        <f>IF(AND(Assumptions!$M$48&gt;0,CE10=Assumptions!$M$48),-VLOOKUP(Assumptions!$M$48,'Amort Schedule - Acqn Loan'!$B$29:$G$388,6),IF(AND(Assumptions!$M$48=0,CE10=Assumptions!$G$10),-VLOOKUP(CE10,'Amort Schedule - Acqn Loan'!$B$29:$G$388,6),0))</f>
        <v>0</v>
      </c>
      <c r="CF104" s="102">
        <f>IF(AND(Assumptions!$M$48&gt;0,CF10=Assumptions!$M$48),-VLOOKUP(Assumptions!$M$48,'Amort Schedule - Acqn Loan'!$B$29:$G$388,6),IF(AND(Assumptions!$M$48=0,CF10=Assumptions!$G$10),-VLOOKUP(CF10,'Amort Schedule - Acqn Loan'!$B$29:$G$388,6),0))</f>
        <v>0</v>
      </c>
      <c r="CG104" s="102">
        <f>IF(AND(Assumptions!$M$48&gt;0,CG10=Assumptions!$M$48),-VLOOKUP(Assumptions!$M$48,'Amort Schedule - Acqn Loan'!$B$29:$G$388,6),IF(AND(Assumptions!$M$48=0,CG10=Assumptions!$G$10),-VLOOKUP(CG10,'Amort Schedule - Acqn Loan'!$B$29:$G$388,6),0))</f>
        <v>0</v>
      </c>
      <c r="CH104" s="102">
        <f>IF(AND(Assumptions!$M$48&gt;0,CH10=Assumptions!$M$48),-VLOOKUP(Assumptions!$M$48,'Amort Schedule - Acqn Loan'!$B$29:$G$388,6),IF(AND(Assumptions!$M$48=0,CH10=Assumptions!$G$10),-VLOOKUP(CH10,'Amort Schedule - Acqn Loan'!$B$29:$G$388,6),0))</f>
        <v>0</v>
      </c>
      <c r="CI104" s="102">
        <f>IF(AND(Assumptions!$M$48&gt;0,CI10=Assumptions!$M$48),-VLOOKUP(Assumptions!$M$48,'Amort Schedule - Acqn Loan'!$B$29:$G$388,6),IF(AND(Assumptions!$M$48=0,CI10=Assumptions!$G$10),-VLOOKUP(CI10,'Amort Schedule - Acqn Loan'!$B$29:$G$388,6),0))</f>
        <v>0</v>
      </c>
      <c r="CJ104" s="102">
        <f>IF(AND(Assumptions!$M$48&gt;0,CJ10=Assumptions!$M$48),-VLOOKUP(Assumptions!$M$48,'Amort Schedule - Acqn Loan'!$B$29:$G$388,6),IF(AND(Assumptions!$M$48=0,CJ10=Assumptions!$G$10),-VLOOKUP(CJ10,'Amort Schedule - Acqn Loan'!$B$29:$G$388,6),0))</f>
        <v>0</v>
      </c>
      <c r="CK104" s="102">
        <f>IF(AND(Assumptions!$M$48&gt;0,CK10=Assumptions!$M$48),-VLOOKUP(Assumptions!$M$48,'Amort Schedule - Acqn Loan'!$B$29:$G$388,6),IF(AND(Assumptions!$M$48=0,CK10=Assumptions!$G$10),-VLOOKUP(CK10,'Amort Schedule - Acqn Loan'!$B$29:$G$388,6),0))</f>
        <v>0</v>
      </c>
      <c r="CL104" s="102">
        <f>IF(AND(Assumptions!$M$48&gt;0,CL10=Assumptions!$M$48),-VLOOKUP(Assumptions!$M$48,'Amort Schedule - Acqn Loan'!$B$29:$G$388,6),IF(AND(Assumptions!$M$48=0,CL10=Assumptions!$G$10),-VLOOKUP(CL10,'Amort Schedule - Acqn Loan'!$B$29:$G$388,6),0))</f>
        <v>0</v>
      </c>
      <c r="CM104" s="102">
        <f>IF(AND(Assumptions!$M$48&gt;0,CM10=Assumptions!$M$48),-VLOOKUP(Assumptions!$M$48,'Amort Schedule - Acqn Loan'!$B$29:$G$388,6),IF(AND(Assumptions!$M$48=0,CM10=Assumptions!$G$10),-VLOOKUP(CM10,'Amort Schedule - Acqn Loan'!$B$29:$G$388,6),0))</f>
        <v>0</v>
      </c>
      <c r="CN104" s="102">
        <f>IF(AND(Assumptions!$M$48&gt;0,CN10=Assumptions!$M$48),-VLOOKUP(Assumptions!$M$48,'Amort Schedule - Acqn Loan'!$B$29:$G$388,6),IF(AND(Assumptions!$M$48=0,CN10=Assumptions!$G$10),-VLOOKUP(CN10,'Amort Schedule - Acqn Loan'!$B$29:$G$388,6),0))</f>
        <v>0</v>
      </c>
      <c r="CO104" s="102">
        <f>IF(AND(Assumptions!$M$48&gt;0,CO10=Assumptions!$M$48),-VLOOKUP(Assumptions!$M$48,'Amort Schedule - Acqn Loan'!$B$29:$G$388,6),IF(AND(Assumptions!$M$48=0,CO10=Assumptions!$G$10),-VLOOKUP(CO10,'Amort Schedule - Acqn Loan'!$B$29:$G$388,6),0))</f>
        <v>0</v>
      </c>
      <c r="CP104" s="102">
        <f>IF(AND(Assumptions!$M$48&gt;0,CP10=Assumptions!$M$48),-VLOOKUP(Assumptions!$M$48,'Amort Schedule - Acqn Loan'!$B$29:$G$388,6),IF(AND(Assumptions!$M$48=0,CP10=Assumptions!$G$10),-VLOOKUP(CP10,'Amort Schedule - Acqn Loan'!$B$29:$G$388,6),0))</f>
        <v>0</v>
      </c>
      <c r="CQ104" s="102">
        <f>IF(AND(Assumptions!$M$48&gt;0,CQ10=Assumptions!$M$48),-VLOOKUP(Assumptions!$M$48,'Amort Schedule - Acqn Loan'!$B$29:$G$388,6),IF(AND(Assumptions!$M$48=0,CQ10=Assumptions!$G$10),-VLOOKUP(CQ10,'Amort Schedule - Acqn Loan'!$B$29:$G$388,6),0))</f>
        <v>0</v>
      </c>
      <c r="CR104" s="102">
        <f>IF(AND(Assumptions!$M$48&gt;0,CR10=Assumptions!$M$48),-VLOOKUP(Assumptions!$M$48,'Amort Schedule - Acqn Loan'!$B$29:$G$388,6),IF(AND(Assumptions!$M$48=0,CR10=Assumptions!$G$10),-VLOOKUP(CR10,'Amort Schedule - Acqn Loan'!$B$29:$G$388,6),0))</f>
        <v>0</v>
      </c>
      <c r="CS104" s="102">
        <f>IF(AND(Assumptions!$M$48&gt;0,CS10=Assumptions!$M$48),-VLOOKUP(Assumptions!$M$48,'Amort Schedule - Acqn Loan'!$B$29:$G$388,6),IF(AND(Assumptions!$M$48=0,CS10=Assumptions!$G$10),-VLOOKUP(CS10,'Amort Schedule - Acqn Loan'!$B$29:$G$388,6),0))</f>
        <v>0</v>
      </c>
      <c r="CT104" s="102">
        <f>IF(AND(Assumptions!$M$48&gt;0,CT10=Assumptions!$M$48),-VLOOKUP(Assumptions!$M$48,'Amort Schedule - Acqn Loan'!$B$29:$G$388,6),IF(AND(Assumptions!$M$48=0,CT10=Assumptions!$G$10),-VLOOKUP(CT10,'Amort Schedule - Acqn Loan'!$B$29:$G$388,6),0))</f>
        <v>0</v>
      </c>
      <c r="CU104" s="102">
        <f>IF(AND(Assumptions!$M$48&gt;0,CU10=Assumptions!$M$48),-VLOOKUP(Assumptions!$M$48,'Amort Schedule - Acqn Loan'!$B$29:$G$388,6),IF(AND(Assumptions!$M$48=0,CU10=Assumptions!$G$10),-VLOOKUP(CU10,'Amort Schedule - Acqn Loan'!$B$29:$G$388,6),0))</f>
        <v>0</v>
      </c>
      <c r="CV104" s="102">
        <f>IF(AND(Assumptions!$M$48&gt;0,CV10=Assumptions!$M$48),-VLOOKUP(Assumptions!$M$48,'Amort Schedule - Acqn Loan'!$B$29:$G$388,6),IF(AND(Assumptions!$M$48=0,CV10=Assumptions!$G$10),-VLOOKUP(CV10,'Amort Schedule - Acqn Loan'!$B$29:$G$388,6),0))</f>
        <v>0</v>
      </c>
      <c r="CW104" s="102">
        <f>IF(AND(Assumptions!$M$48&gt;0,CW10=Assumptions!$M$48),-VLOOKUP(Assumptions!$M$48,'Amort Schedule - Acqn Loan'!$B$29:$G$388,6),IF(AND(Assumptions!$M$48=0,CW10=Assumptions!$G$10),-VLOOKUP(CW10,'Amort Schedule - Acqn Loan'!$B$29:$G$388,6),0))</f>
        <v>0</v>
      </c>
      <c r="CX104" s="102">
        <f>IF(AND(Assumptions!$M$48&gt;0,CX10=Assumptions!$M$48),-VLOOKUP(Assumptions!$M$48,'Amort Schedule - Acqn Loan'!$B$29:$G$388,6),IF(AND(Assumptions!$M$48=0,CX10=Assumptions!$G$10),-VLOOKUP(CX10,'Amort Schedule - Acqn Loan'!$B$29:$G$388,6),0))</f>
        <v>0</v>
      </c>
      <c r="CY104" s="102">
        <f>IF(AND(Assumptions!$M$48&gt;0,CY10=Assumptions!$M$48),-VLOOKUP(Assumptions!$M$48,'Amort Schedule - Acqn Loan'!$B$29:$G$388,6),IF(AND(Assumptions!$M$48=0,CY10=Assumptions!$G$10),-VLOOKUP(CY10,'Amort Schedule - Acqn Loan'!$B$29:$G$388,6),0))</f>
        <v>0</v>
      </c>
      <c r="CZ104" s="102">
        <f>IF(AND(Assumptions!$M$48&gt;0,CZ10=Assumptions!$M$48),-VLOOKUP(Assumptions!$M$48,'Amort Schedule - Acqn Loan'!$B$29:$G$388,6),IF(AND(Assumptions!$M$48=0,CZ10=Assumptions!$G$10),-VLOOKUP(CZ10,'Amort Schedule - Acqn Loan'!$B$29:$G$388,6),0))</f>
        <v>0</v>
      </c>
      <c r="DA104" s="102">
        <f>IF(AND(Assumptions!$M$48&gt;0,DA10=Assumptions!$M$48),-VLOOKUP(Assumptions!$M$48,'Amort Schedule - Acqn Loan'!$B$29:$G$388,6),IF(AND(Assumptions!$M$48=0,DA10=Assumptions!$G$10),-VLOOKUP(DA10,'Amort Schedule - Acqn Loan'!$B$29:$G$388,6),0))</f>
        <v>0</v>
      </c>
      <c r="DB104" s="102">
        <f>IF(AND(Assumptions!$M$48&gt;0,DB10=Assumptions!$M$48),-VLOOKUP(Assumptions!$M$48,'Amort Schedule - Acqn Loan'!$B$29:$G$388,6),IF(AND(Assumptions!$M$48=0,DB10=Assumptions!$G$10),-VLOOKUP(DB10,'Amort Schedule - Acqn Loan'!$B$29:$G$388,6),0))</f>
        <v>0</v>
      </c>
      <c r="DC104" s="102">
        <f>IF(AND(Assumptions!$M$48&gt;0,DC10=Assumptions!$M$48),-VLOOKUP(Assumptions!$M$48,'Amort Schedule - Acqn Loan'!$B$29:$G$388,6),IF(AND(Assumptions!$M$48=0,DC10=Assumptions!$G$10),-VLOOKUP(DC10,'Amort Schedule - Acqn Loan'!$B$29:$G$388,6),0))</f>
        <v>0</v>
      </c>
      <c r="DD104" s="102">
        <f>IF(AND(Assumptions!$M$48&gt;0,DD10=Assumptions!$M$48),-VLOOKUP(Assumptions!$M$48,'Amort Schedule - Acqn Loan'!$B$29:$G$388,6),IF(AND(Assumptions!$M$48=0,DD10=Assumptions!$G$10),-VLOOKUP(DD10,'Amort Schedule - Acqn Loan'!$B$29:$G$388,6),0))</f>
        <v>0</v>
      </c>
      <c r="DE104" s="102">
        <f>IF(AND(Assumptions!$M$48&gt;0,DE10=Assumptions!$M$48),-VLOOKUP(Assumptions!$M$48,'Amort Schedule - Acqn Loan'!$B$29:$G$388,6),IF(AND(Assumptions!$M$48=0,DE10=Assumptions!$G$10),-VLOOKUP(DE10,'Amort Schedule - Acqn Loan'!$B$29:$G$388,6),0))</f>
        <v>0</v>
      </c>
      <c r="DF104" s="102">
        <f>IF(AND(Assumptions!$M$48&gt;0,DF10=Assumptions!$M$48),-VLOOKUP(Assumptions!$M$48,'Amort Schedule - Acqn Loan'!$B$29:$G$388,6),IF(AND(Assumptions!$M$48=0,DF10=Assumptions!$G$10),-VLOOKUP(DF10,'Amort Schedule - Acqn Loan'!$B$29:$G$388,6),0))</f>
        <v>0</v>
      </c>
      <c r="DG104" s="102">
        <f>IF(AND(Assumptions!$M$48&gt;0,DG10=Assumptions!$M$48),-VLOOKUP(Assumptions!$M$48,'Amort Schedule - Acqn Loan'!$B$29:$G$388,6),IF(AND(Assumptions!$M$48=0,DG10=Assumptions!$G$10),-VLOOKUP(DG10,'Amort Schedule - Acqn Loan'!$B$29:$G$388,6),0))</f>
        <v>0</v>
      </c>
      <c r="DH104" s="102">
        <f>IF(AND(Assumptions!$M$48&gt;0,DH10=Assumptions!$M$48),-VLOOKUP(Assumptions!$M$48,'Amort Schedule - Acqn Loan'!$B$29:$G$388,6),IF(AND(Assumptions!$M$48=0,DH10=Assumptions!$G$10),-VLOOKUP(DH10,'Amort Schedule - Acqn Loan'!$B$29:$G$388,6),0))</f>
        <v>0</v>
      </c>
      <c r="DI104" s="102">
        <f>IF(AND(Assumptions!$M$48&gt;0,DI10=Assumptions!$M$48),-VLOOKUP(Assumptions!$M$48,'Amort Schedule - Acqn Loan'!$B$29:$G$388,6),IF(AND(Assumptions!$M$48=0,DI10=Assumptions!$G$10),-VLOOKUP(DI10,'Amort Schedule - Acqn Loan'!$B$29:$G$388,6),0))</f>
        <v>0</v>
      </c>
      <c r="DJ104" s="102">
        <f>IF(AND(Assumptions!$M$48&gt;0,DJ10=Assumptions!$M$48),-VLOOKUP(Assumptions!$M$48,'Amort Schedule - Acqn Loan'!$B$29:$G$388,6),IF(AND(Assumptions!$M$48=0,DJ10=Assumptions!$G$10),-VLOOKUP(DJ10,'Amort Schedule - Acqn Loan'!$B$29:$G$388,6),0))</f>
        <v>0</v>
      </c>
      <c r="DK104" s="102">
        <f>IF(AND(Assumptions!$M$48&gt;0,DK10=Assumptions!$M$48),-VLOOKUP(Assumptions!$M$48,'Amort Schedule - Acqn Loan'!$B$29:$G$388,6),IF(AND(Assumptions!$M$48=0,DK10=Assumptions!$G$10),-VLOOKUP(DK10,'Amort Schedule - Acqn Loan'!$B$29:$G$388,6),0))</f>
        <v>0</v>
      </c>
      <c r="DL104" s="102">
        <f>IF(AND(Assumptions!$M$48&gt;0,DL10=Assumptions!$M$48),-VLOOKUP(Assumptions!$M$48,'Amort Schedule - Acqn Loan'!$B$29:$G$388,6),IF(AND(Assumptions!$M$48=0,DL10=Assumptions!$G$10),-VLOOKUP(DL10,'Amort Schedule - Acqn Loan'!$B$29:$G$388,6),0))</f>
        <v>0</v>
      </c>
      <c r="DM104" s="102">
        <f>IF(AND(Assumptions!$M$48&gt;0,DM10=Assumptions!$M$48),-VLOOKUP(Assumptions!$M$48,'Amort Schedule - Acqn Loan'!$B$29:$G$388,6),IF(AND(Assumptions!$M$48=0,DM10=Assumptions!$G$10),-VLOOKUP(DM10,'Amort Schedule - Acqn Loan'!$B$29:$G$388,6),0))</f>
        <v>0</v>
      </c>
      <c r="DN104" s="102">
        <f>IF(AND(Assumptions!$M$48&gt;0,DN10=Assumptions!$M$48),-VLOOKUP(Assumptions!$M$48,'Amort Schedule - Acqn Loan'!$B$29:$G$388,6),IF(AND(Assumptions!$M$48=0,DN10=Assumptions!$G$10),-VLOOKUP(DN10,'Amort Schedule - Acqn Loan'!$B$29:$G$388,6),0))</f>
        <v>0</v>
      </c>
      <c r="DO104" s="102">
        <f>IF(AND(Assumptions!$M$48&gt;0,DO10=Assumptions!$M$48),-VLOOKUP(Assumptions!$M$48,'Amort Schedule - Acqn Loan'!$B$29:$G$388,6),IF(AND(Assumptions!$M$48=0,DO10=Assumptions!$G$10),-VLOOKUP(DO10,'Amort Schedule - Acqn Loan'!$B$29:$G$388,6),0))</f>
        <v>0</v>
      </c>
      <c r="DP104" s="102">
        <f>IF(AND(Assumptions!$M$48&gt;0,DP10=Assumptions!$M$48),-VLOOKUP(Assumptions!$M$48,'Amort Schedule - Acqn Loan'!$B$29:$G$388,6),IF(AND(Assumptions!$M$48=0,DP10=Assumptions!$G$10),-VLOOKUP(DP10,'Amort Schedule - Acqn Loan'!$B$29:$G$388,6),0))</f>
        <v>0</v>
      </c>
      <c r="DQ104" s="102">
        <f>IF(AND(Assumptions!$M$48&gt;0,DQ10=Assumptions!$M$48),-VLOOKUP(Assumptions!$M$48,'Amort Schedule - Acqn Loan'!$B$29:$G$388,6),IF(AND(Assumptions!$M$48=0,DQ10=Assumptions!$G$10),-VLOOKUP(DQ10,'Amort Schedule - Acqn Loan'!$B$29:$G$388,6),0))</f>
        <v>0</v>
      </c>
      <c r="DR104" s="102">
        <f>IF(AND(Assumptions!$M$48&gt;0,DR10=Assumptions!$M$48),-VLOOKUP(Assumptions!$M$48,'Amort Schedule - Acqn Loan'!$B$29:$G$388,6),IF(AND(Assumptions!$M$48=0,DR10=Assumptions!$G$10),-VLOOKUP(DR10,'Amort Schedule - Acqn Loan'!$B$29:$G$388,6),0))</f>
        <v>0</v>
      </c>
      <c r="DS104" s="102">
        <f>IF(AND(Assumptions!$M$48&gt;0,DS10=Assumptions!$M$48),-VLOOKUP(Assumptions!$M$48,'Amort Schedule - Acqn Loan'!$B$29:$G$388,6),IF(AND(Assumptions!$M$48=0,DS10=Assumptions!$G$10),-VLOOKUP(DS10,'Amort Schedule - Acqn Loan'!$B$29:$G$388,6),0))</f>
        <v>0</v>
      </c>
      <c r="DT104" s="102">
        <f>IF(AND(Assumptions!$M$48&gt;0,DT10=Assumptions!$M$48),-VLOOKUP(Assumptions!$M$48,'Amort Schedule - Acqn Loan'!$B$29:$G$388,6),IF(AND(Assumptions!$M$48=0,DT10=Assumptions!$G$10),-VLOOKUP(DT10,'Amort Schedule - Acqn Loan'!$B$29:$G$388,6),0))</f>
        <v>0</v>
      </c>
      <c r="DU104" s="102">
        <f>IF(AND(Assumptions!$M$48&gt;0,DU10=Assumptions!$M$48),-VLOOKUP(Assumptions!$M$48,'Amort Schedule - Acqn Loan'!$B$29:$G$388,6),IF(AND(Assumptions!$M$48=0,DU10=Assumptions!$G$10),-VLOOKUP(DU10,'Amort Schedule - Acqn Loan'!$B$29:$G$388,6),0))</f>
        <v>0</v>
      </c>
      <c r="DV104" s="102">
        <f>IF(AND(Assumptions!$M$48&gt;0,DV10=Assumptions!$M$48),-VLOOKUP(Assumptions!$M$48,'Amort Schedule - Acqn Loan'!$B$29:$G$388,6),IF(AND(Assumptions!$M$48=0,DV10=Assumptions!$G$10),-VLOOKUP(DV10,'Amort Schedule - Acqn Loan'!$B$29:$G$388,6),0))</f>
        <v>0</v>
      </c>
      <c r="DW104" s="102">
        <f>IF(AND(Assumptions!$M$48&gt;0,DW10=Assumptions!$M$48),-VLOOKUP(Assumptions!$M$48,'Amort Schedule - Acqn Loan'!$B$29:$G$388,6),IF(AND(Assumptions!$M$48=0,DW10=Assumptions!$G$10),-VLOOKUP(DW10,'Amort Schedule - Acqn Loan'!$B$29:$G$388,6),0))</f>
        <v>0</v>
      </c>
      <c r="DX104" s="102">
        <f>IF(AND(Assumptions!$M$48&gt;0,DX10=Assumptions!$M$48),-VLOOKUP(Assumptions!$M$48,'Amort Schedule - Acqn Loan'!$B$29:$G$388,6),IF(AND(Assumptions!$M$48=0,DX10=Assumptions!$G$10),-VLOOKUP(DX10,'Amort Schedule - Acqn Loan'!$B$29:$G$388,6),0))</f>
        <v>0</v>
      </c>
      <c r="DY104" s="102">
        <f>IF(AND(Assumptions!$M$48&gt;0,DY10=Assumptions!$M$48),-VLOOKUP(Assumptions!$M$48,'Amort Schedule - Acqn Loan'!$B$29:$G$388,6),IF(AND(Assumptions!$M$48=0,DY10=Assumptions!$G$10),-VLOOKUP(DY10,'Amort Schedule - Acqn Loan'!$B$29:$G$388,6),0))</f>
        <v>0</v>
      </c>
      <c r="DZ104" s="102">
        <f>IF(AND(Assumptions!$M$48&gt;0,DZ10=Assumptions!$M$48),-VLOOKUP(Assumptions!$M$48,'Amort Schedule - Acqn Loan'!$B$29:$G$388,6),IF(AND(Assumptions!$M$48=0,DZ10=Assumptions!$G$10),-VLOOKUP(DZ10,'Amort Schedule - Acqn Loan'!$B$29:$G$388,6),0))</f>
        <v>0</v>
      </c>
      <c r="EA104" s="102">
        <f>IF(AND(Assumptions!$M$48&gt;0,EA10=Assumptions!$M$48),-VLOOKUP(Assumptions!$M$48,'Amort Schedule - Acqn Loan'!$B$29:$G$388,6),IF(AND(Assumptions!$M$48=0,EA10=Assumptions!$G$10),-VLOOKUP(EA10,'Amort Schedule - Acqn Loan'!$B$29:$G$388,6),0))</f>
        <v>0</v>
      </c>
      <c r="EB104" s="102">
        <f>IF(AND(Assumptions!$M$48&gt;0,EB10=Assumptions!$M$48),-VLOOKUP(Assumptions!$M$48,'Amort Schedule - Acqn Loan'!$B$29:$G$388,6),IF(AND(Assumptions!$M$48=0,EB10=Assumptions!$G$10),-VLOOKUP(EB10,'Amort Schedule - Acqn Loan'!$B$29:$G$388,6),0))</f>
        <v>0</v>
      </c>
      <c r="EC104" s="102">
        <f>IF(AND(Assumptions!$M$48&gt;0,EC10=Assumptions!$M$48),-VLOOKUP(Assumptions!$M$48,'Amort Schedule - Acqn Loan'!$B$29:$G$388,6),IF(AND(Assumptions!$M$48=0,EC10=Assumptions!$G$10),-VLOOKUP(EC10,'Amort Schedule - Acqn Loan'!$B$29:$G$388,6),0))</f>
        <v>0</v>
      </c>
      <c r="ED104" s="102">
        <f>IF(AND(Assumptions!$M$48&gt;0,ED10=Assumptions!$M$48),-VLOOKUP(Assumptions!$M$48,'Amort Schedule - Acqn Loan'!$B$29:$G$388,6),IF(AND(Assumptions!$M$48=0,ED10=Assumptions!$G$10),-VLOOKUP(ED10,'Amort Schedule - Acqn Loan'!$B$29:$G$388,6),0))</f>
        <v>0</v>
      </c>
      <c r="EE104" s="102">
        <f>IF(AND(Assumptions!$M$48&gt;0,EE10=Assumptions!$M$48),-VLOOKUP(Assumptions!$M$48,'Amort Schedule - Acqn Loan'!$B$29:$G$388,6),IF(AND(Assumptions!$M$48=0,EE10=Assumptions!$G$10),-VLOOKUP(EE10,'Amort Schedule - Acqn Loan'!$B$29:$G$388,6),0))</f>
        <v>0</v>
      </c>
      <c r="EF104" s="102">
        <f>IF(AND(Assumptions!$M$48&gt;0,EF10=Assumptions!$M$48),-VLOOKUP(Assumptions!$M$48,'Amort Schedule - Acqn Loan'!$B$29:$G$388,6),IF(AND(Assumptions!$M$48=0,EF10=Assumptions!$G$10),-VLOOKUP(EF10,'Amort Schedule - Acqn Loan'!$B$29:$G$388,6),0))</f>
        <v>0</v>
      </c>
      <c r="EG104" s="102">
        <f>IF(AND(Assumptions!$M$48&gt;0,EG10=Assumptions!$M$48),-VLOOKUP(Assumptions!$M$48,'Amort Schedule - Acqn Loan'!$B$29:$G$388,6),IF(AND(Assumptions!$M$48=0,EG10=Assumptions!$G$10),-VLOOKUP(EG10,'Amort Schedule - Acqn Loan'!$B$29:$G$388,6),0))</f>
        <v>0</v>
      </c>
      <c r="EH104" s="102">
        <f>IF(AND(Assumptions!$M$48&gt;0,EH10=Assumptions!$M$48),-VLOOKUP(Assumptions!$M$48,'Amort Schedule - Acqn Loan'!$B$29:$G$388,6),IF(AND(Assumptions!$M$48=0,EH10=Assumptions!$G$10),-VLOOKUP(EH10,'Amort Schedule - Acqn Loan'!$B$29:$G$388,6),0))</f>
        <v>0</v>
      </c>
      <c r="EI104" s="102">
        <f>IF(AND(Assumptions!$M$48&gt;0,EI10=Assumptions!$M$48),-VLOOKUP(Assumptions!$M$48,'Amort Schedule - Acqn Loan'!$B$29:$G$388,6),IF(AND(Assumptions!$M$48=0,EI10=Assumptions!$G$10),-VLOOKUP(EI10,'Amort Schedule - Acqn Loan'!$B$29:$G$388,6),0))</f>
        <v>0</v>
      </c>
      <c r="EJ104" s="102">
        <f>IF(AND(Assumptions!$M$48&gt;0,EJ10=Assumptions!$M$48),-VLOOKUP(Assumptions!$M$48,'Amort Schedule - Acqn Loan'!$B$29:$G$388,6),IF(AND(Assumptions!$M$48=0,EJ10=Assumptions!$G$10),-VLOOKUP(EJ10,'Amort Schedule - Acqn Loan'!$B$29:$G$388,6),0))</f>
        <v>0</v>
      </c>
      <c r="EK104" s="102">
        <f>IF(AND(Assumptions!$M$48&gt;0,EK10=Assumptions!$M$48),-VLOOKUP(Assumptions!$M$48,'Amort Schedule - Acqn Loan'!$B$29:$G$388,6),IF(AND(Assumptions!$M$48=0,EK10=Assumptions!$G$10),-VLOOKUP(EK10,'Amort Schedule - Acqn Loan'!$B$29:$G$388,6),0))</f>
        <v>0</v>
      </c>
      <c r="EL104" s="102">
        <f>IF(AND(Assumptions!$M$48&gt;0,EL10=Assumptions!$M$48),-VLOOKUP(Assumptions!$M$48,'Amort Schedule - Acqn Loan'!$B$29:$G$388,6),IF(AND(Assumptions!$M$48=0,EL10=Assumptions!$G$10),-VLOOKUP(EL10,'Amort Schedule - Acqn Loan'!$B$29:$G$388,6),0))</f>
        <v>0</v>
      </c>
      <c r="EM104" s="102">
        <f>IF(AND(Assumptions!$M$48&gt;0,EM10=Assumptions!$M$48),-VLOOKUP(Assumptions!$M$48,'Amort Schedule - Acqn Loan'!$B$29:$G$388,6),IF(AND(Assumptions!$M$48=0,EM10=Assumptions!$G$10),-VLOOKUP(EM10,'Amort Schedule - Acqn Loan'!$B$29:$G$388,6),0))</f>
        <v>0</v>
      </c>
      <c r="EN104" s="102">
        <f>IF(AND(Assumptions!$M$48&gt;0,EN10=Assumptions!$M$48),-VLOOKUP(Assumptions!$M$48,'Amort Schedule - Acqn Loan'!$B$29:$G$388,6),IF(AND(Assumptions!$M$48=0,EN10=Assumptions!$G$10),-VLOOKUP(EN10,'Amort Schedule - Acqn Loan'!$B$29:$G$388,6),0))</f>
        <v>0</v>
      </c>
      <c r="EO104" s="102">
        <f>IF(AND(Assumptions!$M$48&gt;0,EO10=Assumptions!$M$48),-VLOOKUP(Assumptions!$M$48,'Amort Schedule - Acqn Loan'!$B$29:$G$388,6),IF(AND(Assumptions!$M$48=0,EO10=Assumptions!$G$10),-VLOOKUP(EO10,'Amort Schedule - Acqn Loan'!$B$29:$G$388,6),0))</f>
        <v>0</v>
      </c>
      <c r="EP104" s="102">
        <f>IF(AND(Assumptions!$M$48&gt;0,EP10=Assumptions!$M$48),-VLOOKUP(Assumptions!$M$48,'Amort Schedule - Acqn Loan'!$B$29:$G$388,6),IF(AND(Assumptions!$M$48=0,EP10=Assumptions!$G$10),-VLOOKUP(EP10,'Amort Schedule - Acqn Loan'!$B$29:$G$388,6),0))</f>
        <v>0</v>
      </c>
      <c r="EQ104" s="102">
        <f>IF(AND(Assumptions!$M$48&gt;0,EQ10=Assumptions!$M$48),-VLOOKUP(Assumptions!$M$48,'Amort Schedule - Acqn Loan'!$B$29:$G$388,6),IF(AND(Assumptions!$M$48=0,EQ10=Assumptions!$G$10),-VLOOKUP(EQ10,'Amort Schedule - Acqn Loan'!$B$29:$G$388,6),0))</f>
        <v>0</v>
      </c>
      <c r="ES104" s="98"/>
      <c r="ET104" s="98"/>
      <c r="EU104" s="98"/>
    </row>
    <row r="105" spans="7:151" ht="15.75">
      <c r="G105" s="101"/>
      <c r="H105" s="117" t="s">
        <v>204</v>
      </c>
      <c r="I105" s="95"/>
      <c r="J105" s="102"/>
      <c r="K105" s="102"/>
      <c r="L105" s="102"/>
      <c r="N105" s="102">
        <f t="shared" ca="1" si="220"/>
        <v>2728300.5476896176</v>
      </c>
      <c r="O105" s="102">
        <f>IF(AND(Assumptions!$M$48&gt;0,'Monthly Cash Flow Solution'!O10=Assumptions!$M$48),Assumptions!$L$50,0)</f>
        <v>0</v>
      </c>
      <c r="P105" s="102">
        <f>IF(AND(Assumptions!$M$48&gt;0,'Monthly Cash Flow Solution'!P10=Assumptions!$M$48),Assumptions!$L$50,0)</f>
        <v>0</v>
      </c>
      <c r="Q105" s="102">
        <f>IF(AND(Assumptions!$M$48&gt;0,'Monthly Cash Flow Solution'!Q10=Assumptions!$M$48),Assumptions!$L$50,0)</f>
        <v>0</v>
      </c>
      <c r="R105" s="102">
        <f>IF(AND(Assumptions!$M$48&gt;0,'Monthly Cash Flow Solution'!R10=Assumptions!$M$48),Assumptions!$L$50,0)</f>
        <v>0</v>
      </c>
      <c r="S105" s="102">
        <f>IF(AND(Assumptions!$M$48&gt;0,'Monthly Cash Flow Solution'!S10=Assumptions!$M$48),Assumptions!$L$50,0)</f>
        <v>0</v>
      </c>
      <c r="T105" s="102">
        <f>IF(AND(Assumptions!$M$48&gt;0,'Monthly Cash Flow Solution'!T10=Assumptions!$M$48),Assumptions!$L$50,0)</f>
        <v>0</v>
      </c>
      <c r="U105" s="102">
        <f>IF(AND(Assumptions!$M$48&gt;0,'Monthly Cash Flow Solution'!U10=Assumptions!$M$48),Assumptions!$L$50,0)</f>
        <v>0</v>
      </c>
      <c r="V105" s="102">
        <f>IF(AND(Assumptions!$M$48&gt;0,'Monthly Cash Flow Solution'!V10=Assumptions!$M$48),Assumptions!$L$50,0)</f>
        <v>0</v>
      </c>
      <c r="W105" s="102">
        <f>IF(AND(Assumptions!$M$48&gt;0,'Monthly Cash Flow Solution'!W10=Assumptions!$M$48),Assumptions!$L$50,0)</f>
        <v>0</v>
      </c>
      <c r="X105" s="102">
        <f>IF(AND(Assumptions!$M$48&gt;0,'Monthly Cash Flow Solution'!X10=Assumptions!$M$48),Assumptions!$L$50,0)</f>
        <v>0</v>
      </c>
      <c r="Y105" s="102">
        <f>IF(AND(Assumptions!$M$48&gt;0,'Monthly Cash Flow Solution'!Y10=Assumptions!$M$48),Assumptions!$L$50,0)</f>
        <v>0</v>
      </c>
      <c r="Z105" s="102">
        <f>IF(AND(Assumptions!$M$48&gt;0,'Monthly Cash Flow Solution'!Z10=Assumptions!$M$48),Assumptions!$L$50,0)</f>
        <v>0</v>
      </c>
      <c r="AA105" s="102">
        <f>IF(AND(Assumptions!$M$48&gt;0,'Monthly Cash Flow Solution'!AA10=Assumptions!$M$48),Assumptions!$L$50,0)</f>
        <v>0</v>
      </c>
      <c r="AB105" s="102">
        <f>IF(AND(Assumptions!$M$48&gt;0,'Monthly Cash Flow Solution'!AB10=Assumptions!$M$48),Assumptions!$L$50,0)</f>
        <v>0</v>
      </c>
      <c r="AC105" s="102">
        <f>IF(AND(Assumptions!$M$48&gt;0,'Monthly Cash Flow Solution'!AC10=Assumptions!$M$48),Assumptions!$L$50,0)</f>
        <v>0</v>
      </c>
      <c r="AD105" s="102">
        <f>IF(AND(Assumptions!$M$48&gt;0,'Monthly Cash Flow Solution'!AD10=Assumptions!$M$48),Assumptions!$L$50,0)</f>
        <v>0</v>
      </c>
      <c r="AE105" s="102">
        <f>IF(AND(Assumptions!$M$48&gt;0,'Monthly Cash Flow Solution'!AE10=Assumptions!$M$48),Assumptions!$L$50,0)</f>
        <v>0</v>
      </c>
      <c r="AF105" s="102">
        <f>IF(AND(Assumptions!$M$48&gt;0,'Monthly Cash Flow Solution'!AF10=Assumptions!$M$48),Assumptions!$L$50,0)</f>
        <v>0</v>
      </c>
      <c r="AG105" s="102">
        <f>IF(AND(Assumptions!$M$48&gt;0,'Monthly Cash Flow Solution'!AG10=Assumptions!$M$48),Assumptions!$L$50,0)</f>
        <v>0</v>
      </c>
      <c r="AH105" s="102">
        <f>IF(AND(Assumptions!$M$48&gt;0,'Monthly Cash Flow Solution'!AH10=Assumptions!$M$48),Assumptions!$L$50,0)</f>
        <v>0</v>
      </c>
      <c r="AI105" s="102">
        <f>IF(AND(Assumptions!$M$48&gt;0,'Monthly Cash Flow Solution'!AI10=Assumptions!$M$48),Assumptions!$L$50,0)</f>
        <v>0</v>
      </c>
      <c r="AJ105" s="102">
        <f>IF(AND(Assumptions!$M$48&gt;0,'Monthly Cash Flow Solution'!AJ10=Assumptions!$M$48),Assumptions!$L$50,0)</f>
        <v>0</v>
      </c>
      <c r="AK105" s="102">
        <f>IF(AND(Assumptions!$M$48&gt;0,'Monthly Cash Flow Solution'!AK10=Assumptions!$M$48),Assumptions!$L$50,0)</f>
        <v>0</v>
      </c>
      <c r="AL105" s="102">
        <f>IF(AND(Assumptions!$M$48&gt;0,'Monthly Cash Flow Solution'!AL10=Assumptions!$M$48),Assumptions!$L$50,0)</f>
        <v>0</v>
      </c>
      <c r="AM105" s="102">
        <f>IF(AND(Assumptions!$M$48&gt;0,'Monthly Cash Flow Solution'!AM10=Assumptions!$M$48),Assumptions!$L$50,0)</f>
        <v>0</v>
      </c>
      <c r="AN105" s="102">
        <f>IF(AND(Assumptions!$M$48&gt;0,'Monthly Cash Flow Solution'!AN10=Assumptions!$M$48),Assumptions!$L$50,0)</f>
        <v>0</v>
      </c>
      <c r="AO105" s="102">
        <f>IF(AND(Assumptions!$M$48&gt;0,'Monthly Cash Flow Solution'!AO10=Assumptions!$M$48),Assumptions!$L$50,0)</f>
        <v>0</v>
      </c>
      <c r="AP105" s="102">
        <f>IF(AND(Assumptions!$M$48&gt;0,'Monthly Cash Flow Solution'!AP10=Assumptions!$M$48),Assumptions!$L$50,0)</f>
        <v>0</v>
      </c>
      <c r="AQ105" s="102">
        <f>IF(AND(Assumptions!$M$48&gt;0,'Monthly Cash Flow Solution'!AQ10=Assumptions!$M$48),Assumptions!$L$50,0)</f>
        <v>0</v>
      </c>
      <c r="AR105" s="102">
        <f>IF(AND(Assumptions!$M$48&gt;0,'Monthly Cash Flow Solution'!AR10=Assumptions!$M$48),Assumptions!$L$50,0)</f>
        <v>0</v>
      </c>
      <c r="AS105" s="102">
        <f>IF(AND(Assumptions!$M$48&gt;0,'Monthly Cash Flow Solution'!AS10=Assumptions!$M$48),Assumptions!$L$50,0)</f>
        <v>0</v>
      </c>
      <c r="AT105" s="102">
        <f>IF(AND(Assumptions!$M$48&gt;0,'Monthly Cash Flow Solution'!AT10=Assumptions!$M$48),Assumptions!$L$50,0)</f>
        <v>0</v>
      </c>
      <c r="AU105" s="102">
        <f>IF(AND(Assumptions!$M$48&gt;0,'Monthly Cash Flow Solution'!AU10=Assumptions!$M$48),Assumptions!$L$50,0)</f>
        <v>0</v>
      </c>
      <c r="AV105" s="102">
        <f>IF(AND(Assumptions!$M$48&gt;0,'Monthly Cash Flow Solution'!AV10=Assumptions!$M$48),Assumptions!$L$50,0)</f>
        <v>0</v>
      </c>
      <c r="AW105" s="102">
        <f>IF(AND(Assumptions!$M$48&gt;0,'Monthly Cash Flow Solution'!AW10=Assumptions!$M$48),Assumptions!$L$50,0)</f>
        <v>0</v>
      </c>
      <c r="AX105" s="102">
        <f>IF(AND(Assumptions!$M$48&gt;0,'Monthly Cash Flow Solution'!AX10=Assumptions!$M$48),Assumptions!$L$50,0)</f>
        <v>0</v>
      </c>
      <c r="AY105" s="102">
        <f>IF(AND(Assumptions!$M$48&gt;0,'Monthly Cash Flow Solution'!AY10=Assumptions!$M$48),Assumptions!$L$50,0)</f>
        <v>0</v>
      </c>
      <c r="AZ105" s="102">
        <f>IF(AND(Assumptions!$M$48&gt;0,'Monthly Cash Flow Solution'!AZ10=Assumptions!$M$48),Assumptions!$L$50,0)</f>
        <v>0</v>
      </c>
      <c r="BA105" s="102">
        <f>IF(AND(Assumptions!$M$48&gt;0,'Monthly Cash Flow Solution'!BA10=Assumptions!$M$48),Assumptions!$L$50,0)</f>
        <v>0</v>
      </c>
      <c r="BB105" s="102">
        <f>IF(AND(Assumptions!$M$48&gt;0,'Monthly Cash Flow Solution'!BB10=Assumptions!$M$48),Assumptions!$L$50,0)</f>
        <v>0</v>
      </c>
      <c r="BC105" s="102">
        <f>IF(AND(Assumptions!$M$48&gt;0,'Monthly Cash Flow Solution'!BC10=Assumptions!$M$48),Assumptions!$L$50,0)</f>
        <v>0</v>
      </c>
      <c r="BD105" s="102">
        <f>IF(AND(Assumptions!$M$48&gt;0,'Monthly Cash Flow Solution'!BD10=Assumptions!$M$48),Assumptions!$L$50,0)</f>
        <v>0</v>
      </c>
      <c r="BE105" s="102">
        <f>IF(AND(Assumptions!$M$48&gt;0,'Monthly Cash Flow Solution'!BE10=Assumptions!$M$48),Assumptions!$L$50,0)</f>
        <v>0</v>
      </c>
      <c r="BF105" s="102">
        <f>IF(AND(Assumptions!$M$48&gt;0,'Monthly Cash Flow Solution'!BF10=Assumptions!$M$48),Assumptions!$L$50,0)</f>
        <v>0</v>
      </c>
      <c r="BG105" s="102">
        <f>IF(AND(Assumptions!$M$48&gt;0,'Monthly Cash Flow Solution'!BG10=Assumptions!$M$48),Assumptions!$L$50,0)</f>
        <v>0</v>
      </c>
      <c r="BH105" s="102">
        <f>IF(AND(Assumptions!$M$48&gt;0,'Monthly Cash Flow Solution'!BH10=Assumptions!$M$48),Assumptions!$L$50,0)</f>
        <v>0</v>
      </c>
      <c r="BI105" s="102">
        <f>IF(AND(Assumptions!$M$48&gt;0,'Monthly Cash Flow Solution'!BI10=Assumptions!$M$48),Assumptions!$L$50,0)</f>
        <v>0</v>
      </c>
      <c r="BJ105" s="102">
        <f>IF(AND(Assumptions!$M$48&gt;0,'Monthly Cash Flow Solution'!BJ10=Assumptions!$M$48),Assumptions!$L$50,0)</f>
        <v>0</v>
      </c>
      <c r="BK105" s="102">
        <f ca="1">IF(AND(Assumptions!$M$48&gt;0,'Monthly Cash Flow Solution'!BK10=Assumptions!$M$48),Assumptions!$L$50,0)</f>
        <v>2728300.5476896176</v>
      </c>
      <c r="BL105" s="102">
        <f>IF(AND(Assumptions!$M$48&gt;0,'Monthly Cash Flow Solution'!BL10=Assumptions!$M$48),Assumptions!$L$50,0)</f>
        <v>0</v>
      </c>
      <c r="BM105" s="102">
        <f>IF(AND(Assumptions!$M$48&gt;0,'Monthly Cash Flow Solution'!BM10=Assumptions!$M$48),Assumptions!$L$50,0)</f>
        <v>0</v>
      </c>
      <c r="BN105" s="102">
        <f>IF(AND(Assumptions!$M$48&gt;0,'Monthly Cash Flow Solution'!BN10=Assumptions!$M$48),Assumptions!$L$50,0)</f>
        <v>0</v>
      </c>
      <c r="BO105" s="102">
        <f>IF(AND(Assumptions!$M$48&gt;0,'Monthly Cash Flow Solution'!BO10=Assumptions!$M$48),Assumptions!$L$50,0)</f>
        <v>0</v>
      </c>
      <c r="BP105" s="102">
        <f>IF(AND(Assumptions!$M$48&gt;0,'Monthly Cash Flow Solution'!BP10=Assumptions!$M$48),Assumptions!$L$50,0)</f>
        <v>0</v>
      </c>
      <c r="BQ105" s="102">
        <f>IF(AND(Assumptions!$M$48&gt;0,'Monthly Cash Flow Solution'!BQ10=Assumptions!$M$48),Assumptions!$L$50,0)</f>
        <v>0</v>
      </c>
      <c r="BR105" s="102">
        <f>IF(AND(Assumptions!$M$48&gt;0,'Monthly Cash Flow Solution'!BR10=Assumptions!$M$48),Assumptions!$L$50,0)</f>
        <v>0</v>
      </c>
      <c r="BS105" s="102">
        <f>IF(AND(Assumptions!$M$48&gt;0,'Monthly Cash Flow Solution'!BS10=Assumptions!$M$48),Assumptions!$L$50,0)</f>
        <v>0</v>
      </c>
      <c r="BT105" s="102">
        <f>IF(AND(Assumptions!$M$48&gt;0,'Monthly Cash Flow Solution'!BT10=Assumptions!$M$48),Assumptions!$L$50,0)</f>
        <v>0</v>
      </c>
      <c r="BU105" s="102">
        <f>IF(AND(Assumptions!$M$48&gt;0,'Monthly Cash Flow Solution'!BU10=Assumptions!$M$48),Assumptions!$L$50,0)</f>
        <v>0</v>
      </c>
      <c r="BV105" s="102">
        <f>IF(AND(Assumptions!$M$48&gt;0,'Monthly Cash Flow Solution'!BV10=Assumptions!$M$48),Assumptions!$L$50,0)</f>
        <v>0</v>
      </c>
      <c r="BW105" s="102">
        <f>IF(AND(Assumptions!$M$48&gt;0,'Monthly Cash Flow Solution'!BW10=Assumptions!$M$48),Assumptions!$L$50,0)</f>
        <v>0</v>
      </c>
      <c r="BX105" s="102">
        <f>IF(AND(Assumptions!$M$48&gt;0,'Monthly Cash Flow Solution'!BX10=Assumptions!$M$48),Assumptions!$L$50,0)</f>
        <v>0</v>
      </c>
      <c r="BY105" s="102">
        <f>IF(AND(Assumptions!$M$48&gt;0,'Monthly Cash Flow Solution'!BY10=Assumptions!$M$48),Assumptions!$L$50,0)</f>
        <v>0</v>
      </c>
      <c r="BZ105" s="102">
        <f>IF(AND(Assumptions!$M$48&gt;0,'Monthly Cash Flow Solution'!BZ10=Assumptions!$M$48),Assumptions!$L$50,0)</f>
        <v>0</v>
      </c>
      <c r="CA105" s="102">
        <f>IF(AND(Assumptions!$M$48&gt;0,'Monthly Cash Flow Solution'!CA10=Assumptions!$M$48),Assumptions!$L$50,0)</f>
        <v>0</v>
      </c>
      <c r="CB105" s="102">
        <f>IF(AND(Assumptions!$M$48&gt;0,'Monthly Cash Flow Solution'!CB10=Assumptions!$M$48),Assumptions!$L$50,0)</f>
        <v>0</v>
      </c>
      <c r="CC105" s="102">
        <f>IF(AND(Assumptions!$M$48&gt;0,'Monthly Cash Flow Solution'!CC10=Assumptions!$M$48),Assumptions!$L$50,0)</f>
        <v>0</v>
      </c>
      <c r="CD105" s="102">
        <f>IF(AND(Assumptions!$M$48&gt;0,'Monthly Cash Flow Solution'!CD10=Assumptions!$M$48),Assumptions!$L$50,0)</f>
        <v>0</v>
      </c>
      <c r="CE105" s="102">
        <f>IF(AND(Assumptions!$M$48&gt;0,'Monthly Cash Flow Solution'!CE10=Assumptions!$M$48),Assumptions!$L$50,0)</f>
        <v>0</v>
      </c>
      <c r="CF105" s="102">
        <f>IF(AND(Assumptions!$M$48&gt;0,'Monthly Cash Flow Solution'!CF10=Assumptions!$M$48),Assumptions!$L$50,0)</f>
        <v>0</v>
      </c>
      <c r="CG105" s="102">
        <f>IF(AND(Assumptions!$M$48&gt;0,'Monthly Cash Flow Solution'!CG10=Assumptions!$M$48),Assumptions!$L$50,0)</f>
        <v>0</v>
      </c>
      <c r="CH105" s="102">
        <f>IF(AND(Assumptions!$M$48&gt;0,'Monthly Cash Flow Solution'!CH10=Assumptions!$M$48),Assumptions!$L$50,0)</f>
        <v>0</v>
      </c>
      <c r="CI105" s="102">
        <f>IF(AND(Assumptions!$M$48&gt;0,'Monthly Cash Flow Solution'!CI10=Assumptions!$M$48),Assumptions!$L$50,0)</f>
        <v>0</v>
      </c>
      <c r="CJ105" s="102">
        <f>IF(AND(Assumptions!$M$48&gt;0,'Monthly Cash Flow Solution'!CJ10=Assumptions!$M$48),Assumptions!$L$50,0)</f>
        <v>0</v>
      </c>
      <c r="CK105" s="102">
        <f>IF(AND(Assumptions!$M$48&gt;0,'Monthly Cash Flow Solution'!CK10=Assumptions!$M$48),Assumptions!$L$50,0)</f>
        <v>0</v>
      </c>
      <c r="CL105" s="102">
        <f>IF(AND(Assumptions!$M$48&gt;0,'Monthly Cash Flow Solution'!CL10=Assumptions!$M$48),Assumptions!$L$50,0)</f>
        <v>0</v>
      </c>
      <c r="CM105" s="102">
        <f>IF(AND(Assumptions!$M$48&gt;0,'Monthly Cash Flow Solution'!CM10=Assumptions!$M$48),Assumptions!$L$50,0)</f>
        <v>0</v>
      </c>
      <c r="CN105" s="102">
        <f>IF(AND(Assumptions!$M$48&gt;0,'Monthly Cash Flow Solution'!CN10=Assumptions!$M$48),Assumptions!$L$50,0)</f>
        <v>0</v>
      </c>
      <c r="CO105" s="102">
        <f>IF(AND(Assumptions!$M$48&gt;0,'Monthly Cash Flow Solution'!CO10=Assumptions!$M$48),Assumptions!$L$50,0)</f>
        <v>0</v>
      </c>
      <c r="CP105" s="102">
        <f>IF(AND(Assumptions!$M$48&gt;0,'Monthly Cash Flow Solution'!CP10=Assumptions!$M$48),Assumptions!$L$50,0)</f>
        <v>0</v>
      </c>
      <c r="CQ105" s="102">
        <f>IF(AND(Assumptions!$M$48&gt;0,'Monthly Cash Flow Solution'!CQ10=Assumptions!$M$48),Assumptions!$L$50,0)</f>
        <v>0</v>
      </c>
      <c r="CR105" s="102">
        <f>IF(AND(Assumptions!$M$48&gt;0,'Monthly Cash Flow Solution'!CR10=Assumptions!$M$48),Assumptions!$L$50,0)</f>
        <v>0</v>
      </c>
      <c r="CS105" s="102">
        <f>IF(AND(Assumptions!$M$48&gt;0,'Monthly Cash Flow Solution'!CS10=Assumptions!$M$48),Assumptions!$L$50,0)</f>
        <v>0</v>
      </c>
      <c r="CT105" s="102">
        <f>IF(AND(Assumptions!$M$48&gt;0,'Monthly Cash Flow Solution'!CT10=Assumptions!$M$48),Assumptions!$L$50,0)</f>
        <v>0</v>
      </c>
      <c r="CU105" s="102">
        <f>IF(AND(Assumptions!$M$48&gt;0,'Monthly Cash Flow Solution'!CU10=Assumptions!$M$48),Assumptions!$L$50,0)</f>
        <v>0</v>
      </c>
      <c r="CV105" s="102">
        <f>IF(AND(Assumptions!$M$48&gt;0,'Monthly Cash Flow Solution'!CV10=Assumptions!$M$48),Assumptions!$L$50,0)</f>
        <v>0</v>
      </c>
      <c r="CW105" s="102">
        <f>IF(AND(Assumptions!$M$48&gt;0,'Monthly Cash Flow Solution'!CW10=Assumptions!$M$48),Assumptions!$L$50,0)</f>
        <v>0</v>
      </c>
      <c r="CX105" s="102">
        <f>IF(AND(Assumptions!$M$48&gt;0,'Monthly Cash Flow Solution'!CX10=Assumptions!$M$48),Assumptions!$L$50,0)</f>
        <v>0</v>
      </c>
      <c r="CY105" s="102">
        <f>IF(AND(Assumptions!$M$48&gt;0,'Monthly Cash Flow Solution'!CY10=Assumptions!$M$48),Assumptions!$L$50,0)</f>
        <v>0</v>
      </c>
      <c r="CZ105" s="102">
        <f>IF(AND(Assumptions!$M$48&gt;0,'Monthly Cash Flow Solution'!CZ10=Assumptions!$M$48),Assumptions!$L$50,0)</f>
        <v>0</v>
      </c>
      <c r="DA105" s="102">
        <f>IF(AND(Assumptions!$M$48&gt;0,'Monthly Cash Flow Solution'!DA10=Assumptions!$M$48),Assumptions!$L$50,0)</f>
        <v>0</v>
      </c>
      <c r="DB105" s="102">
        <f>IF(AND(Assumptions!$M$48&gt;0,'Monthly Cash Flow Solution'!DB10=Assumptions!$M$48),Assumptions!$L$50,0)</f>
        <v>0</v>
      </c>
      <c r="DC105" s="102">
        <f>IF(AND(Assumptions!$M$48&gt;0,'Monthly Cash Flow Solution'!DC10=Assumptions!$M$48),Assumptions!$L$50,0)</f>
        <v>0</v>
      </c>
      <c r="DD105" s="102">
        <f>IF(AND(Assumptions!$M$48&gt;0,'Monthly Cash Flow Solution'!DD10=Assumptions!$M$48),Assumptions!$L$50,0)</f>
        <v>0</v>
      </c>
      <c r="DE105" s="102">
        <f>IF(AND(Assumptions!$M$48&gt;0,'Monthly Cash Flow Solution'!DE10=Assumptions!$M$48),Assumptions!$L$50,0)</f>
        <v>0</v>
      </c>
      <c r="DF105" s="102">
        <f>IF(AND(Assumptions!$M$48&gt;0,'Monthly Cash Flow Solution'!DF10=Assumptions!$M$48),Assumptions!$L$50,0)</f>
        <v>0</v>
      </c>
      <c r="DG105" s="102">
        <f>IF(AND(Assumptions!$M$48&gt;0,'Monthly Cash Flow Solution'!DG10=Assumptions!$M$48),Assumptions!$L$50,0)</f>
        <v>0</v>
      </c>
      <c r="DH105" s="102">
        <f>IF(AND(Assumptions!$M$48&gt;0,'Monthly Cash Flow Solution'!DH10=Assumptions!$M$48),Assumptions!$L$50,0)</f>
        <v>0</v>
      </c>
      <c r="DI105" s="102">
        <f>IF(AND(Assumptions!$M$48&gt;0,'Monthly Cash Flow Solution'!DI10=Assumptions!$M$48),Assumptions!$L$50,0)</f>
        <v>0</v>
      </c>
      <c r="DJ105" s="102">
        <f>IF(AND(Assumptions!$M$48&gt;0,'Monthly Cash Flow Solution'!DJ10=Assumptions!$M$48),Assumptions!$L$50,0)</f>
        <v>0</v>
      </c>
      <c r="DK105" s="102">
        <f>IF(AND(Assumptions!$M$48&gt;0,'Monthly Cash Flow Solution'!DK10=Assumptions!$M$48),Assumptions!$L$50,0)</f>
        <v>0</v>
      </c>
      <c r="DL105" s="102">
        <f>IF(AND(Assumptions!$M$48&gt;0,'Monthly Cash Flow Solution'!DL10=Assumptions!$M$48),Assumptions!$L$50,0)</f>
        <v>0</v>
      </c>
      <c r="DM105" s="102">
        <f>IF(AND(Assumptions!$M$48&gt;0,'Monthly Cash Flow Solution'!DM10=Assumptions!$M$48),Assumptions!$L$50,0)</f>
        <v>0</v>
      </c>
      <c r="DN105" s="102">
        <f>IF(AND(Assumptions!$M$48&gt;0,'Monthly Cash Flow Solution'!DN10=Assumptions!$M$48),Assumptions!$L$50,0)</f>
        <v>0</v>
      </c>
      <c r="DO105" s="102">
        <f>IF(AND(Assumptions!$M$48&gt;0,'Monthly Cash Flow Solution'!DO10=Assumptions!$M$48),Assumptions!$L$50,0)</f>
        <v>0</v>
      </c>
      <c r="DP105" s="102">
        <f>IF(AND(Assumptions!$M$48&gt;0,'Monthly Cash Flow Solution'!DP10=Assumptions!$M$48),Assumptions!$L$50,0)</f>
        <v>0</v>
      </c>
      <c r="DQ105" s="102">
        <f>IF(AND(Assumptions!$M$48&gt;0,'Monthly Cash Flow Solution'!DQ10=Assumptions!$M$48),Assumptions!$L$50,0)</f>
        <v>0</v>
      </c>
      <c r="DR105" s="102">
        <f>IF(AND(Assumptions!$M$48&gt;0,'Monthly Cash Flow Solution'!DR10=Assumptions!$M$48),Assumptions!$L$50,0)</f>
        <v>0</v>
      </c>
      <c r="DS105" s="102">
        <f>IF(AND(Assumptions!$M$48&gt;0,'Monthly Cash Flow Solution'!DS10=Assumptions!$M$48),Assumptions!$L$50,0)</f>
        <v>0</v>
      </c>
      <c r="DT105" s="102">
        <f>IF(AND(Assumptions!$M$48&gt;0,'Monthly Cash Flow Solution'!DT10=Assumptions!$M$48),Assumptions!$L$50,0)</f>
        <v>0</v>
      </c>
      <c r="DU105" s="102">
        <f>IF(AND(Assumptions!$M$48&gt;0,'Monthly Cash Flow Solution'!DU10=Assumptions!$M$48),Assumptions!$L$50,0)</f>
        <v>0</v>
      </c>
      <c r="DV105" s="102">
        <f>IF(AND(Assumptions!$M$48&gt;0,'Monthly Cash Flow Solution'!DV10=Assumptions!$M$48),Assumptions!$L$50,0)</f>
        <v>0</v>
      </c>
      <c r="DW105" s="102">
        <f>IF(AND(Assumptions!$M$48&gt;0,'Monthly Cash Flow Solution'!DW10=Assumptions!$M$48),Assumptions!$L$50,0)</f>
        <v>0</v>
      </c>
      <c r="DX105" s="102">
        <f>IF(AND(Assumptions!$M$48&gt;0,'Monthly Cash Flow Solution'!DX10=Assumptions!$M$48),Assumptions!$L$50,0)</f>
        <v>0</v>
      </c>
      <c r="DY105" s="102">
        <f>IF(AND(Assumptions!$M$48&gt;0,'Monthly Cash Flow Solution'!DY10=Assumptions!$M$48),Assumptions!$L$50,0)</f>
        <v>0</v>
      </c>
      <c r="DZ105" s="102">
        <f>IF(AND(Assumptions!$M$48&gt;0,'Monthly Cash Flow Solution'!DZ10=Assumptions!$M$48),Assumptions!$L$50,0)</f>
        <v>0</v>
      </c>
      <c r="EA105" s="102">
        <f>IF(AND(Assumptions!$M$48&gt;0,'Monthly Cash Flow Solution'!EA10=Assumptions!$M$48),Assumptions!$L$50,0)</f>
        <v>0</v>
      </c>
      <c r="EB105" s="102">
        <f>IF(AND(Assumptions!$M$48&gt;0,'Monthly Cash Flow Solution'!EB10=Assumptions!$M$48),Assumptions!$L$50,0)</f>
        <v>0</v>
      </c>
      <c r="EC105" s="102">
        <f>IF(AND(Assumptions!$M$48&gt;0,'Monthly Cash Flow Solution'!EC10=Assumptions!$M$48),Assumptions!$L$50,0)</f>
        <v>0</v>
      </c>
      <c r="ED105" s="102">
        <f>IF(AND(Assumptions!$M$48&gt;0,'Monthly Cash Flow Solution'!ED10=Assumptions!$M$48),Assumptions!$L$50,0)</f>
        <v>0</v>
      </c>
      <c r="EE105" s="102">
        <f>IF(AND(Assumptions!$M$48&gt;0,'Monthly Cash Flow Solution'!EE10=Assumptions!$M$48),Assumptions!$L$50,0)</f>
        <v>0</v>
      </c>
      <c r="EF105" s="102">
        <f>IF(AND(Assumptions!$M$48&gt;0,'Monthly Cash Flow Solution'!EF10=Assumptions!$M$48),Assumptions!$L$50,0)</f>
        <v>0</v>
      </c>
      <c r="EG105" s="102">
        <f>IF(AND(Assumptions!$M$48&gt;0,'Monthly Cash Flow Solution'!EG10=Assumptions!$M$48),Assumptions!$L$50,0)</f>
        <v>0</v>
      </c>
      <c r="EH105" s="102">
        <f>IF(AND(Assumptions!$M$48&gt;0,'Monthly Cash Flow Solution'!EH10=Assumptions!$M$48),Assumptions!$L$50,0)</f>
        <v>0</v>
      </c>
      <c r="EI105" s="102">
        <f>IF(AND(Assumptions!$M$48&gt;0,'Monthly Cash Flow Solution'!EI10=Assumptions!$M$48),Assumptions!$L$50,0)</f>
        <v>0</v>
      </c>
      <c r="EJ105" s="102">
        <f>IF(AND(Assumptions!$M$48&gt;0,'Monthly Cash Flow Solution'!EJ10=Assumptions!$M$48),Assumptions!$L$50,0)</f>
        <v>0</v>
      </c>
      <c r="EK105" s="102">
        <f>IF(AND(Assumptions!$M$48&gt;0,'Monthly Cash Flow Solution'!EK10=Assumptions!$M$48),Assumptions!$L$50,0)</f>
        <v>0</v>
      </c>
      <c r="EL105" s="102">
        <f>IF(AND(Assumptions!$M$48&gt;0,'Monthly Cash Flow Solution'!EL10=Assumptions!$M$48),Assumptions!$L$50,0)</f>
        <v>0</v>
      </c>
      <c r="EM105" s="102">
        <f>IF(AND(Assumptions!$M$48&gt;0,'Monthly Cash Flow Solution'!EM10=Assumptions!$M$48),Assumptions!$L$50,0)</f>
        <v>0</v>
      </c>
      <c r="EN105" s="102">
        <f>IF(AND(Assumptions!$M$48&gt;0,'Monthly Cash Flow Solution'!EN10=Assumptions!$M$48),Assumptions!$L$50,0)</f>
        <v>0</v>
      </c>
      <c r="EO105" s="102">
        <f>IF(AND(Assumptions!$M$48&gt;0,'Monthly Cash Flow Solution'!EO10=Assumptions!$M$48),Assumptions!$L$50,0)</f>
        <v>0</v>
      </c>
      <c r="EP105" s="102">
        <f>IF(AND(Assumptions!$M$48&gt;0,'Monthly Cash Flow Solution'!EP10=Assumptions!$M$48),Assumptions!$L$50,0)</f>
        <v>0</v>
      </c>
      <c r="EQ105" s="102">
        <f>IF(AND(Assumptions!$M$48&gt;0,'Monthly Cash Flow Solution'!EQ10=Assumptions!$M$48),Assumptions!$L$50,0)</f>
        <v>0</v>
      </c>
      <c r="ES105" s="98"/>
      <c r="ET105" s="98"/>
      <c r="EU105" s="98"/>
    </row>
    <row r="106" spans="7:151" ht="15.75">
      <c r="G106" s="101"/>
      <c r="H106" s="125" t="s">
        <v>205</v>
      </c>
      <c r="I106" s="95"/>
      <c r="J106" s="102"/>
      <c r="K106" s="102"/>
      <c r="L106" s="102"/>
      <c r="N106" s="102">
        <f t="shared" ca="1" si="220"/>
        <v>-27283.005476896178</v>
      </c>
      <c r="O106" s="102">
        <f>IF(O105&gt;0,-Assumptions!$P$50*Assumptions!$L$50,0)</f>
        <v>0</v>
      </c>
      <c r="P106" s="102">
        <f>IF(P105&gt;0,-Assumptions!$P$50*Assumptions!$L$50,0)</f>
        <v>0</v>
      </c>
      <c r="Q106" s="102">
        <f>IF(Q105&gt;0,-Assumptions!$P$50*Assumptions!$L$50,0)</f>
        <v>0</v>
      </c>
      <c r="R106" s="102">
        <f>IF(R105&gt;0,-Assumptions!$P$50*Assumptions!$L$50,0)</f>
        <v>0</v>
      </c>
      <c r="S106" s="102">
        <f>IF(S105&gt;0,-Assumptions!$P$50*Assumptions!$L$50,0)</f>
        <v>0</v>
      </c>
      <c r="T106" s="102">
        <f>IF(T105&gt;0,-Assumptions!$P$50*Assumptions!$L$50,0)</f>
        <v>0</v>
      </c>
      <c r="U106" s="102">
        <f>IF(U105&gt;0,-Assumptions!$P$50*Assumptions!$L$50,0)</f>
        <v>0</v>
      </c>
      <c r="V106" s="102">
        <f>IF(V105&gt;0,-Assumptions!$P$50*Assumptions!$L$50,0)</f>
        <v>0</v>
      </c>
      <c r="W106" s="102">
        <f>IF(W105&gt;0,-Assumptions!$P$50*Assumptions!$L$50,0)</f>
        <v>0</v>
      </c>
      <c r="X106" s="102">
        <f>IF(X105&gt;0,-Assumptions!$P$50*Assumptions!$L$50,0)</f>
        <v>0</v>
      </c>
      <c r="Y106" s="102">
        <f>IF(Y105&gt;0,-Assumptions!$P$50*Assumptions!$L$50,0)</f>
        <v>0</v>
      </c>
      <c r="Z106" s="102">
        <f>IF(Z105&gt;0,-Assumptions!$P$50*Assumptions!$L$50,0)</f>
        <v>0</v>
      </c>
      <c r="AA106" s="102">
        <f>IF(AA105&gt;0,-Assumptions!$P$50*Assumptions!$L$50,0)</f>
        <v>0</v>
      </c>
      <c r="AB106" s="102">
        <f>IF(AB105&gt;0,-Assumptions!$P$50*Assumptions!$L$50,0)</f>
        <v>0</v>
      </c>
      <c r="AC106" s="102">
        <f>IF(AC105&gt;0,-Assumptions!$P$50*Assumptions!$L$50,0)</f>
        <v>0</v>
      </c>
      <c r="AD106" s="102">
        <f>IF(AD105&gt;0,-Assumptions!$P$50*Assumptions!$L$50,0)</f>
        <v>0</v>
      </c>
      <c r="AE106" s="102">
        <f>IF(AE105&gt;0,-Assumptions!$P$50*Assumptions!$L$50,0)</f>
        <v>0</v>
      </c>
      <c r="AF106" s="102">
        <f>IF(AF105&gt;0,-Assumptions!$P$50*Assumptions!$L$50,0)</f>
        <v>0</v>
      </c>
      <c r="AG106" s="102">
        <f>IF(AG105&gt;0,-Assumptions!$P$50*Assumptions!$L$50,0)</f>
        <v>0</v>
      </c>
      <c r="AH106" s="102">
        <f>IF(AH105&gt;0,-Assumptions!$P$50*Assumptions!$L$50,0)</f>
        <v>0</v>
      </c>
      <c r="AI106" s="102">
        <f>IF(AI105&gt;0,-Assumptions!$P$50*Assumptions!$L$50,0)</f>
        <v>0</v>
      </c>
      <c r="AJ106" s="102">
        <f>IF(AJ105&gt;0,-Assumptions!$P$50*Assumptions!$L$50,0)</f>
        <v>0</v>
      </c>
      <c r="AK106" s="102">
        <f>IF(AK105&gt;0,-Assumptions!$P$50*Assumptions!$L$50,0)</f>
        <v>0</v>
      </c>
      <c r="AL106" s="102">
        <f>IF(AL105&gt;0,-Assumptions!$P$50*Assumptions!$L$50,0)</f>
        <v>0</v>
      </c>
      <c r="AM106" s="102">
        <f>IF(AM105&gt;0,-Assumptions!$P$50*Assumptions!$L$50,0)</f>
        <v>0</v>
      </c>
      <c r="AN106" s="102">
        <f>IF(AN105&gt;0,-Assumptions!$P$50*Assumptions!$L$50,0)</f>
        <v>0</v>
      </c>
      <c r="AO106" s="102">
        <f>IF(AO105&gt;0,-Assumptions!$P$50*Assumptions!$L$50,0)</f>
        <v>0</v>
      </c>
      <c r="AP106" s="102">
        <f>IF(AP105&gt;0,-Assumptions!$P$50*Assumptions!$L$50,0)</f>
        <v>0</v>
      </c>
      <c r="AQ106" s="102">
        <f>IF(AQ105&gt;0,-Assumptions!$P$50*Assumptions!$L$50,0)</f>
        <v>0</v>
      </c>
      <c r="AR106" s="102">
        <f>IF(AR105&gt;0,-Assumptions!$P$50*Assumptions!$L$50,0)</f>
        <v>0</v>
      </c>
      <c r="AS106" s="102">
        <f>IF(AS105&gt;0,-Assumptions!$P$50*Assumptions!$L$50,0)</f>
        <v>0</v>
      </c>
      <c r="AT106" s="102">
        <f>IF(AT105&gt;0,-Assumptions!$P$50*Assumptions!$L$50,0)</f>
        <v>0</v>
      </c>
      <c r="AU106" s="102">
        <f>IF(AU105&gt;0,-Assumptions!$P$50*Assumptions!$L$50,0)</f>
        <v>0</v>
      </c>
      <c r="AV106" s="102">
        <f>IF(AV105&gt;0,-Assumptions!$P$50*Assumptions!$L$50,0)</f>
        <v>0</v>
      </c>
      <c r="AW106" s="102">
        <f>IF(AW105&gt;0,-Assumptions!$P$50*Assumptions!$L$50,0)</f>
        <v>0</v>
      </c>
      <c r="AX106" s="102">
        <f>IF(AX105&gt;0,-Assumptions!$P$50*Assumptions!$L$50,0)</f>
        <v>0</v>
      </c>
      <c r="AY106" s="102">
        <f>IF(AY105&gt;0,-Assumptions!$P$50*Assumptions!$L$50,0)</f>
        <v>0</v>
      </c>
      <c r="AZ106" s="102">
        <f>IF(AZ105&gt;0,-Assumptions!$P$50*Assumptions!$L$50,0)</f>
        <v>0</v>
      </c>
      <c r="BA106" s="102">
        <f>IF(BA105&gt;0,-Assumptions!$P$50*Assumptions!$L$50,0)</f>
        <v>0</v>
      </c>
      <c r="BB106" s="102">
        <f>IF(BB105&gt;0,-Assumptions!$P$50*Assumptions!$L$50,0)</f>
        <v>0</v>
      </c>
      <c r="BC106" s="102">
        <f>IF(BC105&gt;0,-Assumptions!$P$50*Assumptions!$L$50,0)</f>
        <v>0</v>
      </c>
      <c r="BD106" s="102">
        <f>IF(BD105&gt;0,-Assumptions!$P$50*Assumptions!$L$50,0)</f>
        <v>0</v>
      </c>
      <c r="BE106" s="102">
        <f>IF(BE105&gt;0,-Assumptions!$P$50*Assumptions!$L$50,0)</f>
        <v>0</v>
      </c>
      <c r="BF106" s="102">
        <f>IF(BF105&gt;0,-Assumptions!$P$50*Assumptions!$L$50,0)</f>
        <v>0</v>
      </c>
      <c r="BG106" s="102">
        <f>IF(BG105&gt;0,-Assumptions!$P$50*Assumptions!$L$50,0)</f>
        <v>0</v>
      </c>
      <c r="BH106" s="102">
        <f>IF(BH105&gt;0,-Assumptions!$P$50*Assumptions!$L$50,0)</f>
        <v>0</v>
      </c>
      <c r="BI106" s="102">
        <f>IF(BI105&gt;0,-Assumptions!$P$50*Assumptions!$L$50,0)</f>
        <v>0</v>
      </c>
      <c r="BJ106" s="102">
        <f>IF(BJ105&gt;0,-Assumptions!$P$50*Assumptions!$L$50,0)</f>
        <v>0</v>
      </c>
      <c r="BK106" s="102">
        <f ca="1">IF(BK105&gt;0,-Assumptions!$P$50*Assumptions!$L$50,0)</f>
        <v>-27283.005476896178</v>
      </c>
      <c r="BL106" s="102">
        <f>IF(BL105&gt;0,-Assumptions!$P$50*Assumptions!$L$50,0)</f>
        <v>0</v>
      </c>
      <c r="BM106" s="102">
        <f>IF(BM105&gt;0,-Assumptions!$P$50*Assumptions!$L$50,0)</f>
        <v>0</v>
      </c>
      <c r="BN106" s="102">
        <f>IF(BN105&gt;0,-Assumptions!$P$50*Assumptions!$L$50,0)</f>
        <v>0</v>
      </c>
      <c r="BO106" s="102">
        <f>IF(BO105&gt;0,-Assumptions!$P$50*Assumptions!$L$50,0)</f>
        <v>0</v>
      </c>
      <c r="BP106" s="102">
        <f>IF(BP105&gt;0,-Assumptions!$P$50*Assumptions!$L$50,0)</f>
        <v>0</v>
      </c>
      <c r="BQ106" s="102">
        <f>IF(BQ105&gt;0,-Assumptions!$P$50*Assumptions!$L$50,0)</f>
        <v>0</v>
      </c>
      <c r="BR106" s="102">
        <f>IF(BR105&gt;0,-Assumptions!$P$50*Assumptions!$L$50,0)</f>
        <v>0</v>
      </c>
      <c r="BS106" s="102">
        <f>IF(BS105&gt;0,-Assumptions!$P$50*Assumptions!$L$50,0)</f>
        <v>0</v>
      </c>
      <c r="BT106" s="102">
        <f>IF(BT105&gt;0,-Assumptions!$P$50*Assumptions!$L$50,0)</f>
        <v>0</v>
      </c>
      <c r="BU106" s="102">
        <f>IF(BU105&gt;0,-Assumptions!$P$50*Assumptions!$L$50,0)</f>
        <v>0</v>
      </c>
      <c r="BV106" s="102">
        <f>IF(BV105&gt;0,-Assumptions!$P$50*Assumptions!$L$50,0)</f>
        <v>0</v>
      </c>
      <c r="BW106" s="102">
        <f>IF(BW105&gt;0,-Assumptions!$P$50*Assumptions!$L$50,0)</f>
        <v>0</v>
      </c>
      <c r="BX106" s="102">
        <f>IF(BX105&gt;0,-Assumptions!$P$50*Assumptions!$L$50,0)</f>
        <v>0</v>
      </c>
      <c r="BY106" s="102">
        <f>IF(BY105&gt;0,-Assumptions!$P$50*Assumptions!$L$50,0)</f>
        <v>0</v>
      </c>
      <c r="BZ106" s="102">
        <f>IF(BZ105&gt;0,-Assumptions!$P$50*Assumptions!$L$50,0)</f>
        <v>0</v>
      </c>
      <c r="CA106" s="102">
        <f>IF(CA105&gt;0,-Assumptions!$P$50*Assumptions!$L$50,0)</f>
        <v>0</v>
      </c>
      <c r="CB106" s="102">
        <f>IF(CB105&gt;0,-Assumptions!$P$50*Assumptions!$L$50,0)</f>
        <v>0</v>
      </c>
      <c r="CC106" s="102">
        <f>IF(CC105&gt;0,-Assumptions!$P$50*Assumptions!$L$50,0)</f>
        <v>0</v>
      </c>
      <c r="CD106" s="102">
        <f>IF(CD105&gt;0,-Assumptions!$P$50*Assumptions!$L$50,0)</f>
        <v>0</v>
      </c>
      <c r="CE106" s="102">
        <f>IF(CE105&gt;0,-Assumptions!$P$50*Assumptions!$L$50,0)</f>
        <v>0</v>
      </c>
      <c r="CF106" s="102">
        <f>IF(CF105&gt;0,-Assumptions!$P$50*Assumptions!$L$50,0)</f>
        <v>0</v>
      </c>
      <c r="CG106" s="102">
        <f>IF(CG105&gt;0,-Assumptions!$P$50*Assumptions!$L$50,0)</f>
        <v>0</v>
      </c>
      <c r="CH106" s="102">
        <f>IF(CH105&gt;0,-Assumptions!$P$50*Assumptions!$L$50,0)</f>
        <v>0</v>
      </c>
      <c r="CI106" s="102">
        <f>IF(CI105&gt;0,-Assumptions!$P$50*Assumptions!$L$50,0)</f>
        <v>0</v>
      </c>
      <c r="CJ106" s="102">
        <f>IF(CJ105&gt;0,-Assumptions!$P$50*Assumptions!$L$50,0)</f>
        <v>0</v>
      </c>
      <c r="CK106" s="102">
        <f>IF(CK105&gt;0,-Assumptions!$P$50*Assumptions!$L$50,0)</f>
        <v>0</v>
      </c>
      <c r="CL106" s="102">
        <f>IF(CL105&gt;0,-Assumptions!$P$50*Assumptions!$L$50,0)</f>
        <v>0</v>
      </c>
      <c r="CM106" s="102">
        <f>IF(CM105&gt;0,-Assumptions!$P$50*Assumptions!$L$50,0)</f>
        <v>0</v>
      </c>
      <c r="CN106" s="102">
        <f>IF(CN105&gt;0,-Assumptions!$P$50*Assumptions!$L$50,0)</f>
        <v>0</v>
      </c>
      <c r="CO106" s="102">
        <f>IF(CO105&gt;0,-Assumptions!$P$50*Assumptions!$L$50,0)</f>
        <v>0</v>
      </c>
      <c r="CP106" s="102">
        <f>IF(CP105&gt;0,-Assumptions!$P$50*Assumptions!$L$50,0)</f>
        <v>0</v>
      </c>
      <c r="CQ106" s="102">
        <f>IF(CQ105&gt;0,-Assumptions!$P$50*Assumptions!$L$50,0)</f>
        <v>0</v>
      </c>
      <c r="CR106" s="102">
        <f>IF(CR105&gt;0,-Assumptions!$P$50*Assumptions!$L$50,0)</f>
        <v>0</v>
      </c>
      <c r="CS106" s="102">
        <f>IF(CS105&gt;0,-Assumptions!$P$50*Assumptions!$L$50,0)</f>
        <v>0</v>
      </c>
      <c r="CT106" s="102">
        <f>IF(CT105&gt;0,-Assumptions!$P$50*Assumptions!$L$50,0)</f>
        <v>0</v>
      </c>
      <c r="CU106" s="102">
        <f>IF(CU105&gt;0,-Assumptions!$P$50*Assumptions!$L$50,0)</f>
        <v>0</v>
      </c>
      <c r="CV106" s="102">
        <f>IF(CV105&gt;0,-Assumptions!$P$50*Assumptions!$L$50,0)</f>
        <v>0</v>
      </c>
      <c r="CW106" s="102">
        <f>IF(CW105&gt;0,-Assumptions!$P$50*Assumptions!$L$50,0)</f>
        <v>0</v>
      </c>
      <c r="CX106" s="102">
        <f>IF(CX105&gt;0,-Assumptions!$P$50*Assumptions!$L$50,0)</f>
        <v>0</v>
      </c>
      <c r="CY106" s="102">
        <f>IF(CY105&gt;0,-Assumptions!$P$50*Assumptions!$L$50,0)</f>
        <v>0</v>
      </c>
      <c r="CZ106" s="102">
        <f>IF(CZ105&gt;0,-Assumptions!$P$50*Assumptions!$L$50,0)</f>
        <v>0</v>
      </c>
      <c r="DA106" s="102">
        <f>IF(DA105&gt;0,-Assumptions!$P$50*Assumptions!$L$50,0)</f>
        <v>0</v>
      </c>
      <c r="DB106" s="102">
        <f>IF(DB105&gt;0,-Assumptions!$P$50*Assumptions!$L$50,0)</f>
        <v>0</v>
      </c>
      <c r="DC106" s="102">
        <f>IF(DC105&gt;0,-Assumptions!$P$50*Assumptions!$L$50,0)</f>
        <v>0</v>
      </c>
      <c r="DD106" s="102">
        <f>IF(DD105&gt;0,-Assumptions!$P$50*Assumptions!$L$50,0)</f>
        <v>0</v>
      </c>
      <c r="DE106" s="102">
        <f>IF(DE105&gt;0,-Assumptions!$P$50*Assumptions!$L$50,0)</f>
        <v>0</v>
      </c>
      <c r="DF106" s="102">
        <f>IF(DF105&gt;0,-Assumptions!$P$50*Assumptions!$L$50,0)</f>
        <v>0</v>
      </c>
      <c r="DG106" s="102">
        <f>IF(DG105&gt;0,-Assumptions!$P$50*Assumptions!$L$50,0)</f>
        <v>0</v>
      </c>
      <c r="DH106" s="102">
        <f>IF(DH105&gt;0,-Assumptions!$P$50*Assumptions!$L$50,0)</f>
        <v>0</v>
      </c>
      <c r="DI106" s="102">
        <f>IF(DI105&gt;0,-Assumptions!$P$50*Assumptions!$L$50,0)</f>
        <v>0</v>
      </c>
      <c r="DJ106" s="102">
        <f>IF(DJ105&gt;0,-Assumptions!$P$50*Assumptions!$L$50,0)</f>
        <v>0</v>
      </c>
      <c r="DK106" s="102">
        <f>IF(DK105&gt;0,-Assumptions!$P$50*Assumptions!$L$50,0)</f>
        <v>0</v>
      </c>
      <c r="DL106" s="102">
        <f>IF(DL105&gt;0,-Assumptions!$P$50*Assumptions!$L$50,0)</f>
        <v>0</v>
      </c>
      <c r="DM106" s="102">
        <f>IF(DM105&gt;0,-Assumptions!$P$50*Assumptions!$L$50,0)</f>
        <v>0</v>
      </c>
      <c r="DN106" s="102">
        <f>IF(DN105&gt;0,-Assumptions!$P$50*Assumptions!$L$50,0)</f>
        <v>0</v>
      </c>
      <c r="DO106" s="102">
        <f>IF(DO105&gt;0,-Assumptions!$P$50*Assumptions!$L$50,0)</f>
        <v>0</v>
      </c>
      <c r="DP106" s="102">
        <f>IF(DP105&gt;0,-Assumptions!$P$50*Assumptions!$L$50,0)</f>
        <v>0</v>
      </c>
      <c r="DQ106" s="102">
        <f>IF(DQ105&gt;0,-Assumptions!$P$50*Assumptions!$L$50,0)</f>
        <v>0</v>
      </c>
      <c r="DR106" s="102">
        <f>IF(DR105&gt;0,-Assumptions!$P$50*Assumptions!$L$50,0)</f>
        <v>0</v>
      </c>
      <c r="DS106" s="102">
        <f>IF(DS105&gt;0,-Assumptions!$P$50*Assumptions!$L$50,0)</f>
        <v>0</v>
      </c>
      <c r="DT106" s="102">
        <f>IF(DT105&gt;0,-Assumptions!$P$50*Assumptions!$L$50,0)</f>
        <v>0</v>
      </c>
      <c r="DU106" s="102">
        <f>IF(DU105&gt;0,-Assumptions!$P$50*Assumptions!$L$50,0)</f>
        <v>0</v>
      </c>
      <c r="DV106" s="102">
        <f>IF(DV105&gt;0,-Assumptions!$P$50*Assumptions!$L$50,0)</f>
        <v>0</v>
      </c>
      <c r="DW106" s="102">
        <f>IF(DW105&gt;0,-Assumptions!$P$50*Assumptions!$L$50,0)</f>
        <v>0</v>
      </c>
      <c r="DX106" s="102">
        <f>IF(DX105&gt;0,-Assumptions!$P$50*Assumptions!$L$50,0)</f>
        <v>0</v>
      </c>
      <c r="DY106" s="102">
        <f>IF(DY105&gt;0,-Assumptions!$P$50*Assumptions!$L$50,0)</f>
        <v>0</v>
      </c>
      <c r="DZ106" s="102">
        <f>IF(DZ105&gt;0,-Assumptions!$P$50*Assumptions!$L$50,0)</f>
        <v>0</v>
      </c>
      <c r="EA106" s="102">
        <f>IF(EA105&gt;0,-Assumptions!$P$50*Assumptions!$L$50,0)</f>
        <v>0</v>
      </c>
      <c r="EB106" s="102">
        <f>IF(EB105&gt;0,-Assumptions!$P$50*Assumptions!$L$50,0)</f>
        <v>0</v>
      </c>
      <c r="EC106" s="102">
        <f>IF(EC105&gt;0,-Assumptions!$P$50*Assumptions!$L$50,0)</f>
        <v>0</v>
      </c>
      <c r="ED106" s="102">
        <f>IF(ED105&gt;0,-Assumptions!$P$50*Assumptions!$L$50,0)</f>
        <v>0</v>
      </c>
      <c r="EE106" s="102">
        <f>IF(EE105&gt;0,-Assumptions!$P$50*Assumptions!$L$50,0)</f>
        <v>0</v>
      </c>
      <c r="EF106" s="102">
        <f>IF(EF105&gt;0,-Assumptions!$P$50*Assumptions!$L$50,0)</f>
        <v>0</v>
      </c>
      <c r="EG106" s="102">
        <f>IF(EG105&gt;0,-Assumptions!$P$50*Assumptions!$L$50,0)</f>
        <v>0</v>
      </c>
      <c r="EH106" s="102">
        <f>IF(EH105&gt;0,-Assumptions!$P$50*Assumptions!$L$50,0)</f>
        <v>0</v>
      </c>
      <c r="EI106" s="102">
        <f>IF(EI105&gt;0,-Assumptions!$P$50*Assumptions!$L$50,0)</f>
        <v>0</v>
      </c>
      <c r="EJ106" s="102">
        <f>IF(EJ105&gt;0,-Assumptions!$P$50*Assumptions!$L$50,0)</f>
        <v>0</v>
      </c>
      <c r="EK106" s="102">
        <f>IF(EK105&gt;0,-Assumptions!$P$50*Assumptions!$L$50,0)</f>
        <v>0</v>
      </c>
      <c r="EL106" s="102">
        <f>IF(EL105&gt;0,-Assumptions!$P$50*Assumptions!$L$50,0)</f>
        <v>0</v>
      </c>
      <c r="EM106" s="102">
        <f>IF(EM105&gt;0,-Assumptions!$P$50*Assumptions!$L$50,0)</f>
        <v>0</v>
      </c>
      <c r="EN106" s="102">
        <f>IF(EN105&gt;0,-Assumptions!$P$50*Assumptions!$L$50,0)</f>
        <v>0</v>
      </c>
      <c r="EO106" s="102">
        <f>IF(EO105&gt;0,-Assumptions!$P$50*Assumptions!$L$50,0)</f>
        <v>0</v>
      </c>
      <c r="EP106" s="102">
        <f>IF(EP105&gt;0,-Assumptions!$P$50*Assumptions!$L$50,0)</f>
        <v>0</v>
      </c>
      <c r="EQ106" s="102">
        <f>IF(EQ105&gt;0,-Assumptions!$P$50*Assumptions!$L$50,0)</f>
        <v>0</v>
      </c>
      <c r="ES106" s="98"/>
      <c r="ET106" s="98"/>
      <c r="EU106" s="98"/>
    </row>
    <row r="107" spans="7:151" ht="15.75">
      <c r="G107" s="101"/>
      <c r="H107" s="125" t="s">
        <v>206</v>
      </c>
      <c r="I107" s="95"/>
      <c r="J107" s="102"/>
      <c r="K107" s="102"/>
      <c r="L107" s="102"/>
      <c r="N107" s="102">
        <f t="shared" ca="1" si="220"/>
        <v>-2574980.7877013744</v>
      </c>
      <c r="O107" s="102">
        <f>IF(O92&gt;0,-VLOOKUP(Assumptions!$G$10-Assumptions!$M$48,'Amort Sched - Permanent Loan'!$B$29:$G$3853,6),0)</f>
        <v>0</v>
      </c>
      <c r="P107" s="102">
        <f>IF(P92&gt;0,-VLOOKUP(Assumptions!$G$10-Assumptions!$M$48,'Amort Sched - Permanent Loan'!$B$29:$G$3853,6),0)</f>
        <v>0</v>
      </c>
      <c r="Q107" s="102">
        <f>IF(Q92&gt;0,-VLOOKUP(Assumptions!$G$10-Assumptions!$M$48,'Amort Sched - Permanent Loan'!$B$29:$G$3853,6),0)</f>
        <v>0</v>
      </c>
      <c r="R107" s="102">
        <f>IF(R92&gt;0,-VLOOKUP(Assumptions!$G$10-Assumptions!$M$48,'Amort Sched - Permanent Loan'!$B$29:$G$3853,6),0)</f>
        <v>0</v>
      </c>
      <c r="S107" s="102">
        <f>IF(S92&gt;0,-VLOOKUP(Assumptions!$G$10-Assumptions!$M$48,'Amort Sched - Permanent Loan'!$B$29:$G$3853,6),0)</f>
        <v>0</v>
      </c>
      <c r="T107" s="102">
        <f>IF(T92&gt;0,-VLOOKUP(Assumptions!$G$10-Assumptions!$M$48,'Amort Sched - Permanent Loan'!$B$29:$G$3853,6),0)</f>
        <v>0</v>
      </c>
      <c r="U107" s="102">
        <f>IF(U92&gt;0,-VLOOKUP(Assumptions!$G$10-Assumptions!$M$48,'Amort Sched - Permanent Loan'!$B$29:$G$3853,6),0)</f>
        <v>0</v>
      </c>
      <c r="V107" s="102">
        <f>IF(V92&gt;0,-VLOOKUP(Assumptions!$G$10-Assumptions!$M$48,'Amort Sched - Permanent Loan'!$B$29:$G$3853,6),0)</f>
        <v>0</v>
      </c>
      <c r="W107" s="102">
        <f>IF(W92&gt;0,-VLOOKUP(Assumptions!$G$10-Assumptions!$M$48,'Amort Sched - Permanent Loan'!$B$29:$G$3853,6),0)</f>
        <v>0</v>
      </c>
      <c r="X107" s="102">
        <f>IF(X92&gt;0,-VLOOKUP(Assumptions!$G$10-Assumptions!$M$48,'Amort Sched - Permanent Loan'!$B$29:$G$3853,6),0)</f>
        <v>0</v>
      </c>
      <c r="Y107" s="102">
        <f>IF(Y92&gt;0,-VLOOKUP(Assumptions!$G$10-Assumptions!$M$48,'Amort Sched - Permanent Loan'!$B$29:$G$3853,6),0)</f>
        <v>0</v>
      </c>
      <c r="Z107" s="102">
        <f>IF(Z92&gt;0,-VLOOKUP(Assumptions!$G$10-Assumptions!$M$48,'Amort Sched - Permanent Loan'!$B$29:$G$3853,6),0)</f>
        <v>0</v>
      </c>
      <c r="AA107" s="102">
        <f>IF(AA92&gt;0,-VLOOKUP(Assumptions!$G$10-Assumptions!$M$48,'Amort Sched - Permanent Loan'!$B$29:$G$3853,6),0)</f>
        <v>0</v>
      </c>
      <c r="AB107" s="102">
        <f>IF(AB92&gt;0,-VLOOKUP(Assumptions!$G$10-Assumptions!$M$48,'Amort Sched - Permanent Loan'!$B$29:$G$3853,6),0)</f>
        <v>0</v>
      </c>
      <c r="AC107" s="102">
        <f>IF(AC92&gt;0,-VLOOKUP(Assumptions!$G$10-Assumptions!$M$48,'Amort Sched - Permanent Loan'!$B$29:$G$3853,6),0)</f>
        <v>0</v>
      </c>
      <c r="AD107" s="102">
        <f>IF(AD92&gt;0,-VLOOKUP(Assumptions!$G$10-Assumptions!$M$48,'Amort Sched - Permanent Loan'!$B$29:$G$3853,6),0)</f>
        <v>0</v>
      </c>
      <c r="AE107" s="102">
        <f>IF(AE92&gt;0,-VLOOKUP(Assumptions!$G$10-Assumptions!$M$48,'Amort Sched - Permanent Loan'!$B$29:$G$3853,6),0)</f>
        <v>0</v>
      </c>
      <c r="AF107" s="102">
        <f>IF(AF92&gt;0,-VLOOKUP(Assumptions!$G$10-Assumptions!$M$48,'Amort Sched - Permanent Loan'!$B$29:$G$3853,6),0)</f>
        <v>0</v>
      </c>
      <c r="AG107" s="102">
        <f>IF(AG92&gt;0,-VLOOKUP(Assumptions!$G$10-Assumptions!$M$48,'Amort Sched - Permanent Loan'!$B$29:$G$3853,6),0)</f>
        <v>0</v>
      </c>
      <c r="AH107" s="102">
        <f>IF(AH92&gt;0,-VLOOKUP(Assumptions!$G$10-Assumptions!$M$48,'Amort Sched - Permanent Loan'!$B$29:$G$3853,6),0)</f>
        <v>0</v>
      </c>
      <c r="AI107" s="102">
        <f>IF(AI92&gt;0,-VLOOKUP(Assumptions!$G$10-Assumptions!$M$48,'Amort Sched - Permanent Loan'!$B$29:$G$3853,6),0)</f>
        <v>0</v>
      </c>
      <c r="AJ107" s="102">
        <f>IF(AJ92&gt;0,-VLOOKUP(Assumptions!$G$10-Assumptions!$M$48,'Amort Sched - Permanent Loan'!$B$29:$G$3853,6),0)</f>
        <v>0</v>
      </c>
      <c r="AK107" s="102">
        <f>IF(AK92&gt;0,-VLOOKUP(Assumptions!$G$10-Assumptions!$M$48,'Amort Sched - Permanent Loan'!$B$29:$G$3853,6),0)</f>
        <v>0</v>
      </c>
      <c r="AL107" s="102">
        <f>IF(AL92&gt;0,-VLOOKUP(Assumptions!$G$10-Assumptions!$M$48,'Amort Sched - Permanent Loan'!$B$29:$G$3853,6),0)</f>
        <v>0</v>
      </c>
      <c r="AM107" s="102">
        <f>IF(AM92&gt;0,-VLOOKUP(Assumptions!$G$10-Assumptions!$M$48,'Amort Sched - Permanent Loan'!$B$29:$G$3853,6),0)</f>
        <v>0</v>
      </c>
      <c r="AN107" s="102">
        <f>IF(AN92&gt;0,-VLOOKUP(Assumptions!$G$10-Assumptions!$M$48,'Amort Sched - Permanent Loan'!$B$29:$G$3853,6),0)</f>
        <v>0</v>
      </c>
      <c r="AO107" s="102">
        <f>IF(AO92&gt;0,-VLOOKUP(Assumptions!$G$10-Assumptions!$M$48,'Amort Sched - Permanent Loan'!$B$29:$G$3853,6),0)</f>
        <v>0</v>
      </c>
      <c r="AP107" s="102">
        <f>IF(AP92&gt;0,-VLOOKUP(Assumptions!$G$10-Assumptions!$M$48,'Amort Sched - Permanent Loan'!$B$29:$G$3853,6),0)</f>
        <v>0</v>
      </c>
      <c r="AQ107" s="102">
        <f>IF(AQ92&gt;0,-VLOOKUP(Assumptions!$G$10-Assumptions!$M$48,'Amort Sched - Permanent Loan'!$B$29:$G$3853,6),0)</f>
        <v>0</v>
      </c>
      <c r="AR107" s="102">
        <f>IF(AR92&gt;0,-VLOOKUP(Assumptions!$G$10-Assumptions!$M$48,'Amort Sched - Permanent Loan'!$B$29:$G$3853,6),0)</f>
        <v>0</v>
      </c>
      <c r="AS107" s="102">
        <f>IF(AS92&gt;0,-VLOOKUP(Assumptions!$G$10-Assumptions!$M$48,'Amort Sched - Permanent Loan'!$B$29:$G$3853,6),0)</f>
        <v>0</v>
      </c>
      <c r="AT107" s="102">
        <f>IF(AT92&gt;0,-VLOOKUP(Assumptions!$G$10-Assumptions!$M$48,'Amort Sched - Permanent Loan'!$B$29:$G$3853,6),0)</f>
        <v>0</v>
      </c>
      <c r="AU107" s="102">
        <f>IF(AU92&gt;0,-VLOOKUP(Assumptions!$G$10-Assumptions!$M$48,'Amort Sched - Permanent Loan'!$B$29:$G$3853,6),0)</f>
        <v>0</v>
      </c>
      <c r="AV107" s="102">
        <f>IF(AV92&gt;0,-VLOOKUP(Assumptions!$G$10-Assumptions!$M$48,'Amort Sched - Permanent Loan'!$B$29:$G$3853,6),0)</f>
        <v>0</v>
      </c>
      <c r="AW107" s="102">
        <f>IF(AW92&gt;0,-VLOOKUP(Assumptions!$G$10-Assumptions!$M$48,'Amort Sched - Permanent Loan'!$B$29:$G$3853,6),0)</f>
        <v>0</v>
      </c>
      <c r="AX107" s="102">
        <f>IF(AX92&gt;0,-VLOOKUP(Assumptions!$G$10-Assumptions!$M$48,'Amort Sched - Permanent Loan'!$B$29:$G$3853,6),0)</f>
        <v>0</v>
      </c>
      <c r="AY107" s="102">
        <f>IF(AY92&gt;0,-VLOOKUP(Assumptions!$G$10-Assumptions!$M$48,'Amort Sched - Permanent Loan'!$B$29:$G$3853,6),0)</f>
        <v>0</v>
      </c>
      <c r="AZ107" s="102">
        <f>IF(AZ92&gt;0,-VLOOKUP(Assumptions!$G$10-Assumptions!$M$48,'Amort Sched - Permanent Loan'!$B$29:$G$3853,6),0)</f>
        <v>0</v>
      </c>
      <c r="BA107" s="102">
        <f>IF(BA92&gt;0,-VLOOKUP(Assumptions!$G$10-Assumptions!$M$48,'Amort Sched - Permanent Loan'!$B$29:$G$3853,6),0)</f>
        <v>0</v>
      </c>
      <c r="BB107" s="102">
        <f>IF(BB92&gt;0,-VLOOKUP(Assumptions!$G$10-Assumptions!$M$48,'Amort Sched - Permanent Loan'!$B$29:$G$3853,6),0)</f>
        <v>0</v>
      </c>
      <c r="BC107" s="102">
        <f>IF(BC92&gt;0,-VLOOKUP(Assumptions!$G$10-Assumptions!$M$48,'Amort Sched - Permanent Loan'!$B$29:$G$3853,6),0)</f>
        <v>0</v>
      </c>
      <c r="BD107" s="102">
        <f>IF(BD92&gt;0,-VLOOKUP(Assumptions!$G$10-Assumptions!$M$48,'Amort Sched - Permanent Loan'!$B$29:$G$3853,6),0)</f>
        <v>0</v>
      </c>
      <c r="BE107" s="102">
        <f>IF(BE92&gt;0,-VLOOKUP(Assumptions!$G$10-Assumptions!$M$48,'Amort Sched - Permanent Loan'!$B$29:$G$3853,6),0)</f>
        <v>0</v>
      </c>
      <c r="BF107" s="102">
        <f>IF(BF92&gt;0,-VLOOKUP(Assumptions!$G$10-Assumptions!$M$48,'Amort Sched - Permanent Loan'!$B$29:$G$3853,6),0)</f>
        <v>0</v>
      </c>
      <c r="BG107" s="102">
        <f>IF(BG92&gt;0,-VLOOKUP(Assumptions!$G$10-Assumptions!$M$48,'Amort Sched - Permanent Loan'!$B$29:$G$3853,6),0)</f>
        <v>0</v>
      </c>
      <c r="BH107" s="102">
        <f>IF(BH92&gt;0,-VLOOKUP(Assumptions!$G$10-Assumptions!$M$48,'Amort Sched - Permanent Loan'!$B$29:$G$3853,6),0)</f>
        <v>0</v>
      </c>
      <c r="BI107" s="102">
        <f>IF(BI92&gt;0,-VLOOKUP(Assumptions!$G$10-Assumptions!$M$48,'Amort Sched - Permanent Loan'!$B$29:$G$3853,6),0)</f>
        <v>0</v>
      </c>
      <c r="BJ107" s="102">
        <f>IF(BJ92&gt;0,-VLOOKUP(Assumptions!$G$10-Assumptions!$M$48,'Amort Sched - Permanent Loan'!$B$29:$G$3853,6),0)</f>
        <v>0</v>
      </c>
      <c r="BK107" s="102">
        <f>IF(BK92&gt;0,-VLOOKUP(Assumptions!$G$10-Assumptions!$M$48,'Amort Sched - Permanent Loan'!$B$29:$G$3853,6),0)</f>
        <v>0</v>
      </c>
      <c r="BL107" s="102">
        <f>IF(BL92&gt;0,-VLOOKUP(Assumptions!$G$10-Assumptions!$M$48,'Amort Sched - Permanent Loan'!$B$29:$G$3853,6),0)</f>
        <v>0</v>
      </c>
      <c r="BM107" s="102">
        <f>IF(BM92&gt;0,-VLOOKUP(Assumptions!$G$10-Assumptions!$M$48,'Amort Sched - Permanent Loan'!$B$29:$G$3853,6),0)</f>
        <v>0</v>
      </c>
      <c r="BN107" s="102">
        <f>IF(BN92&gt;0,-VLOOKUP(Assumptions!$G$10-Assumptions!$M$48,'Amort Sched - Permanent Loan'!$B$29:$G$3853,6),0)</f>
        <v>0</v>
      </c>
      <c r="BO107" s="102">
        <f>IF(BO92&gt;0,-VLOOKUP(Assumptions!$G$10-Assumptions!$M$48,'Amort Sched - Permanent Loan'!$B$29:$G$3853,6),0)</f>
        <v>0</v>
      </c>
      <c r="BP107" s="102">
        <f>IF(BP92&gt;0,-VLOOKUP(Assumptions!$G$10-Assumptions!$M$48,'Amort Sched - Permanent Loan'!$B$29:$G$3853,6),0)</f>
        <v>0</v>
      </c>
      <c r="BQ107" s="102">
        <f>IF(BQ92&gt;0,-VLOOKUP(Assumptions!$G$10-Assumptions!$M$48,'Amort Sched - Permanent Loan'!$B$29:$G$3853,6),0)</f>
        <v>0</v>
      </c>
      <c r="BR107" s="102">
        <f>IF(BR92&gt;0,-VLOOKUP(Assumptions!$G$10-Assumptions!$M$48,'Amort Sched - Permanent Loan'!$B$29:$G$3853,6),0)</f>
        <v>0</v>
      </c>
      <c r="BS107" s="102">
        <f>IF(BS92&gt;0,-VLOOKUP(Assumptions!$G$10-Assumptions!$M$48,'Amort Sched - Permanent Loan'!$B$29:$G$3853,6),0)</f>
        <v>0</v>
      </c>
      <c r="BT107" s="102">
        <f>IF(BT92&gt;0,-VLOOKUP(Assumptions!$G$10-Assumptions!$M$48,'Amort Sched - Permanent Loan'!$B$29:$G$3853,6),0)</f>
        <v>0</v>
      </c>
      <c r="BU107" s="102">
        <f>IF(BU92&gt;0,-VLOOKUP(Assumptions!$G$10-Assumptions!$M$48,'Amort Sched - Permanent Loan'!$B$29:$G$3853,6),0)</f>
        <v>0</v>
      </c>
      <c r="BV107" s="102">
        <f>IF(BV92&gt;0,-VLOOKUP(Assumptions!$G$10-Assumptions!$M$48,'Amort Sched - Permanent Loan'!$B$29:$G$3853,6),0)</f>
        <v>0</v>
      </c>
      <c r="BW107" s="102">
        <f>IF(BW92&gt;0,-VLOOKUP(Assumptions!$G$10-Assumptions!$M$48,'Amort Sched - Permanent Loan'!$B$29:$G$3853,6),0)</f>
        <v>0</v>
      </c>
      <c r="BX107" s="102">
        <f>IF(BX92&gt;0,-VLOOKUP(Assumptions!$G$10-Assumptions!$M$48,'Amort Sched - Permanent Loan'!$B$29:$G$3853,6),0)</f>
        <v>0</v>
      </c>
      <c r="BY107" s="102">
        <f>IF(BY92&gt;0,-VLOOKUP(Assumptions!$G$10-Assumptions!$M$48,'Amort Sched - Permanent Loan'!$B$29:$G$3853,6),0)</f>
        <v>0</v>
      </c>
      <c r="BZ107" s="102">
        <f>IF(BZ92&gt;0,-VLOOKUP(Assumptions!$G$10-Assumptions!$M$48,'Amort Sched - Permanent Loan'!$B$29:$G$3853,6),0)</f>
        <v>0</v>
      </c>
      <c r="CA107" s="102">
        <f>IF(CA92&gt;0,-VLOOKUP(Assumptions!$G$10-Assumptions!$M$48,'Amort Sched - Permanent Loan'!$B$29:$G$3853,6),0)</f>
        <v>0</v>
      </c>
      <c r="CB107" s="102">
        <f>IF(CB92&gt;0,-VLOOKUP(Assumptions!$G$10-Assumptions!$M$48,'Amort Sched - Permanent Loan'!$B$29:$G$3853,6),0)</f>
        <v>0</v>
      </c>
      <c r="CC107" s="102">
        <f>IF(CC92&gt;0,-VLOOKUP(Assumptions!$G$10-Assumptions!$M$48,'Amort Sched - Permanent Loan'!$B$29:$G$3853,6),0)</f>
        <v>0</v>
      </c>
      <c r="CD107" s="102">
        <f>IF(CD92&gt;0,-VLOOKUP(Assumptions!$G$10-Assumptions!$M$48,'Amort Sched - Permanent Loan'!$B$29:$G$3853,6),0)</f>
        <v>0</v>
      </c>
      <c r="CE107" s="102">
        <f>IF(CE92&gt;0,-VLOOKUP(Assumptions!$G$10-Assumptions!$M$48,'Amort Sched - Permanent Loan'!$B$29:$G$3853,6),0)</f>
        <v>0</v>
      </c>
      <c r="CF107" s="102">
        <f>IF(CF92&gt;0,-VLOOKUP(Assumptions!$G$10-Assumptions!$M$48,'Amort Sched - Permanent Loan'!$B$29:$G$3853,6),0)</f>
        <v>0</v>
      </c>
      <c r="CG107" s="102">
        <f>IF(CG92&gt;0,-VLOOKUP(Assumptions!$G$10-Assumptions!$M$48,'Amort Sched - Permanent Loan'!$B$29:$G$3853,6),0)</f>
        <v>0</v>
      </c>
      <c r="CH107" s="102">
        <f>IF(CH92&gt;0,-VLOOKUP(Assumptions!$G$10-Assumptions!$M$48,'Amort Sched - Permanent Loan'!$B$29:$G$3853,6),0)</f>
        <v>0</v>
      </c>
      <c r="CI107" s="102">
        <f>IF(CI92&gt;0,-VLOOKUP(Assumptions!$G$10-Assumptions!$M$48,'Amort Sched - Permanent Loan'!$B$29:$G$3853,6),0)</f>
        <v>0</v>
      </c>
      <c r="CJ107" s="102">
        <f>IF(CJ92&gt;0,-VLOOKUP(Assumptions!$G$10-Assumptions!$M$48,'Amort Sched - Permanent Loan'!$B$29:$G$3853,6),0)</f>
        <v>0</v>
      </c>
      <c r="CK107" s="102">
        <f>IF(CK92&gt;0,-VLOOKUP(Assumptions!$G$10-Assumptions!$M$48,'Amort Sched - Permanent Loan'!$B$29:$G$3853,6),0)</f>
        <v>0</v>
      </c>
      <c r="CL107" s="102">
        <f>IF(CL92&gt;0,-VLOOKUP(Assumptions!$G$10-Assumptions!$M$48,'Amort Sched - Permanent Loan'!$B$29:$G$3853,6),0)</f>
        <v>0</v>
      </c>
      <c r="CM107" s="102">
        <f>IF(CM92&gt;0,-VLOOKUP(Assumptions!$G$10-Assumptions!$M$48,'Amort Sched - Permanent Loan'!$B$29:$G$3853,6),0)</f>
        <v>0</v>
      </c>
      <c r="CN107" s="102">
        <f>IF(CN92&gt;0,-VLOOKUP(Assumptions!$G$10-Assumptions!$M$48,'Amort Sched - Permanent Loan'!$B$29:$G$3853,6),0)</f>
        <v>0</v>
      </c>
      <c r="CO107" s="102">
        <f>IF(CO92&gt;0,-VLOOKUP(Assumptions!$G$10-Assumptions!$M$48,'Amort Sched - Permanent Loan'!$B$29:$G$3853,6),0)</f>
        <v>0</v>
      </c>
      <c r="CP107" s="102">
        <f>IF(CP92&gt;0,-VLOOKUP(Assumptions!$G$10-Assumptions!$M$48,'Amort Sched - Permanent Loan'!$B$29:$G$3853,6),0)</f>
        <v>0</v>
      </c>
      <c r="CQ107" s="102">
        <f>IF(CQ92&gt;0,-VLOOKUP(Assumptions!$G$10-Assumptions!$M$48,'Amort Sched - Permanent Loan'!$B$29:$G$3853,6),0)</f>
        <v>0</v>
      </c>
      <c r="CR107" s="102">
        <f>IF(CR92&gt;0,-VLOOKUP(Assumptions!$G$10-Assumptions!$M$48,'Amort Sched - Permanent Loan'!$B$29:$G$3853,6),0)</f>
        <v>0</v>
      </c>
      <c r="CS107" s="102">
        <f>IF(CS92&gt;0,-VLOOKUP(Assumptions!$G$10-Assumptions!$M$48,'Amort Sched - Permanent Loan'!$B$29:$G$3853,6),0)</f>
        <v>0</v>
      </c>
      <c r="CT107" s="102">
        <f>IF(CT92&gt;0,-VLOOKUP(Assumptions!$G$10-Assumptions!$M$48,'Amort Sched - Permanent Loan'!$B$29:$G$3853,6),0)</f>
        <v>0</v>
      </c>
      <c r="CU107" s="102">
        <f>IF(CU92&gt;0,-VLOOKUP(Assumptions!$G$10-Assumptions!$M$48,'Amort Sched - Permanent Loan'!$B$29:$G$3853,6),0)</f>
        <v>0</v>
      </c>
      <c r="CV107" s="102">
        <f>IF(CV92&gt;0,-VLOOKUP(Assumptions!$G$10-Assumptions!$M$48,'Amort Sched - Permanent Loan'!$B$29:$G$3853,6),0)</f>
        <v>0</v>
      </c>
      <c r="CW107" s="102">
        <f>IF(CW92&gt;0,-VLOOKUP(Assumptions!$G$10-Assumptions!$M$48,'Amort Sched - Permanent Loan'!$B$29:$G$3853,6),0)</f>
        <v>0</v>
      </c>
      <c r="CX107" s="102">
        <f>IF(CX92&gt;0,-VLOOKUP(Assumptions!$G$10-Assumptions!$M$48,'Amort Sched - Permanent Loan'!$B$29:$G$3853,6),0)</f>
        <v>0</v>
      </c>
      <c r="CY107" s="102">
        <f>IF(CY92&gt;0,-VLOOKUP(Assumptions!$G$10-Assumptions!$M$48,'Amort Sched - Permanent Loan'!$B$29:$G$3853,6),0)</f>
        <v>0</v>
      </c>
      <c r="CZ107" s="102">
        <f>IF(CZ92&gt;0,-VLOOKUP(Assumptions!$G$10-Assumptions!$M$48,'Amort Sched - Permanent Loan'!$B$29:$G$3853,6),0)</f>
        <v>0</v>
      </c>
      <c r="DA107" s="102">
        <f>IF(DA92&gt;0,-VLOOKUP(Assumptions!$G$10-Assumptions!$M$48,'Amort Sched - Permanent Loan'!$B$29:$G$3853,6),0)</f>
        <v>0</v>
      </c>
      <c r="DB107" s="102">
        <f>IF(DB92&gt;0,-VLOOKUP(Assumptions!$G$10-Assumptions!$M$48,'Amort Sched - Permanent Loan'!$B$29:$G$3853,6),0)</f>
        <v>0</v>
      </c>
      <c r="DC107" s="102">
        <f>IF(DC92&gt;0,-VLOOKUP(Assumptions!$G$10-Assumptions!$M$48,'Amort Sched - Permanent Loan'!$B$29:$G$3853,6),0)</f>
        <v>0</v>
      </c>
      <c r="DD107" s="102">
        <f>IF(DD92&gt;0,-VLOOKUP(Assumptions!$G$10-Assumptions!$M$48,'Amort Sched - Permanent Loan'!$B$29:$G$3853,6),0)</f>
        <v>0</v>
      </c>
      <c r="DE107" s="102">
        <f>IF(DE92&gt;0,-VLOOKUP(Assumptions!$G$10-Assumptions!$M$48,'Amort Sched - Permanent Loan'!$B$29:$G$3853,6),0)</f>
        <v>0</v>
      </c>
      <c r="DF107" s="102">
        <f>IF(DF92&gt;0,-VLOOKUP(Assumptions!$G$10-Assumptions!$M$48,'Amort Sched - Permanent Loan'!$B$29:$G$3853,6),0)</f>
        <v>0</v>
      </c>
      <c r="DG107" s="102">
        <f ca="1">IF(DG92&gt;0,-VLOOKUP(Assumptions!$G$10-Assumptions!$M$48,'Amort Sched - Permanent Loan'!$B$29:$G$3853,6),0)</f>
        <v>-2574980.7877013744</v>
      </c>
      <c r="DH107" s="102">
        <f>IF(DH92&gt;0,-VLOOKUP(Assumptions!$G$10-Assumptions!$M$48,'Amort Sched - Permanent Loan'!$B$29:$G$3853,6),0)</f>
        <v>0</v>
      </c>
      <c r="DI107" s="102">
        <f>IF(DI92&gt;0,-VLOOKUP(Assumptions!$G$10-Assumptions!$M$48,'Amort Sched - Permanent Loan'!$B$29:$G$3853,6),0)</f>
        <v>0</v>
      </c>
      <c r="DJ107" s="102">
        <f>IF(DJ92&gt;0,-VLOOKUP(Assumptions!$G$10-Assumptions!$M$48,'Amort Sched - Permanent Loan'!$B$29:$G$3853,6),0)</f>
        <v>0</v>
      </c>
      <c r="DK107" s="102">
        <f>IF(DK92&gt;0,-VLOOKUP(Assumptions!$G$10-Assumptions!$M$48,'Amort Sched - Permanent Loan'!$B$29:$G$3853,6),0)</f>
        <v>0</v>
      </c>
      <c r="DL107" s="102">
        <f>IF(DL92&gt;0,-VLOOKUP(Assumptions!$G$10-Assumptions!$M$48,'Amort Sched - Permanent Loan'!$B$29:$G$3853,6),0)</f>
        <v>0</v>
      </c>
      <c r="DM107" s="102">
        <f>IF(DM92&gt;0,-VLOOKUP(Assumptions!$G$10-Assumptions!$M$48,'Amort Sched - Permanent Loan'!$B$29:$G$3853,6),0)</f>
        <v>0</v>
      </c>
      <c r="DN107" s="102">
        <f>IF(DN92&gt;0,-VLOOKUP(Assumptions!$G$10-Assumptions!$M$48,'Amort Sched - Permanent Loan'!$B$29:$G$3853,6),0)</f>
        <v>0</v>
      </c>
      <c r="DO107" s="102">
        <f>IF(DO92&gt;0,-VLOOKUP(Assumptions!$G$10-Assumptions!$M$48,'Amort Sched - Permanent Loan'!$B$29:$G$3853,6),0)</f>
        <v>0</v>
      </c>
      <c r="DP107" s="102">
        <f>IF(DP92&gt;0,-VLOOKUP(Assumptions!$G$10-Assumptions!$M$48,'Amort Sched - Permanent Loan'!$B$29:$G$3853,6),0)</f>
        <v>0</v>
      </c>
      <c r="DQ107" s="102">
        <f>IF(DQ92&gt;0,-VLOOKUP(Assumptions!$G$10-Assumptions!$M$48,'Amort Sched - Permanent Loan'!$B$29:$G$3853,6),0)</f>
        <v>0</v>
      </c>
      <c r="DR107" s="102">
        <f>IF(DR92&gt;0,-VLOOKUP(Assumptions!$G$10-Assumptions!$M$48,'Amort Sched - Permanent Loan'!$B$29:$G$3853,6),0)</f>
        <v>0</v>
      </c>
      <c r="DS107" s="102">
        <f>IF(DS92&gt;0,-VLOOKUP(Assumptions!$G$10-Assumptions!$M$48,'Amort Sched - Permanent Loan'!$B$29:$G$3853,6),0)</f>
        <v>0</v>
      </c>
      <c r="DT107" s="102">
        <f>IF(DT92&gt;0,-VLOOKUP(Assumptions!$G$10-Assumptions!$M$48,'Amort Sched - Permanent Loan'!$B$29:$G$3853,6),0)</f>
        <v>0</v>
      </c>
      <c r="DU107" s="102">
        <f>IF(DU92&gt;0,-VLOOKUP(Assumptions!$G$10-Assumptions!$M$48,'Amort Sched - Permanent Loan'!$B$29:$G$3853,6),0)</f>
        <v>0</v>
      </c>
      <c r="DV107" s="102">
        <f>IF(DV92&gt;0,-VLOOKUP(Assumptions!$G$10-Assumptions!$M$48,'Amort Sched - Permanent Loan'!$B$29:$G$3853,6),0)</f>
        <v>0</v>
      </c>
      <c r="DW107" s="102">
        <f>IF(DW92&gt;0,-VLOOKUP(Assumptions!$G$10-Assumptions!$M$48,'Amort Sched - Permanent Loan'!$B$29:$G$3853,6),0)</f>
        <v>0</v>
      </c>
      <c r="DX107" s="102">
        <f>IF(DX92&gt;0,-VLOOKUP(Assumptions!$G$10-Assumptions!$M$48,'Amort Sched - Permanent Loan'!$B$29:$G$3853,6),0)</f>
        <v>0</v>
      </c>
      <c r="DY107" s="102">
        <f>IF(DY92&gt;0,-VLOOKUP(Assumptions!$G$10-Assumptions!$M$48,'Amort Sched - Permanent Loan'!$B$29:$G$3853,6),0)</f>
        <v>0</v>
      </c>
      <c r="DZ107" s="102">
        <f>IF(DZ92&gt;0,-VLOOKUP(Assumptions!$G$10-Assumptions!$M$48,'Amort Sched - Permanent Loan'!$B$29:$G$3853,6),0)</f>
        <v>0</v>
      </c>
      <c r="EA107" s="102">
        <f>IF(EA92&gt;0,-VLOOKUP(Assumptions!$G$10-Assumptions!$M$48,'Amort Sched - Permanent Loan'!$B$29:$G$3853,6),0)</f>
        <v>0</v>
      </c>
      <c r="EB107" s="102">
        <f>IF(EB92&gt;0,-VLOOKUP(Assumptions!$G$10-Assumptions!$M$48,'Amort Sched - Permanent Loan'!$B$29:$G$3853,6),0)</f>
        <v>0</v>
      </c>
      <c r="EC107" s="102">
        <f>IF(EC92&gt;0,-VLOOKUP(Assumptions!$G$10-Assumptions!$M$48,'Amort Sched - Permanent Loan'!$B$29:$G$3853,6),0)</f>
        <v>0</v>
      </c>
      <c r="ED107" s="102">
        <f>IF(ED92&gt;0,-VLOOKUP(Assumptions!$G$10-Assumptions!$M$48,'Amort Sched - Permanent Loan'!$B$29:$G$3853,6),0)</f>
        <v>0</v>
      </c>
      <c r="EE107" s="102">
        <f>IF(EE92&gt;0,-VLOOKUP(Assumptions!$G$10-Assumptions!$M$48,'Amort Sched - Permanent Loan'!$B$29:$G$3853,6),0)</f>
        <v>0</v>
      </c>
      <c r="EF107" s="102">
        <f>IF(EF92&gt;0,-VLOOKUP(Assumptions!$G$10-Assumptions!$M$48,'Amort Sched - Permanent Loan'!$B$29:$G$3853,6),0)</f>
        <v>0</v>
      </c>
      <c r="EG107" s="102">
        <f>IF(EG92&gt;0,-VLOOKUP(Assumptions!$G$10-Assumptions!$M$48,'Amort Sched - Permanent Loan'!$B$29:$G$3853,6),0)</f>
        <v>0</v>
      </c>
      <c r="EH107" s="102">
        <f>IF(EH92&gt;0,-VLOOKUP(Assumptions!$G$10-Assumptions!$M$48,'Amort Sched - Permanent Loan'!$B$29:$G$3853,6),0)</f>
        <v>0</v>
      </c>
      <c r="EI107" s="102">
        <f>IF(EI92&gt;0,-VLOOKUP(Assumptions!$G$10-Assumptions!$M$48,'Amort Sched - Permanent Loan'!$B$29:$G$3853,6),0)</f>
        <v>0</v>
      </c>
      <c r="EJ107" s="102">
        <f>IF(EJ92&gt;0,-VLOOKUP(Assumptions!$G$10-Assumptions!$M$48,'Amort Sched - Permanent Loan'!$B$29:$G$3853,6),0)</f>
        <v>0</v>
      </c>
      <c r="EK107" s="102">
        <f>IF(EK92&gt;0,-VLOOKUP(Assumptions!$G$10-Assumptions!$M$48,'Amort Sched - Permanent Loan'!$B$29:$G$3853,6),0)</f>
        <v>0</v>
      </c>
      <c r="EL107" s="102">
        <f>IF(EL92&gt;0,-VLOOKUP(Assumptions!$G$10-Assumptions!$M$48,'Amort Sched - Permanent Loan'!$B$29:$G$3853,6),0)</f>
        <v>0</v>
      </c>
      <c r="EM107" s="102">
        <f>IF(EM92&gt;0,-VLOOKUP(Assumptions!$G$10-Assumptions!$M$48,'Amort Sched - Permanent Loan'!$B$29:$G$3853,6),0)</f>
        <v>0</v>
      </c>
      <c r="EN107" s="102">
        <f>IF(EN92&gt;0,-VLOOKUP(Assumptions!$G$10-Assumptions!$M$48,'Amort Sched - Permanent Loan'!$B$29:$G$3853,6),0)</f>
        <v>0</v>
      </c>
      <c r="EO107" s="102">
        <f>IF(EO92&gt;0,-VLOOKUP(Assumptions!$G$10-Assumptions!$M$48,'Amort Sched - Permanent Loan'!$B$29:$G$3853,6),0)</f>
        <v>0</v>
      </c>
      <c r="EP107" s="102">
        <f>IF(EP92&gt;0,-VLOOKUP(Assumptions!$G$10-Assumptions!$M$48,'Amort Sched - Permanent Loan'!$B$29:$G$3853,6),0)</f>
        <v>0</v>
      </c>
      <c r="EQ107" s="102">
        <f>IF(EQ92&gt;0,-VLOOKUP(Assumptions!$G$10-Assumptions!$M$48,'Amort Sched - Permanent Loan'!$B$29:$G$3853,6),0)</f>
        <v>0</v>
      </c>
      <c r="ES107" s="98"/>
      <c r="ET107" s="98"/>
      <c r="EU107" s="98"/>
    </row>
    <row r="108" spans="7:151" ht="15.75">
      <c r="G108" s="101"/>
      <c r="H108" s="125"/>
      <c r="I108" s="95"/>
      <c r="J108" s="102"/>
      <c r="K108" s="102"/>
      <c r="L108" s="102"/>
      <c r="M108" s="102"/>
      <c r="N108" s="585" t="s">
        <v>10</v>
      </c>
      <c r="O108" s="585"/>
      <c r="P108" s="102"/>
      <c r="Q108" s="104"/>
      <c r="R108" s="104"/>
      <c r="S108" s="105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  <c r="AY108" s="104"/>
      <c r="AZ108" s="104"/>
      <c r="BA108" s="104"/>
      <c r="BB108" s="104"/>
      <c r="BC108" s="104"/>
      <c r="BD108" s="104"/>
      <c r="BE108" s="104"/>
      <c r="BF108" s="104"/>
      <c r="BG108" s="104"/>
      <c r="BH108" s="104"/>
      <c r="BI108" s="104"/>
      <c r="BJ108" s="104"/>
      <c r="BK108" s="104"/>
      <c r="BL108" s="104"/>
      <c r="BM108" s="104"/>
      <c r="BN108" s="104"/>
      <c r="BO108" s="104"/>
      <c r="BP108" s="104"/>
      <c r="BQ108" s="104"/>
      <c r="BR108" s="104"/>
      <c r="BS108" s="104"/>
      <c r="BT108" s="104"/>
      <c r="BU108" s="104"/>
      <c r="BV108" s="104"/>
      <c r="BW108" s="104"/>
      <c r="BX108" s="104"/>
      <c r="BY108" s="104"/>
      <c r="BZ108" s="104"/>
      <c r="CA108" s="104"/>
      <c r="CB108" s="104"/>
      <c r="CC108" s="104"/>
      <c r="CD108" s="104"/>
      <c r="CE108" s="104"/>
      <c r="CF108" s="104"/>
      <c r="CG108" s="104"/>
      <c r="CH108" s="104"/>
      <c r="CI108" s="104"/>
      <c r="CJ108" s="104"/>
      <c r="CK108" s="104"/>
      <c r="CL108" s="104"/>
      <c r="CM108" s="104"/>
      <c r="CN108" s="104"/>
      <c r="CO108" s="104"/>
      <c r="CP108" s="104"/>
      <c r="CQ108" s="104"/>
      <c r="CR108" s="104"/>
      <c r="CS108" s="104"/>
      <c r="CT108" s="104"/>
      <c r="CU108" s="104"/>
      <c r="CV108" s="104"/>
      <c r="CW108" s="104"/>
      <c r="CX108" s="104"/>
      <c r="CY108" s="104"/>
      <c r="CZ108" s="104"/>
      <c r="DA108" s="104"/>
      <c r="DB108" s="104"/>
      <c r="DC108" s="104"/>
      <c r="DD108" s="104"/>
      <c r="DE108" s="104"/>
      <c r="DF108" s="104"/>
      <c r="DG108" s="104"/>
      <c r="DH108" s="104"/>
      <c r="DI108" s="104"/>
      <c r="DJ108" s="104"/>
      <c r="DK108" s="104"/>
      <c r="DL108" s="104"/>
      <c r="DM108" s="104"/>
      <c r="DN108" s="104"/>
      <c r="DO108" s="104"/>
      <c r="DP108" s="104"/>
      <c r="DQ108" s="104"/>
      <c r="DR108" s="104"/>
      <c r="DS108" s="104"/>
      <c r="DT108" s="104"/>
      <c r="DU108" s="104"/>
      <c r="DV108" s="104"/>
      <c r="DW108" s="104"/>
      <c r="DX108" s="104"/>
      <c r="DY108" s="104"/>
      <c r="DZ108" s="104"/>
      <c r="EA108" s="104"/>
      <c r="EB108" s="104"/>
      <c r="EC108" s="104"/>
      <c r="ED108" s="104"/>
      <c r="EE108" s="104"/>
      <c r="EF108" s="104"/>
      <c r="EG108" s="104"/>
      <c r="EH108" s="104"/>
      <c r="EI108" s="104"/>
      <c r="EJ108" s="104"/>
      <c r="EK108" s="104"/>
      <c r="EL108" s="104"/>
      <c r="EM108" s="104"/>
      <c r="EN108" s="104"/>
      <c r="EO108" s="104"/>
      <c r="EP108" s="104"/>
      <c r="EQ108" s="104"/>
      <c r="ES108" s="98"/>
      <c r="ET108" s="98"/>
      <c r="EU108" s="98"/>
    </row>
    <row r="109" spans="7:151" ht="15.75">
      <c r="G109" s="101" t="s">
        <v>66</v>
      </c>
      <c r="H109" s="117"/>
      <c r="I109" s="95"/>
      <c r="J109" s="102"/>
      <c r="K109" s="102"/>
      <c r="L109" s="102"/>
      <c r="M109" s="102"/>
      <c r="N109" s="102">
        <f ca="1">SUM(O109:EQ109)</f>
        <v>2283532.5563877956</v>
      </c>
      <c r="O109" s="102">
        <f>IF(O10&lt;=Assumptions!$G$10,SUM(O98,O103:O105,O107),0)</f>
        <v>-875536.8</v>
      </c>
      <c r="P109" s="102">
        <f ca="1">IF(P10&lt;=Assumptions!$G$10,SUM(P98,P103:P105,P107),0)</f>
        <v>4642.5640434019642</v>
      </c>
      <c r="Q109" s="102">
        <f ca="1">IF(Q10&lt;=Assumptions!$G$10,SUM(Q98,Q103:Q105,Q107),0)</f>
        <v>-3624.8839565980334</v>
      </c>
      <c r="R109" s="102">
        <f ca="1">IF(R10&lt;=Assumptions!$G$10,SUM(R98,R103:R105,R107),0)</f>
        <v>-29194.675956598032</v>
      </c>
      <c r="S109" s="102">
        <f ca="1">IF(S10&lt;=Assumptions!$G$10,SUM(S98,S103:S105,S107),0)</f>
        <v>-40531.91595659803</v>
      </c>
      <c r="T109" s="102">
        <f ca="1">IF(T10&lt;=Assumptions!$G$10,SUM(T98,T103:T105,T107),0)</f>
        <v>-2150.1151788202551</v>
      </c>
      <c r="U109" s="102">
        <f ca="1">IF(U10&lt;=Assumptions!$G$10,SUM(U98,U103:U105,U107),0)</f>
        <v>1377.087932290855</v>
      </c>
      <c r="V109" s="102">
        <f ca="1">IF(V10&lt;=Assumptions!$G$10,SUM(V98,V103:V105,V107),0)</f>
        <v>5786.0918211797452</v>
      </c>
      <c r="W109" s="102">
        <f ca="1">IF(W10&lt;=Assumptions!$G$10,SUM(W98,W103:W105,W107),0)</f>
        <v>5786.0918211797452</v>
      </c>
      <c r="X109" s="102">
        <f ca="1">IF(X10&lt;=Assumptions!$G$10,SUM(X98,X103:X105,X107),0)</f>
        <v>5786.0918211797452</v>
      </c>
      <c r="Y109" s="102">
        <f ca="1">IF(Y10&lt;=Assumptions!$G$10,SUM(Y98,Y103:Y105,Y107),0)</f>
        <v>5786.0918211797452</v>
      </c>
      <c r="Z109" s="102">
        <f ca="1">IF(Z10&lt;=Assumptions!$G$10,SUM(Z98,Z103:Z105,Z107),0)</f>
        <v>5786.0918211797452</v>
      </c>
      <c r="AA109" s="102">
        <f ca="1">IF(AA10&lt;=Assumptions!$G$10,SUM(AA98,AA103:AA105,AA107),0)</f>
        <v>5786.0918211797452</v>
      </c>
      <c r="AB109" s="102">
        <f ca="1">IF(AB10&lt;=Assumptions!$G$10,SUM(AB98,AB103:AB105,AB107),0)</f>
        <v>-35886.951095554374</v>
      </c>
      <c r="AC109" s="102">
        <f ca="1">IF(AC10&lt;=Assumptions!$G$10,SUM(AC98,AC103:AC105,AC107),0)</f>
        <v>-39904.54137555437</v>
      </c>
      <c r="AD109" s="102">
        <f ca="1">IF(AD10&lt;=Assumptions!$G$10,SUM(AD98,AD103:AD105,AD107),0)</f>
        <v>-1279.5413755543723</v>
      </c>
      <c r="AE109" s="102">
        <f ca="1">IF(AE10&lt;=Assumptions!$G$10,SUM(AE98,AE103:AE105,AE107),0)</f>
        <v>-39290.630000398822</v>
      </c>
      <c r="AF109" s="102">
        <f ca="1">IF(AF10&lt;=Assumptions!$G$10,SUM(AF98,AF103:AF105,AF107),0)</f>
        <v>3965.8716547567365</v>
      </c>
      <c r="AG109" s="102">
        <f ca="1">IF(AG10&lt;=Assumptions!$G$10,SUM(AG98,AG103:AG105,AG107),0)</f>
        <v>3965.8716547567365</v>
      </c>
      <c r="AH109" s="102">
        <f ca="1">IF(AH10&lt;=Assumptions!$G$10,SUM(AH98,AH103:AH105,AH107),0)</f>
        <v>8597.3733099122928</v>
      </c>
      <c r="AI109" s="102">
        <f ca="1">IF(AI10&lt;=Assumptions!$G$10,SUM(AI98,AI103:AI105,AI107),0)</f>
        <v>8597.3733099122928</v>
      </c>
      <c r="AJ109" s="102">
        <f ca="1">IF(AJ10&lt;=Assumptions!$G$10,SUM(AJ98,AJ103:AJ105,AJ107),0)</f>
        <v>8597.3733099122928</v>
      </c>
      <c r="AK109" s="102">
        <f ca="1">IF(AK10&lt;=Assumptions!$G$10,SUM(AK98,AK103:AK105,AK107),0)</f>
        <v>8597.3733099122928</v>
      </c>
      <c r="AL109" s="102">
        <f ca="1">IF(AL10&lt;=Assumptions!$G$10,SUM(AL98,AL103:AL105,AL107),0)</f>
        <v>8597.3733099122928</v>
      </c>
      <c r="AM109" s="102">
        <f ca="1">IF(AM10&lt;=Assumptions!$G$10,SUM(AM98,AM103:AM105,AM107),0)</f>
        <v>8597.3733099122928</v>
      </c>
      <c r="AN109" s="102">
        <f ca="1">IF(AN10&lt;=Assumptions!$G$10,SUM(AN98,AN103:AN105,AN107),0)</f>
        <v>9655.2652345410588</v>
      </c>
      <c r="AO109" s="102">
        <f ca="1">IF(AO10&lt;=Assumptions!$G$10,SUM(AO98,AO103:AO105,AO107),0)</f>
        <v>9655.2652345410588</v>
      </c>
      <c r="AP109" s="102">
        <f ca="1">IF(AP10&lt;=Assumptions!$G$10,SUM(AP98,AP103:AP105,AP107),0)</f>
        <v>9655.2652345410588</v>
      </c>
      <c r="AQ109" s="102">
        <f ca="1">IF(AQ10&lt;=Assumptions!$G$10,SUM(AQ98,AQ103:AQ105,AQ107),0)</f>
        <v>-25536.868383986941</v>
      </c>
      <c r="AR109" s="102">
        <f ca="1">IF(AR10&lt;=Assumptions!$G$10,SUM(AR98,AR103:AR105,AR107),0)</f>
        <v>6290.1316160130573</v>
      </c>
      <c r="AS109" s="102">
        <f ca="1">IF(AS10&lt;=Assumptions!$G$10,SUM(AS98,AS103:AS105,AS107),0)</f>
        <v>-2507.9017886189395</v>
      </c>
      <c r="AT109" s="102">
        <f ca="1">IF(AT10&lt;=Assumptions!$G$10,SUM(AT98,AT103:AT105,AT107),0)</f>
        <v>9326.8413307837927</v>
      </c>
      <c r="AU109" s="102">
        <f ca="1">IF(AU10&lt;=Assumptions!$G$10,SUM(AU98,AU103:AU105,AU107),0)</f>
        <v>9326.8413307837927</v>
      </c>
      <c r="AV109" s="102">
        <f ca="1">IF(AV10&lt;=Assumptions!$G$10,SUM(AV98,AV103:AV105,AV107),0)</f>
        <v>10296.339610634483</v>
      </c>
      <c r="AW109" s="102">
        <f ca="1">IF(AW10&lt;=Assumptions!$G$10,SUM(AW98,AW103:AW105,AW107),0)</f>
        <v>10296.339610634483</v>
      </c>
      <c r="AX109" s="102">
        <f ca="1">IF(AX10&lt;=Assumptions!$G$10,SUM(AX98,AX103:AX105,AX107),0)</f>
        <v>10296.339610634483</v>
      </c>
      <c r="AY109" s="102">
        <f ca="1">IF(AY10&lt;=Assumptions!$G$10,SUM(AY98,AY103:AY105,AY107),0)</f>
        <v>10296.339610634483</v>
      </c>
      <c r="AZ109" s="102">
        <f ca="1">IF(AZ10&lt;=Assumptions!$G$10,SUM(AZ98,AZ103:AZ105,AZ107),0)</f>
        <v>11033.522080093147</v>
      </c>
      <c r="BA109" s="102">
        <f ca="1">IF(BA10&lt;=Assumptions!$G$10,SUM(BA98,BA103:BA105,BA107),0)</f>
        <v>11033.522080093147</v>
      </c>
      <c r="BB109" s="102">
        <f ca="1">IF(BB10&lt;=Assumptions!$G$10,SUM(BB98,BB103:BB105,BB107),0)</f>
        <v>11033.522080093147</v>
      </c>
      <c r="BC109" s="102">
        <f ca="1">IF(BC10&lt;=Assumptions!$G$10,SUM(BC98,BC103:BC105,BC107),0)</f>
        <v>11033.522080093147</v>
      </c>
      <c r="BD109" s="102">
        <f ca="1">IF(BD10&lt;=Assumptions!$G$10,SUM(BD98,BD103:BD105,BD107),0)</f>
        <v>11033.522080093147</v>
      </c>
      <c r="BE109" s="102">
        <f ca="1">IF(BE10&lt;=Assumptions!$G$10,SUM(BE98,BE103:BE105,BE107),0)</f>
        <v>11033.522080093147</v>
      </c>
      <c r="BF109" s="102">
        <f ca="1">IF(BF10&lt;=Assumptions!$G$10,SUM(BF98,BF103:BF105,BF107),0)</f>
        <v>11033.522080093147</v>
      </c>
      <c r="BG109" s="102">
        <f ca="1">IF(BG10&lt;=Assumptions!$G$10,SUM(BG98,BG103:BG105,BG107),0)</f>
        <v>11033.522080093147</v>
      </c>
      <c r="BH109" s="102">
        <f ca="1">IF(BH10&lt;=Assumptions!$G$10,SUM(BH98,BH103:BH105,BH107),0)</f>
        <v>11033.522080093147</v>
      </c>
      <c r="BI109" s="102">
        <f ca="1">IF(BI10&lt;=Assumptions!$G$10,SUM(BI98,BI103:BI105,BI107),0)</f>
        <v>11033.522080093147</v>
      </c>
      <c r="BJ109" s="102">
        <f ca="1">IF(BJ10&lt;=Assumptions!$G$10,SUM(BJ98,BJ103:BJ105,BJ107),0)</f>
        <v>11033.522080093147</v>
      </c>
      <c r="BK109" s="102">
        <f ca="1">IF(BK10&lt;=Assumptions!$G$10,SUM(BK98,BK103:BK105,BK107),0)</f>
        <v>834819.96513501927</v>
      </c>
      <c r="BL109" s="102">
        <f ca="1">IF(BL10&lt;=Assumptions!$G$10,SUM(BL98,BL103:BL105,BL107),0)</f>
        <v>7098.3504345483216</v>
      </c>
      <c r="BM109" s="102">
        <f ca="1">IF(BM10&lt;=Assumptions!$G$10,SUM(BM98,BM103:BM105,BM107),0)</f>
        <v>7098.3504345483216</v>
      </c>
      <c r="BN109" s="102">
        <f ca="1">IF(BN10&lt;=Assumptions!$G$10,SUM(BN98,BN103:BN105,BN107),0)</f>
        <v>7098.3504345483216</v>
      </c>
      <c r="BO109" s="102">
        <f ca="1">IF(BO10&lt;=Assumptions!$G$10,SUM(BO98,BO103:BO105,BO107),0)</f>
        <v>7098.3504345483216</v>
      </c>
      <c r="BP109" s="102">
        <f ca="1">IF(BP10&lt;=Assumptions!$G$10,SUM(BP98,BP103:BP105,BP107),0)</f>
        <v>7098.3504345483216</v>
      </c>
      <c r="BQ109" s="102">
        <f ca="1">IF(BQ10&lt;=Assumptions!$G$10,SUM(BQ98,BQ103:BQ105,BQ107),0)</f>
        <v>7098.3504345483216</v>
      </c>
      <c r="BR109" s="102">
        <f ca="1">IF(BR10&lt;=Assumptions!$G$10,SUM(BR98,BR103:BR105,BR107),0)</f>
        <v>7098.3504345483216</v>
      </c>
      <c r="BS109" s="102">
        <f ca="1">IF(BS10&lt;=Assumptions!$G$10,SUM(BS98,BS103:BS105,BS107),0)</f>
        <v>7098.3504345483216</v>
      </c>
      <c r="BT109" s="102">
        <f ca="1">IF(BT10&lt;=Assumptions!$G$10,SUM(BT98,BT103:BT105,BT107),0)</f>
        <v>7098.3504345483216</v>
      </c>
      <c r="BU109" s="102">
        <f ca="1">IF(BU10&lt;=Assumptions!$G$10,SUM(BU98,BU103:BU105,BU107),0)</f>
        <v>7098.3504345483216</v>
      </c>
      <c r="BV109" s="102">
        <f ca="1">IF(BV10&lt;=Assumptions!$G$10,SUM(BV98,BV103:BV105,BV107),0)</f>
        <v>7098.3504345483216</v>
      </c>
      <c r="BW109" s="102">
        <f ca="1">IF(BW10&lt;=Assumptions!$G$10,SUM(BW98,BW103:BW105,BW107),0)</f>
        <v>7098.3504345483216</v>
      </c>
      <c r="BX109" s="102">
        <f ca="1">IF(BX10&lt;=Assumptions!$G$10,SUM(BX98,BX103:BX105,BX107),0)</f>
        <v>7788.9495907402943</v>
      </c>
      <c r="BY109" s="102">
        <f ca="1">IF(BY10&lt;=Assumptions!$G$10,SUM(BY98,BY103:BY105,BY107),0)</f>
        <v>7788.9495907402943</v>
      </c>
      <c r="BZ109" s="102">
        <f ca="1">IF(BZ10&lt;=Assumptions!$G$10,SUM(BZ98,BZ103:BZ105,BZ107),0)</f>
        <v>7788.9495907402943</v>
      </c>
      <c r="CA109" s="102">
        <f ca="1">IF(CA10&lt;=Assumptions!$G$10,SUM(CA98,CA103:CA105,CA107),0)</f>
        <v>7788.9495907402943</v>
      </c>
      <c r="CB109" s="102">
        <f ca="1">IF(CB10&lt;=Assumptions!$G$10,SUM(CB98,CB103:CB105,CB107),0)</f>
        <v>7788.9495907402943</v>
      </c>
      <c r="CC109" s="102">
        <f ca="1">IF(CC10&lt;=Assumptions!$G$10,SUM(CC98,CC103:CC105,CC107),0)</f>
        <v>7788.9495907402943</v>
      </c>
      <c r="CD109" s="102">
        <f ca="1">IF(CD10&lt;=Assumptions!$G$10,SUM(CD98,CD103:CD105,CD107),0)</f>
        <v>7788.9495907402943</v>
      </c>
      <c r="CE109" s="102">
        <f ca="1">IF(CE10&lt;=Assumptions!$G$10,SUM(CE98,CE103:CE105,CE107),0)</f>
        <v>7788.9495907402943</v>
      </c>
      <c r="CF109" s="102">
        <f ca="1">IF(CF10&lt;=Assumptions!$G$10,SUM(CF98,CF103:CF105,CF107),0)</f>
        <v>7788.9495907402943</v>
      </c>
      <c r="CG109" s="102">
        <f ca="1">IF(CG10&lt;=Assumptions!$G$10,SUM(CG98,CG103:CG105,CG107),0)</f>
        <v>7788.9495907402943</v>
      </c>
      <c r="CH109" s="102">
        <f ca="1">IF(CH10&lt;=Assumptions!$G$10,SUM(CH98,CH103:CH105,CH107),0)</f>
        <v>7788.9495907402943</v>
      </c>
      <c r="CI109" s="102">
        <f ca="1">IF(CI10&lt;=Assumptions!$G$10,SUM(CI98,CI103:CI105,CI107),0)</f>
        <v>7788.9495907402943</v>
      </c>
      <c r="CJ109" s="102">
        <f ca="1">IF(CJ10&lt;=Assumptions!$G$10,SUM(CJ98,CJ103:CJ105,CJ107),0)</f>
        <v>8500.2667216180289</v>
      </c>
      <c r="CK109" s="102">
        <f ca="1">IF(CK10&lt;=Assumptions!$G$10,SUM(CK98,CK103:CK105,CK107),0)</f>
        <v>8500.2667216180289</v>
      </c>
      <c r="CL109" s="102">
        <f ca="1">IF(CL10&lt;=Assumptions!$G$10,SUM(CL98,CL103:CL105,CL107),0)</f>
        <v>8500.2667216180289</v>
      </c>
      <c r="CM109" s="102">
        <f ca="1">IF(CM10&lt;=Assumptions!$G$10,SUM(CM98,CM103:CM105,CM107),0)</f>
        <v>8500.2667216180289</v>
      </c>
      <c r="CN109" s="102">
        <f ca="1">IF(CN10&lt;=Assumptions!$G$10,SUM(CN98,CN103:CN105,CN107),0)</f>
        <v>8500.2667216180289</v>
      </c>
      <c r="CO109" s="102">
        <f ca="1">IF(CO10&lt;=Assumptions!$G$10,SUM(CO98,CO103:CO105,CO107),0)</f>
        <v>8500.2667216180289</v>
      </c>
      <c r="CP109" s="102">
        <f ca="1">IF(CP10&lt;=Assumptions!$G$10,SUM(CP98,CP103:CP105,CP107),0)</f>
        <v>8500.2667216180289</v>
      </c>
      <c r="CQ109" s="102">
        <f ca="1">IF(CQ10&lt;=Assumptions!$G$10,SUM(CQ98,CQ103:CQ105,CQ107),0)</f>
        <v>8500.2667216180289</v>
      </c>
      <c r="CR109" s="102">
        <f ca="1">IF(CR10&lt;=Assumptions!$G$10,SUM(CR98,CR103:CR105,CR107),0)</f>
        <v>8500.2667216180289</v>
      </c>
      <c r="CS109" s="102">
        <f ca="1">IF(CS10&lt;=Assumptions!$G$10,SUM(CS98,CS103:CS105,CS107),0)</f>
        <v>8500.2667216180289</v>
      </c>
      <c r="CT109" s="102">
        <f ca="1">IF(CT10&lt;=Assumptions!$G$10,SUM(CT98,CT103:CT105,CT107),0)</f>
        <v>8500.2667216180289</v>
      </c>
      <c r="CU109" s="102">
        <f ca="1">IF(CU10&lt;=Assumptions!$G$10,SUM(CU98,CU103:CU105,CU107),0)</f>
        <v>8500.2667216180289</v>
      </c>
      <c r="CV109" s="102">
        <f ca="1">IF(CV10&lt;=Assumptions!$G$10,SUM(CV98,CV103:CV105,CV107),0)</f>
        <v>9232.9233664220937</v>
      </c>
      <c r="CW109" s="102">
        <f ca="1">IF(CW10&lt;=Assumptions!$G$10,SUM(CW98,CW103:CW105,CW107),0)</f>
        <v>9232.9233664220937</v>
      </c>
      <c r="CX109" s="102">
        <f ca="1">IF(CX10&lt;=Assumptions!$G$10,SUM(CX98,CX103:CX105,CX107),0)</f>
        <v>9232.9233664220937</v>
      </c>
      <c r="CY109" s="102">
        <f ca="1">IF(CY10&lt;=Assumptions!$G$10,SUM(CY98,CY103:CY105,CY107),0)</f>
        <v>9232.9233664220937</v>
      </c>
      <c r="CZ109" s="102">
        <f ca="1">IF(CZ10&lt;=Assumptions!$G$10,SUM(CZ98,CZ103:CZ105,CZ107),0)</f>
        <v>9232.9233664220937</v>
      </c>
      <c r="DA109" s="102">
        <f ca="1">IF(DA10&lt;=Assumptions!$G$10,SUM(DA98,DA103:DA105,DA107),0)</f>
        <v>9232.9233664220937</v>
      </c>
      <c r="DB109" s="102">
        <f ca="1">IF(DB10&lt;=Assumptions!$G$10,SUM(DB98,DB103:DB105,DB107),0)</f>
        <v>9232.9233664220937</v>
      </c>
      <c r="DC109" s="102">
        <f ca="1">IF(DC10&lt;=Assumptions!$G$10,SUM(DC98,DC103:DC105,DC107),0)</f>
        <v>9232.9233664220937</v>
      </c>
      <c r="DD109" s="102">
        <f ca="1">IF(DD10&lt;=Assumptions!$G$10,SUM(DD98,DD103:DD105,DD107),0)</f>
        <v>9232.9233664220937</v>
      </c>
      <c r="DE109" s="102">
        <f ca="1">IF(DE10&lt;=Assumptions!$G$10,SUM(DE98,DE103:DE105,DE107),0)</f>
        <v>9232.9233664220937</v>
      </c>
      <c r="DF109" s="102">
        <f ca="1">IF(DF10&lt;=Assumptions!$G$10,SUM(DF98,DF103:DF105,DF107),0)</f>
        <v>9232.9233664220937</v>
      </c>
      <c r="DG109" s="102">
        <f ca="1">IF(DG10&lt;=Assumptions!$G$10,SUM(DG98,DG103:DG105,DG107),0)</f>
        <v>1845228.5609510117</v>
      </c>
      <c r="DH109" s="102">
        <f>IF(DH10&lt;=Assumptions!$G$10,SUM(DH98,DH103:DH105,DH107),0)</f>
        <v>0</v>
      </c>
      <c r="DI109" s="102">
        <f>IF(DI10&lt;=Assumptions!$G$10,SUM(DI98,DI103:DI105,DI107),0)</f>
        <v>0</v>
      </c>
      <c r="DJ109" s="102">
        <f>IF(DJ10&lt;=Assumptions!$G$10,SUM(DJ98,DJ103:DJ105,DJ107),0)</f>
        <v>0</v>
      </c>
      <c r="DK109" s="102">
        <f>IF(DK10&lt;=Assumptions!$G$10,SUM(DK98,DK103:DK105,DK107),0)</f>
        <v>0</v>
      </c>
      <c r="DL109" s="102">
        <f>IF(DL10&lt;=Assumptions!$G$10,SUM(DL98,DL103:DL105,DL107),0)</f>
        <v>0</v>
      </c>
      <c r="DM109" s="102">
        <f>IF(DM10&lt;=Assumptions!$G$10,SUM(DM98,DM103:DM105,DM107),0)</f>
        <v>0</v>
      </c>
      <c r="DN109" s="102">
        <f>IF(DN10&lt;=Assumptions!$G$10,SUM(DN98,DN103:DN105,DN107),0)</f>
        <v>0</v>
      </c>
      <c r="DO109" s="102">
        <f>IF(DO10&lt;=Assumptions!$G$10,SUM(DO98,DO103:DO105,DO107),0)</f>
        <v>0</v>
      </c>
      <c r="DP109" s="102">
        <f>IF(DP10&lt;=Assumptions!$G$10,SUM(DP98,DP103:DP105,DP107),0)</f>
        <v>0</v>
      </c>
      <c r="DQ109" s="102">
        <f>IF(DQ10&lt;=Assumptions!$G$10,SUM(DQ98,DQ103:DQ105,DQ107),0)</f>
        <v>0</v>
      </c>
      <c r="DR109" s="102">
        <f>IF(DR10&lt;=Assumptions!$G$10,SUM(DR98,DR103:DR105,DR107),0)</f>
        <v>0</v>
      </c>
      <c r="DS109" s="102">
        <f>IF(DS10&lt;=Assumptions!$G$10,SUM(DS98,DS103:DS105,DS107),0)</f>
        <v>0</v>
      </c>
      <c r="DT109" s="102">
        <f>IF(DT10&lt;=Assumptions!$G$10,SUM(DT98,DT103:DT105,DT107),0)</f>
        <v>0</v>
      </c>
      <c r="DU109" s="102">
        <f>IF(DU10&lt;=Assumptions!$G$10,SUM(DU98,DU103:DU105,DU107),0)</f>
        <v>0</v>
      </c>
      <c r="DV109" s="102">
        <f>IF(DV10&lt;=Assumptions!$G$10,SUM(DV98,DV103:DV105,DV107),0)</f>
        <v>0</v>
      </c>
      <c r="DW109" s="102">
        <f>IF(DW10&lt;=Assumptions!$G$10,SUM(DW98,DW103:DW105,DW107),0)</f>
        <v>0</v>
      </c>
      <c r="DX109" s="102">
        <f>IF(DX10&lt;=Assumptions!$G$10,SUM(DX98,DX103:DX105,DX107),0)</f>
        <v>0</v>
      </c>
      <c r="DY109" s="102">
        <f>IF(DY10&lt;=Assumptions!$G$10,SUM(DY98,DY103:DY105,DY107),0)</f>
        <v>0</v>
      </c>
      <c r="DZ109" s="102">
        <f>IF(DZ10&lt;=Assumptions!$G$10,SUM(DZ98,DZ103:DZ105,DZ107),0)</f>
        <v>0</v>
      </c>
      <c r="EA109" s="102">
        <f>IF(EA10&lt;=Assumptions!$G$10,SUM(EA98,EA103:EA105,EA107),0)</f>
        <v>0</v>
      </c>
      <c r="EB109" s="102">
        <f>IF(EB10&lt;=Assumptions!$G$10,SUM(EB98,EB103:EB105,EB107),0)</f>
        <v>0</v>
      </c>
      <c r="EC109" s="102">
        <f>IF(EC10&lt;=Assumptions!$G$10,SUM(EC98,EC103:EC105,EC107),0)</f>
        <v>0</v>
      </c>
      <c r="ED109" s="102">
        <f>IF(ED10&lt;=Assumptions!$G$10,SUM(ED98,ED103:ED105,ED107),0)</f>
        <v>0</v>
      </c>
      <c r="EE109" s="102">
        <f>IF(EE10&lt;=Assumptions!$G$10,SUM(EE98,EE103:EE105,EE107),0)</f>
        <v>0</v>
      </c>
      <c r="EF109" s="102">
        <f>IF(EF10&lt;=Assumptions!$G$10,SUM(EF98,EF103:EF105,EF107),0)</f>
        <v>0</v>
      </c>
      <c r="EG109" s="102">
        <f>IF(EG10&lt;=Assumptions!$G$10,SUM(EG98,EG103:EG105,EG107),0)</f>
        <v>0</v>
      </c>
      <c r="EH109" s="102">
        <f>IF(EH10&lt;=Assumptions!$G$10,SUM(EH98,EH103:EH105,EH107),0)</f>
        <v>0</v>
      </c>
      <c r="EI109" s="102">
        <f>IF(EI10&lt;=Assumptions!$G$10,SUM(EI98,EI103:EI105,EI107),0)</f>
        <v>0</v>
      </c>
      <c r="EJ109" s="102">
        <f>IF(EJ10&lt;=Assumptions!$G$10,SUM(EJ98,EJ103:EJ105,EJ107),0)</f>
        <v>0</v>
      </c>
      <c r="EK109" s="102">
        <f>IF(EK10&lt;=Assumptions!$G$10,SUM(EK98,EK103:EK105,EK107),0)</f>
        <v>0</v>
      </c>
      <c r="EL109" s="102">
        <f>IF(EL10&lt;=Assumptions!$G$10,SUM(EL98,EL103:EL105,EL107),0)</f>
        <v>0</v>
      </c>
      <c r="EM109" s="102">
        <f>IF(EM10&lt;=Assumptions!$G$10,SUM(EM98,EM103:EM105,EM107),0)</f>
        <v>0</v>
      </c>
      <c r="EN109" s="102">
        <f>IF(EN10&lt;=Assumptions!$G$10,SUM(EN98,EN103:EN105,EN107),0)</f>
        <v>0</v>
      </c>
      <c r="EO109" s="102">
        <f>IF(EO10&lt;=Assumptions!$G$10,SUM(EO98,EO103:EO105,EO107),0)</f>
        <v>0</v>
      </c>
      <c r="EP109" s="102">
        <f>IF(EP10&lt;=Assumptions!$G$10,SUM(EP98,EP103:EP105,EP107),0)</f>
        <v>0</v>
      </c>
      <c r="EQ109" s="102">
        <f>IF(EQ10&lt;=Assumptions!$G$10,SUM(EQ98,EQ103:EQ105,EQ107),0)</f>
        <v>0</v>
      </c>
      <c r="ES109" s="98"/>
      <c r="ET109" s="98"/>
      <c r="EU109" s="98"/>
    </row>
    <row r="110" spans="7:151" ht="16.5" thickBot="1">
      <c r="G110" s="101"/>
      <c r="H110" s="117"/>
      <c r="I110" s="95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2"/>
      <c r="BP110" s="102"/>
      <c r="BQ110" s="102"/>
      <c r="BR110" s="102"/>
      <c r="BS110" s="102"/>
      <c r="BT110" s="102"/>
      <c r="BU110" s="102"/>
      <c r="BV110" s="102"/>
      <c r="BW110" s="102"/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2"/>
      <c r="CL110" s="102"/>
      <c r="CM110" s="102"/>
      <c r="CN110" s="102"/>
      <c r="CO110" s="102"/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102"/>
      <c r="CZ110" s="102"/>
      <c r="DA110" s="102"/>
      <c r="DB110" s="102"/>
      <c r="DC110" s="102"/>
      <c r="DD110" s="102"/>
      <c r="DE110" s="102"/>
      <c r="DF110" s="102"/>
      <c r="DG110" s="102"/>
      <c r="DH110" s="102"/>
      <c r="DI110" s="102"/>
      <c r="DJ110" s="102"/>
      <c r="DK110" s="102"/>
      <c r="DL110" s="102"/>
      <c r="DM110" s="102"/>
      <c r="DN110" s="102"/>
      <c r="DO110" s="102"/>
      <c r="DP110" s="102"/>
      <c r="DQ110" s="102"/>
      <c r="DR110" s="102"/>
      <c r="DS110" s="102"/>
      <c r="DT110" s="102"/>
      <c r="DU110" s="102"/>
      <c r="DV110" s="102"/>
      <c r="DW110" s="102"/>
      <c r="DX110" s="102"/>
      <c r="DY110" s="102"/>
      <c r="DZ110" s="102"/>
      <c r="EA110" s="102"/>
      <c r="EB110" s="102"/>
      <c r="EC110" s="102"/>
      <c r="ED110" s="102"/>
      <c r="EE110" s="102"/>
      <c r="EF110" s="102"/>
      <c r="EG110" s="102"/>
      <c r="EH110" s="102"/>
      <c r="EI110" s="102"/>
      <c r="EJ110" s="102"/>
      <c r="EK110" s="102"/>
      <c r="EL110" s="102"/>
      <c r="EM110" s="102"/>
      <c r="EN110" s="102"/>
      <c r="EO110" s="102"/>
      <c r="EP110" s="102"/>
      <c r="EQ110" s="102"/>
      <c r="ES110" s="98"/>
      <c r="ET110" s="98"/>
      <c r="EU110" s="98"/>
    </row>
    <row r="111" spans="7:151" ht="16.5" thickBot="1">
      <c r="G111" s="369" t="s">
        <v>177</v>
      </c>
      <c r="H111" s="370"/>
      <c r="I111" s="435">
        <f ca="1">(IRR(O109:EQ109,0.2/12)+1)^12-1</f>
        <v>0.22187753804290966</v>
      </c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2"/>
      <c r="BS111" s="102"/>
      <c r="BT111" s="102"/>
      <c r="BU111" s="102"/>
      <c r="BV111" s="102"/>
      <c r="BW111" s="102"/>
      <c r="BX111" s="102"/>
      <c r="BY111" s="102"/>
      <c r="BZ111" s="102"/>
      <c r="CA111" s="102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2"/>
      <c r="CN111" s="102"/>
      <c r="CO111" s="102"/>
      <c r="CP111" s="102"/>
      <c r="CQ111" s="102"/>
      <c r="CR111" s="102"/>
      <c r="CS111" s="102"/>
      <c r="CT111" s="102"/>
      <c r="CU111" s="102"/>
      <c r="CV111" s="102"/>
      <c r="CW111" s="102"/>
      <c r="CX111" s="102"/>
      <c r="CY111" s="102"/>
      <c r="CZ111" s="102"/>
      <c r="DA111" s="102"/>
      <c r="DB111" s="102"/>
      <c r="DC111" s="102"/>
      <c r="DD111" s="102"/>
      <c r="DE111" s="102"/>
      <c r="DF111" s="102"/>
      <c r="DG111" s="102"/>
      <c r="DH111" s="102"/>
      <c r="DI111" s="102"/>
      <c r="DJ111" s="102"/>
      <c r="DK111" s="102"/>
      <c r="DL111" s="102"/>
      <c r="DM111" s="102"/>
      <c r="DN111" s="102"/>
      <c r="DO111" s="102"/>
      <c r="DP111" s="102"/>
      <c r="DQ111" s="102"/>
      <c r="DR111" s="102"/>
      <c r="DS111" s="102"/>
      <c r="DT111" s="102"/>
      <c r="DU111" s="102"/>
      <c r="DV111" s="102"/>
      <c r="DW111" s="102"/>
      <c r="DX111" s="102"/>
      <c r="DY111" s="102"/>
      <c r="DZ111" s="102"/>
      <c r="EA111" s="102"/>
      <c r="EB111" s="102"/>
      <c r="EC111" s="102"/>
      <c r="ED111" s="102"/>
      <c r="EE111" s="102"/>
      <c r="EF111" s="102"/>
      <c r="EG111" s="102"/>
      <c r="EH111" s="102"/>
      <c r="EI111" s="102"/>
      <c r="EJ111" s="102"/>
      <c r="EK111" s="102"/>
      <c r="EL111" s="102"/>
      <c r="EM111" s="102"/>
      <c r="EN111" s="102"/>
      <c r="EO111" s="102"/>
      <c r="EP111" s="102"/>
      <c r="EQ111" s="102"/>
      <c r="ES111" s="98"/>
      <c r="ET111" s="98"/>
      <c r="EU111" s="98"/>
    </row>
    <row r="112" spans="7:151" ht="15.75">
      <c r="G112" s="101"/>
      <c r="H112" s="117"/>
      <c r="I112" s="95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2"/>
      <c r="BS112" s="102"/>
      <c r="BT112" s="102"/>
      <c r="BU112" s="102"/>
      <c r="BV112" s="102"/>
      <c r="BW112" s="102"/>
      <c r="BX112" s="102"/>
      <c r="BY112" s="102"/>
      <c r="BZ112" s="102"/>
      <c r="CA112" s="102"/>
      <c r="CB112" s="102"/>
      <c r="CC112" s="102"/>
      <c r="CD112" s="102"/>
      <c r="CE112" s="102"/>
      <c r="CF112" s="102"/>
      <c r="CG112" s="102"/>
      <c r="CH112" s="102"/>
      <c r="CI112" s="102"/>
      <c r="CJ112" s="102"/>
      <c r="CK112" s="102"/>
      <c r="CL112" s="102"/>
      <c r="CM112" s="102"/>
      <c r="CN112" s="102"/>
      <c r="CO112" s="102"/>
      <c r="CP112" s="102"/>
      <c r="CQ112" s="102"/>
      <c r="CR112" s="102"/>
      <c r="CS112" s="102"/>
      <c r="CT112" s="102"/>
      <c r="CU112" s="102"/>
      <c r="CV112" s="102"/>
      <c r="CW112" s="102"/>
      <c r="CX112" s="102"/>
      <c r="CY112" s="102"/>
      <c r="CZ112" s="102"/>
      <c r="DA112" s="102"/>
      <c r="DB112" s="102"/>
      <c r="DC112" s="102"/>
      <c r="DD112" s="102"/>
      <c r="DE112" s="102"/>
      <c r="DF112" s="102"/>
      <c r="DG112" s="102"/>
      <c r="DH112" s="102"/>
      <c r="DI112" s="102"/>
      <c r="DJ112" s="102"/>
      <c r="DK112" s="102"/>
      <c r="DL112" s="102"/>
      <c r="DM112" s="102"/>
      <c r="DN112" s="102"/>
      <c r="DO112" s="102"/>
      <c r="DP112" s="102"/>
      <c r="DQ112" s="102"/>
      <c r="DR112" s="102"/>
      <c r="DS112" s="102"/>
      <c r="DT112" s="102"/>
      <c r="DU112" s="102"/>
      <c r="DV112" s="102"/>
      <c r="DW112" s="102"/>
      <c r="DX112" s="102"/>
      <c r="DY112" s="102"/>
      <c r="DZ112" s="102"/>
      <c r="EA112" s="102"/>
      <c r="EB112" s="102"/>
      <c r="EC112" s="102"/>
      <c r="ED112" s="102"/>
      <c r="EE112" s="102"/>
      <c r="EF112" s="102"/>
      <c r="EG112" s="102"/>
      <c r="EH112" s="102"/>
      <c r="EI112" s="102"/>
      <c r="EJ112" s="102"/>
      <c r="EK112" s="102"/>
      <c r="EL112" s="102"/>
      <c r="EM112" s="102"/>
      <c r="EN112" s="102"/>
      <c r="EO112" s="102"/>
      <c r="EP112" s="102"/>
      <c r="EQ112" s="102"/>
      <c r="ES112" s="98"/>
      <c r="ET112" s="98"/>
      <c r="EU112" s="98"/>
    </row>
    <row r="113" spans="7:151" ht="15.75">
      <c r="G113" s="145" t="s">
        <v>209</v>
      </c>
      <c r="H113" s="117"/>
      <c r="I113" s="95"/>
      <c r="J113" s="102"/>
      <c r="K113" s="102"/>
      <c r="L113" s="102"/>
      <c r="M113" s="102"/>
      <c r="N113" s="102"/>
      <c r="O113" s="181">
        <f>IF(O10&gt;Assumptions!$G$10,0,1)*O80*12/Assumptions!$P$37</f>
        <v>0</v>
      </c>
      <c r="P113" s="181">
        <f ca="1">IF(P10&gt;Assumptions!$G$10,0,1)*P80*12/Assumptions!$P$37</f>
        <v>6.7484108587221495E-2</v>
      </c>
      <c r="Q113" s="181">
        <f ca="1">IF(Q10&gt;Assumptions!$G$10,0,1)*Q80*12/Assumptions!$P$37</f>
        <v>6.4270729789055014E-2</v>
      </c>
      <c r="R113" s="181">
        <f ca="1">IF(R10&gt;Assumptions!$G$10,0,1)*R80*12/Assumptions!$P$37</f>
        <v>5.141721459638908E-2</v>
      </c>
      <c r="S113" s="4">
        <f ca="1">IF(S10&gt;Assumptions!$G$10,0,1)*S80*12/Assumptions!$P$37</f>
        <v>3.5350320605556672E-2</v>
      </c>
      <c r="T113" s="4">
        <f ca="1">IF(T10&gt;Assumptions!$G$10,0,1)*T80*12/Assumptions!$P$37</f>
        <v>3.9041696869240167E-2</v>
      </c>
      <c r="U113" s="4">
        <f ca="1">IF(U10&gt;Assumptions!$G$10,0,1)*U80*12/Assumptions!$P$37</f>
        <v>5.3807201923974181E-2</v>
      </c>
      <c r="V113" s="4">
        <f ca="1">IF(V10&gt;Assumptions!$G$10,0,1)*V80*12/Assumptions!$P$37</f>
        <v>7.2264083242391697E-2</v>
      </c>
      <c r="W113" s="4">
        <f ca="1">IF(W10&gt;Assumptions!$G$10,0,1)*W80*12/Assumptions!$P$37</f>
        <v>7.2264083242391697E-2</v>
      </c>
      <c r="X113" s="4">
        <f ca="1">IF(X10&gt;Assumptions!$G$10,0,1)*X80*12/Assumptions!$P$37</f>
        <v>7.2264083242391697E-2</v>
      </c>
      <c r="Y113" s="4">
        <f ca="1">IF(Y10&gt;Assumptions!$G$10,0,1)*Y80*12/Assumptions!$P$37</f>
        <v>7.2264083242391697E-2</v>
      </c>
      <c r="Z113" s="4">
        <f ca="1">IF(Z10&gt;Assumptions!$G$10,0,1)*Z80*12/Assumptions!$P$37</f>
        <v>7.2264083242391697E-2</v>
      </c>
      <c r="AA113" s="4">
        <f ca="1">IF(AA10&gt;Assumptions!$G$10,0,1)*AA80*12/Assumptions!$P$37</f>
        <v>7.2264083242391697E-2</v>
      </c>
      <c r="AB113" s="4">
        <f ca="1">IF(AB10&gt;Assumptions!$G$10,0,1)*AB80*12/Assumptions!$P$37</f>
        <v>5.9510455401475218E-2</v>
      </c>
      <c r="AC113" s="4">
        <f ca="1">IF(AC10&gt;Assumptions!$G$10,0,1)*AC80*12/Assumptions!$P$37</f>
        <v>4.2688417393073684E-2</v>
      </c>
      <c r="AD113" s="4">
        <f ca="1">IF(AD10&gt;Assumptions!$G$10,0,1)*AD80*12/Assumptions!$P$37</f>
        <v>4.2688417393073684E-2</v>
      </c>
      <c r="AE113" s="4">
        <f ca="1">IF(AE10&gt;Assumptions!$G$10,0,1)*AE80*12/Assumptions!$P$37</f>
        <v>4.5254759014186623E-2</v>
      </c>
      <c r="AF113" s="4">
        <f ca="1">IF(AF10&gt;Assumptions!$G$10,0,1)*AF80*12/Assumptions!$P$37</f>
        <v>6.4643138643701109E-2</v>
      </c>
      <c r="AG113" s="4">
        <f ca="1">IF(AG10&gt;Assumptions!$G$10,0,1)*AG80*12/Assumptions!$P$37</f>
        <v>6.4643138643701109E-2</v>
      </c>
      <c r="AH113" s="4">
        <f ca="1">IF(AH10&gt;Assumptions!$G$10,0,1)*AH80*12/Assumptions!$P$37</f>
        <v>8.4031518273215589E-2</v>
      </c>
      <c r="AI113" s="4">
        <f ca="1">IF(AI10&gt;Assumptions!$G$10,0,1)*AI80*12/Assumptions!$P$37</f>
        <v>8.4031518273215589E-2</v>
      </c>
      <c r="AJ113" s="4">
        <f ca="1">IF(AJ10&gt;Assumptions!$G$10,0,1)*AJ80*12/Assumptions!$P$37</f>
        <v>8.4031518273215589E-2</v>
      </c>
      <c r="AK113" s="4">
        <f ca="1">IF(AK10&gt;Assumptions!$G$10,0,1)*AK80*12/Assumptions!$P$37</f>
        <v>8.4031518273215589E-2</v>
      </c>
      <c r="AL113" s="4">
        <f ca="1">IF(AL10&gt;Assumptions!$G$10,0,1)*AL80*12/Assumptions!$P$37</f>
        <v>8.4031518273215589E-2</v>
      </c>
      <c r="AM113" s="4">
        <f ca="1">IF(AM10&gt;Assumptions!$G$10,0,1)*AM80*12/Assumptions!$P$37</f>
        <v>8.4031518273215589E-2</v>
      </c>
      <c r="AN113" s="4">
        <f ca="1">IF(AN10&gt;Assumptions!$G$10,0,1)*AN80*12/Assumptions!$P$37</f>
        <v>8.8469725488651466E-2</v>
      </c>
      <c r="AO113" s="4">
        <f ca="1">IF(AO10&gt;Assumptions!$G$10,0,1)*AO80*12/Assumptions!$P$37</f>
        <v>8.8469725488651466E-2</v>
      </c>
      <c r="AP113" s="4">
        <f ca="1">IF(AP10&gt;Assumptions!$G$10,0,1)*AP80*12/Assumptions!$P$37</f>
        <v>8.8469725488651466E-2</v>
      </c>
      <c r="AQ113" s="4">
        <f ca="1">IF(AQ10&gt;Assumptions!$G$10,0,1)*AQ80*12/Assumptions!$P$37</f>
        <v>7.4379586452814339E-2</v>
      </c>
      <c r="AR113" s="4">
        <f ca="1">IF(AR10&gt;Assumptions!$G$10,0,1)*AR80*12/Assumptions!$P$37</f>
        <v>7.4379586452814339E-2</v>
      </c>
      <c r="AS113" s="4">
        <f ca="1">IF(AS10&gt;Assumptions!$G$10,0,1)*AS80*12/Assumptions!$P$37</f>
        <v>7.0857051693855061E-2</v>
      </c>
      <c r="AT113" s="4">
        <f ca="1">IF(AT10&gt;Assumptions!$G$10,0,1)*AT80*12/Assumptions!$P$37</f>
        <v>8.7091151361995661E-2</v>
      </c>
      <c r="AU113" s="4">
        <f ca="1">IF(AU10&gt;Assumptions!$G$10,0,1)*AU80*12/Assumptions!$P$37</f>
        <v>8.7091151361995661E-2</v>
      </c>
      <c r="AV113" s="4">
        <f ca="1">IF(AV10&gt;Assumptions!$G$10,0,1)*AV80*12/Assumptions!$P$37</f>
        <v>9.1149676279030839E-2</v>
      </c>
      <c r="AW113" s="4">
        <f ca="1">IF(AW10&gt;Assumptions!$G$10,0,1)*AW80*12/Assumptions!$P$37</f>
        <v>9.1149676279030839E-2</v>
      </c>
      <c r="AX113" s="4">
        <f ca="1">IF(AX10&gt;Assumptions!$G$10,0,1)*AX80*12/Assumptions!$P$37</f>
        <v>9.1149676279030839E-2</v>
      </c>
      <c r="AY113" s="4">
        <f ca="1">IF(AY10&gt;Assumptions!$G$10,0,1)*AY80*12/Assumptions!$P$37</f>
        <v>9.1149676279030839E-2</v>
      </c>
      <c r="AZ113" s="4">
        <f ca="1">IF(AZ10&gt;Assumptions!$G$10,0,1)*AZ80*12/Assumptions!$P$37</f>
        <v>9.4245174739549201E-2</v>
      </c>
      <c r="BA113" s="4">
        <f ca="1">IF(BA10&gt;Assumptions!$G$10,0,1)*BA80*12/Assumptions!$P$37</f>
        <v>9.4245174739549201E-2</v>
      </c>
      <c r="BB113" s="4">
        <f ca="1">IF(BB10&gt;Assumptions!$G$10,0,1)*BB80*12/Assumptions!$P$37</f>
        <v>9.4245174739549201E-2</v>
      </c>
      <c r="BC113" s="4">
        <f ca="1">IF(BC10&gt;Assumptions!$G$10,0,1)*BC80*12/Assumptions!$P$37</f>
        <v>9.4245174739549201E-2</v>
      </c>
      <c r="BD113" s="4">
        <f ca="1">IF(BD10&gt;Assumptions!$G$10,0,1)*BD80*12/Assumptions!$P$37</f>
        <v>9.4245174739549201E-2</v>
      </c>
      <c r="BE113" s="4">
        <f ca="1">IF(BE10&gt;Assumptions!$G$10,0,1)*BE80*12/Assumptions!$P$37</f>
        <v>9.4245174739549201E-2</v>
      </c>
      <c r="BF113" s="4">
        <f ca="1">IF(BF10&gt;Assumptions!$G$10,0,1)*BF80*12/Assumptions!$P$37</f>
        <v>9.4245174739549201E-2</v>
      </c>
      <c r="BG113" s="4">
        <f ca="1">IF(BG10&gt;Assumptions!$G$10,0,1)*BG80*12/Assumptions!$P$37</f>
        <v>9.4245174739549201E-2</v>
      </c>
      <c r="BH113" s="4">
        <f ca="1">IF(BH10&gt;Assumptions!$G$10,0,1)*BH80*12/Assumptions!$P$37</f>
        <v>9.4245174739549201E-2</v>
      </c>
      <c r="BI113" s="4">
        <f ca="1">IF(BI10&gt;Assumptions!$G$10,0,1)*BI80*12/Assumptions!$P$37</f>
        <v>9.4245174739549201E-2</v>
      </c>
      <c r="BJ113" s="4">
        <f ca="1">IF(BJ10&gt;Assumptions!$G$10,0,1)*BJ80*12/Assumptions!$P$37</f>
        <v>9.4245174739549201E-2</v>
      </c>
      <c r="BK113" s="4">
        <f ca="1">IF(BK10&gt;Assumptions!$G$10,0,1)*BK80*12/Assumptions!$P$37</f>
        <v>9.4245174739549201E-2</v>
      </c>
      <c r="BL113" s="4">
        <f ca="1">IF(BL10&gt;Assumptions!$G$10,0,1)*BL80*12/Assumptions!$P$37</f>
        <v>9.6699608539907306E-2</v>
      </c>
      <c r="BM113" s="4">
        <f ca="1">IF(BM10&gt;Assumptions!$G$10,0,1)*BM80*12/Assumptions!$P$37</f>
        <v>9.6699608539907306E-2</v>
      </c>
      <c r="BN113" s="4">
        <f ca="1">IF(BN10&gt;Assumptions!$G$10,0,1)*BN80*12/Assumptions!$P$37</f>
        <v>9.6699608539907306E-2</v>
      </c>
      <c r="BO113" s="4">
        <f ca="1">IF(BO10&gt;Assumptions!$G$10,0,1)*BO80*12/Assumptions!$P$37</f>
        <v>9.6699608539907306E-2</v>
      </c>
      <c r="BP113" s="4">
        <f ca="1">IF(BP10&gt;Assumptions!$G$10,0,1)*BP80*12/Assumptions!$P$37</f>
        <v>9.6699608539907306E-2</v>
      </c>
      <c r="BQ113" s="4">
        <f ca="1">IF(BQ10&gt;Assumptions!$G$10,0,1)*BQ80*12/Assumptions!$P$37</f>
        <v>9.6699608539907306E-2</v>
      </c>
      <c r="BR113" s="4">
        <f ca="1">IF(BR10&gt;Assumptions!$G$10,0,1)*BR80*12/Assumptions!$P$37</f>
        <v>9.6699608539907306E-2</v>
      </c>
      <c r="BS113" s="4">
        <f ca="1">IF(BS10&gt;Assumptions!$G$10,0,1)*BS80*12/Assumptions!$P$37</f>
        <v>9.6699608539907306E-2</v>
      </c>
      <c r="BT113" s="4">
        <f ca="1">IF(BT10&gt;Assumptions!$G$10,0,1)*BT80*12/Assumptions!$P$37</f>
        <v>9.6699608539907306E-2</v>
      </c>
      <c r="BU113" s="4">
        <f ca="1">IF(BU10&gt;Assumptions!$G$10,0,1)*BU80*12/Assumptions!$P$37</f>
        <v>9.6699608539907306E-2</v>
      </c>
      <c r="BV113" s="4">
        <f ca="1">IF(BV10&gt;Assumptions!$G$10,0,1)*BV80*12/Assumptions!$P$37</f>
        <v>9.6699608539907306E-2</v>
      </c>
      <c r="BW113" s="4">
        <f ca="1">IF(BW10&gt;Assumptions!$G$10,0,1)*BW80*12/Assumptions!$P$37</f>
        <v>9.6699608539907306E-2</v>
      </c>
      <c r="BX113" s="4">
        <f ca="1">IF(BX10&gt;Assumptions!$G$10,0,1)*BX80*12/Assumptions!$P$37</f>
        <v>9.9600596796104529E-2</v>
      </c>
      <c r="BY113" s="4">
        <f ca="1">IF(BY10&gt;Assumptions!$G$10,0,1)*BY80*12/Assumptions!$P$37</f>
        <v>9.9600596796104529E-2</v>
      </c>
      <c r="BZ113" s="4">
        <f ca="1">IF(BZ10&gt;Assumptions!$G$10,0,1)*BZ80*12/Assumptions!$P$37</f>
        <v>9.9600596796104529E-2</v>
      </c>
      <c r="CA113" s="4">
        <f ca="1">IF(CA10&gt;Assumptions!$G$10,0,1)*CA80*12/Assumptions!$P$37</f>
        <v>9.9600596796104529E-2</v>
      </c>
      <c r="CB113" s="4">
        <f ca="1">IF(CB10&gt;Assumptions!$G$10,0,1)*CB80*12/Assumptions!$P$37</f>
        <v>9.9600596796104529E-2</v>
      </c>
      <c r="CC113" s="4">
        <f ca="1">IF(CC10&gt;Assumptions!$G$10,0,1)*CC80*12/Assumptions!$P$37</f>
        <v>9.9600596796104529E-2</v>
      </c>
      <c r="CD113" s="4">
        <f ca="1">IF(CD10&gt;Assumptions!$G$10,0,1)*CD80*12/Assumptions!$P$37</f>
        <v>9.9600596796104529E-2</v>
      </c>
      <c r="CE113" s="4">
        <f ca="1">IF(CE10&gt;Assumptions!$G$10,0,1)*CE80*12/Assumptions!$P$37</f>
        <v>9.9600596796104529E-2</v>
      </c>
      <c r="CF113" s="4">
        <f ca="1">IF(CF10&gt;Assumptions!$G$10,0,1)*CF80*12/Assumptions!$P$37</f>
        <v>9.9600596796104529E-2</v>
      </c>
      <c r="CG113" s="4">
        <f ca="1">IF(CG10&gt;Assumptions!$G$10,0,1)*CG80*12/Assumptions!$P$37</f>
        <v>9.9600596796104529E-2</v>
      </c>
      <c r="CH113" s="4">
        <f ca="1">IF(CH10&gt;Assumptions!$G$10,0,1)*CH80*12/Assumptions!$P$37</f>
        <v>9.9600596796104529E-2</v>
      </c>
      <c r="CI113" s="4">
        <f ca="1">IF(CI10&gt;Assumptions!$G$10,0,1)*CI80*12/Assumptions!$P$37</f>
        <v>9.9600596796104529E-2</v>
      </c>
      <c r="CJ113" s="4">
        <f ca="1">IF(CJ10&gt;Assumptions!$G$10,0,1)*CJ80*12/Assumptions!$P$37</f>
        <v>0.10258861469998769</v>
      </c>
      <c r="CK113" s="4">
        <f ca="1">IF(CK10&gt;Assumptions!$G$10,0,1)*CK80*12/Assumptions!$P$37</f>
        <v>0.10258861469998769</v>
      </c>
      <c r="CL113" s="4">
        <f ca="1">IF(CL10&gt;Assumptions!$G$10,0,1)*CL80*12/Assumptions!$P$37</f>
        <v>0.10258861469998769</v>
      </c>
      <c r="CM113" s="4">
        <f ca="1">IF(CM10&gt;Assumptions!$G$10,0,1)*CM80*12/Assumptions!$P$37</f>
        <v>0.10258861469998769</v>
      </c>
      <c r="CN113" s="4">
        <f ca="1">IF(CN10&gt;Assumptions!$G$10,0,1)*CN80*12/Assumptions!$P$37</f>
        <v>0.10258861469998769</v>
      </c>
      <c r="CO113" s="4">
        <f ca="1">IF(CO10&gt;Assumptions!$G$10,0,1)*CO80*12/Assumptions!$P$37</f>
        <v>0.10258861469998769</v>
      </c>
      <c r="CP113" s="4">
        <f ca="1">IF(CP10&gt;Assumptions!$G$10,0,1)*CP80*12/Assumptions!$P$37</f>
        <v>0.10258861469998769</v>
      </c>
      <c r="CQ113" s="4">
        <f ca="1">IF(CQ10&gt;Assumptions!$G$10,0,1)*CQ80*12/Assumptions!$P$37</f>
        <v>0.10258861469998769</v>
      </c>
      <c r="CR113" s="4">
        <f ca="1">IF(CR10&gt;Assumptions!$G$10,0,1)*CR80*12/Assumptions!$P$37</f>
        <v>0.10258861469998769</v>
      </c>
      <c r="CS113" s="4">
        <f ca="1">IF(CS10&gt;Assumptions!$G$10,0,1)*CS80*12/Assumptions!$P$37</f>
        <v>0.10258861469998769</v>
      </c>
      <c r="CT113" s="4">
        <f ca="1">IF(CT10&gt;Assumptions!$G$10,0,1)*CT80*12/Assumptions!$P$37</f>
        <v>0.10258861469998769</v>
      </c>
      <c r="CU113" s="4">
        <f ca="1">IF(CU10&gt;Assumptions!$G$10,0,1)*CU80*12/Assumptions!$P$37</f>
        <v>0.10258861469998769</v>
      </c>
      <c r="CV113" s="4">
        <f ca="1">IF(CV10&gt;Assumptions!$G$10,0,1)*CV80*12/Assumptions!$P$37</f>
        <v>0.10566627314098732</v>
      </c>
      <c r="CW113" s="4">
        <f ca="1">IF(CW10&gt;Assumptions!$G$10,0,1)*CW80*12/Assumptions!$P$37</f>
        <v>0.10566627314098732</v>
      </c>
      <c r="CX113" s="4">
        <f ca="1">IF(CX10&gt;Assumptions!$G$10,0,1)*CX80*12/Assumptions!$P$37</f>
        <v>0.10566627314098732</v>
      </c>
      <c r="CY113" s="4">
        <f ca="1">IF(CY10&gt;Assumptions!$G$10,0,1)*CY80*12/Assumptions!$P$37</f>
        <v>0.10566627314098732</v>
      </c>
      <c r="CZ113" s="4">
        <f ca="1">IF(CZ10&gt;Assumptions!$G$10,0,1)*CZ80*12/Assumptions!$P$37</f>
        <v>0.10566627314098732</v>
      </c>
      <c r="DA113" s="4">
        <f ca="1">IF(DA10&gt;Assumptions!$G$10,0,1)*DA80*12/Assumptions!$P$37</f>
        <v>0.10566627314098732</v>
      </c>
      <c r="DB113" s="4">
        <f ca="1">IF(DB10&gt;Assumptions!$G$10,0,1)*DB80*12/Assumptions!$P$37</f>
        <v>0.10566627314098732</v>
      </c>
      <c r="DC113" s="4">
        <f ca="1">IF(DC10&gt;Assumptions!$G$10,0,1)*DC80*12/Assumptions!$P$37</f>
        <v>0.10566627314098732</v>
      </c>
      <c r="DD113" s="4">
        <f ca="1">IF(DD10&gt;Assumptions!$G$10,0,1)*DD80*12/Assumptions!$P$37</f>
        <v>0.10566627314098732</v>
      </c>
      <c r="DE113" s="4">
        <f ca="1">IF(DE10&gt;Assumptions!$G$10,0,1)*DE80*12/Assumptions!$P$37</f>
        <v>0.10566627314098732</v>
      </c>
      <c r="DF113" s="4">
        <f ca="1">IF(DF10&gt;Assumptions!$G$10,0,1)*DF80*12/Assumptions!$P$37</f>
        <v>0.10566627314098732</v>
      </c>
      <c r="DG113" s="4">
        <f ca="1">IF(DG10&gt;Assumptions!$G$10,0,1)*DG80*12/Assumptions!$P$37</f>
        <v>0.10566627314098732</v>
      </c>
      <c r="DH113" s="4">
        <f ca="1">IF(DH10&gt;Assumptions!$G$10,0,1)*DH80*12/Assumptions!$P$37</f>
        <v>0</v>
      </c>
      <c r="DI113" s="4">
        <f ca="1">IF(DI10&gt;Assumptions!$G$10,0,1)*DI80*12/Assumptions!$P$37</f>
        <v>0</v>
      </c>
      <c r="DJ113" s="4">
        <f ca="1">IF(DJ10&gt;Assumptions!$G$10,0,1)*DJ80*12/Assumptions!$P$37</f>
        <v>0</v>
      </c>
      <c r="DK113" s="4">
        <f ca="1">IF(DK10&gt;Assumptions!$G$10,0,1)*DK80*12/Assumptions!$P$37</f>
        <v>0</v>
      </c>
      <c r="DL113" s="4">
        <f ca="1">IF(DL10&gt;Assumptions!$G$10,0,1)*DL80*12/Assumptions!$P$37</f>
        <v>0</v>
      </c>
      <c r="DM113" s="4">
        <f ca="1">IF(DM10&gt;Assumptions!$G$10,0,1)*DM80*12/Assumptions!$P$37</f>
        <v>0</v>
      </c>
      <c r="DN113" s="4">
        <f ca="1">IF(DN10&gt;Assumptions!$G$10,0,1)*DN80*12/Assumptions!$P$37</f>
        <v>0</v>
      </c>
      <c r="DO113" s="4">
        <f ca="1">IF(DO10&gt;Assumptions!$G$10,0,1)*DO80*12/Assumptions!$P$37</f>
        <v>0</v>
      </c>
      <c r="DP113" s="4">
        <f ca="1">IF(DP10&gt;Assumptions!$G$10,0,1)*DP80*12/Assumptions!$P$37</f>
        <v>0</v>
      </c>
      <c r="DQ113" s="4">
        <f ca="1">IF(DQ10&gt;Assumptions!$G$10,0,1)*DQ80*12/Assumptions!$P$37</f>
        <v>0</v>
      </c>
      <c r="DR113" s="4">
        <f ca="1">IF(DR10&gt;Assumptions!$G$10,0,1)*DR80*12/Assumptions!$P$37</f>
        <v>0</v>
      </c>
      <c r="DS113" s="4">
        <f ca="1">IF(DS10&gt;Assumptions!$G$10,0,1)*DS80*12/Assumptions!$P$37</f>
        <v>0</v>
      </c>
      <c r="DT113" s="4">
        <f ca="1">IF(DT10&gt;Assumptions!$G$10,0,1)*DT80*12/Assumptions!$P$37</f>
        <v>0</v>
      </c>
      <c r="DU113" s="4">
        <f ca="1">IF(DU10&gt;Assumptions!$G$10,0,1)*DU80*12/Assumptions!$P$37</f>
        <v>0</v>
      </c>
      <c r="DV113" s="4">
        <f ca="1">IF(DV10&gt;Assumptions!$G$10,0,1)*DV80*12/Assumptions!$P$37</f>
        <v>0</v>
      </c>
      <c r="DW113" s="4">
        <f ca="1">IF(DW10&gt;Assumptions!$G$10,0,1)*DW80*12/Assumptions!$P$37</f>
        <v>0</v>
      </c>
      <c r="DX113" s="4">
        <f ca="1">IF(DX10&gt;Assumptions!$G$10,0,1)*DX80*12/Assumptions!$P$37</f>
        <v>0</v>
      </c>
      <c r="DY113" s="4">
        <f ca="1">IF(DY10&gt;Assumptions!$G$10,0,1)*DY80*12/Assumptions!$P$37</f>
        <v>0</v>
      </c>
      <c r="DZ113" s="4">
        <f ca="1">IF(DZ10&gt;Assumptions!$G$10,0,1)*DZ80*12/Assumptions!$P$37</f>
        <v>0</v>
      </c>
      <c r="EA113" s="4">
        <f ca="1">IF(EA10&gt;Assumptions!$G$10,0,1)*EA80*12/Assumptions!$P$37</f>
        <v>0</v>
      </c>
      <c r="EB113" s="4">
        <f ca="1">IF(EB10&gt;Assumptions!$G$10,0,1)*EB80*12/Assumptions!$P$37</f>
        <v>0</v>
      </c>
      <c r="EC113" s="4">
        <f ca="1">IF(EC10&gt;Assumptions!$G$10,0,1)*EC80*12/Assumptions!$P$37</f>
        <v>0</v>
      </c>
      <c r="ED113" s="4">
        <f ca="1">IF(ED10&gt;Assumptions!$G$10,0,1)*ED80*12/Assumptions!$P$37</f>
        <v>0</v>
      </c>
      <c r="EE113" s="4">
        <f ca="1">IF(EE10&gt;Assumptions!$G$10,0,1)*EE80*12/Assumptions!$P$37</f>
        <v>0</v>
      </c>
      <c r="EF113" s="4">
        <f ca="1">IF(EF10&gt;Assumptions!$G$10,0,1)*EF80*12/Assumptions!$P$37</f>
        <v>0</v>
      </c>
      <c r="EG113" s="4">
        <f ca="1">IF(EG10&gt;Assumptions!$G$10,0,1)*EG80*12/Assumptions!$P$37</f>
        <v>0</v>
      </c>
      <c r="EH113" s="4">
        <f ca="1">IF(EH10&gt;Assumptions!$G$10,0,1)*EH80*12/Assumptions!$P$37</f>
        <v>0</v>
      </c>
      <c r="EI113" s="4">
        <f ca="1">IF(EI10&gt;Assumptions!$G$10,0,1)*EI80*12/Assumptions!$P$37</f>
        <v>0</v>
      </c>
      <c r="EJ113" s="4">
        <f ca="1">IF(EJ10&gt;Assumptions!$G$10,0,1)*EJ80*12/Assumptions!$P$37</f>
        <v>0</v>
      </c>
      <c r="EK113" s="4">
        <f ca="1">IF(EK10&gt;Assumptions!$G$10,0,1)*EK80*12/Assumptions!$P$37</f>
        <v>0</v>
      </c>
      <c r="EL113" s="4">
        <f ca="1">IF(EL10&gt;Assumptions!$G$10,0,1)*EL80*12/Assumptions!$P$37</f>
        <v>0</v>
      </c>
      <c r="EM113" s="4">
        <f ca="1">IF(EM10&gt;Assumptions!$G$10,0,1)*EM80*12/Assumptions!$P$37</f>
        <v>0</v>
      </c>
      <c r="EN113" s="4">
        <f ca="1">IF(EN10&gt;Assumptions!$G$10,0,1)*EN80*12/Assumptions!$P$37</f>
        <v>0</v>
      </c>
      <c r="EO113" s="4">
        <f ca="1">IF(EO10&gt;Assumptions!$G$10,0,1)*EO80*12/Assumptions!$P$37</f>
        <v>0</v>
      </c>
      <c r="EP113" s="4">
        <f ca="1">IF(EP10&gt;Assumptions!$G$10,0,1)*EP80*12/Assumptions!$P$37</f>
        <v>0</v>
      </c>
      <c r="EQ113" s="4">
        <f ca="1">IF(EQ10&gt;Assumptions!$G$10,0,1)*EQ80*12/Assumptions!$P$37</f>
        <v>0</v>
      </c>
      <c r="ES113" s="98"/>
      <c r="ET113" s="98"/>
      <c r="EU113" s="98"/>
    </row>
    <row r="114" spans="7:151" ht="15.75">
      <c r="G114" s="143" t="s">
        <v>214</v>
      </c>
      <c r="H114" s="117"/>
      <c r="I114" s="95"/>
      <c r="J114" s="102"/>
      <c r="K114" s="102"/>
      <c r="L114" s="102"/>
      <c r="M114" s="102"/>
      <c r="N114" s="102"/>
      <c r="O114" s="181"/>
      <c r="P114" s="181"/>
      <c r="Q114" s="181">
        <f ca="1">Q109*12/Assumptions!$M$44</f>
        <v>-4.9682214932800534E-2</v>
      </c>
      <c r="R114" s="181">
        <f ca="1">R109*12/Assumptions!$M$44</f>
        <v>-0.40013864806045429</v>
      </c>
      <c r="S114" s="4">
        <f ca="1">S109*12/Assumptions!$M$44</f>
        <v>-0.55552546903702538</v>
      </c>
      <c r="T114" s="4">
        <f ca="1">T109*12/Assumptions!$M$44</f>
        <v>-2.9469214938587458E-2</v>
      </c>
      <c r="U114" s="4">
        <f ca="1">U109*12/Assumptions!$M$44</f>
        <v>1.8874198306102336E-2</v>
      </c>
      <c r="V114" s="4">
        <f ca="1">V109*12/Assumptions!$M$44</f>
        <v>7.9303464861964601E-2</v>
      </c>
      <c r="W114" s="4">
        <f ca="1">W109*12/Assumptions!$M$44</f>
        <v>7.9303464861964601E-2</v>
      </c>
      <c r="X114" s="4">
        <f ca="1">X109*12/Assumptions!$M$44</f>
        <v>7.9303464861964601E-2</v>
      </c>
      <c r="Y114" s="4">
        <f ca="1">Y109*12/Assumptions!$M$44</f>
        <v>7.9303464861964601E-2</v>
      </c>
      <c r="Z114" s="4">
        <f ca="1">Z109*12/Assumptions!$M$44</f>
        <v>7.9303464861964601E-2</v>
      </c>
      <c r="AA114" s="4">
        <f ca="1">AA109*12/Assumptions!$M$44</f>
        <v>7.9303464861964601E-2</v>
      </c>
      <c r="AB114" s="4">
        <f ca="1">AB109*12/Assumptions!$M$44</f>
        <v>-0.49186215033640218</v>
      </c>
      <c r="AC114" s="4">
        <f ca="1">AC109*12/Assumptions!$M$44</f>
        <v>-0.54692674997401869</v>
      </c>
      <c r="AD114" s="4">
        <f ca="1">AD109*12/Assumptions!$M$44</f>
        <v>-1.7537237163135194E-2</v>
      </c>
      <c r="AE114" s="4">
        <f ca="1">AE109*12/Assumptions!$M$44</f>
        <v>-0.53851255595971048</v>
      </c>
      <c r="AF114" s="4">
        <f ca="1">AF109*12/Assumptions!$M$44</f>
        <v>5.4355750503098023E-2</v>
      </c>
      <c r="AG114" s="4">
        <f ca="1">AG109*12/Assumptions!$M$44</f>
        <v>5.4355750503098023E-2</v>
      </c>
      <c r="AH114" s="4">
        <f ca="1">AH109*12/Assumptions!$M$44</f>
        <v>0.11783454415502297</v>
      </c>
      <c r="AI114" s="4">
        <f ca="1">AI109*12/Assumptions!$M$44</f>
        <v>0.11783454415502297</v>
      </c>
      <c r="AJ114" s="4">
        <f ca="1">AJ109*12/Assumptions!$M$44</f>
        <v>0.11783454415502297</v>
      </c>
      <c r="AK114" s="4">
        <f ca="1">AK109*12/Assumptions!$M$44</f>
        <v>0.11783454415502297</v>
      </c>
      <c r="AL114" s="4">
        <f ca="1">AL109*12/Assumptions!$M$44</f>
        <v>0.11783454415502297</v>
      </c>
      <c r="AM114" s="4">
        <f ca="1">AM109*12/Assumptions!$M$44</f>
        <v>0.11783454415502297</v>
      </c>
      <c r="AN114" s="4">
        <f ca="1">AN109*12/Assumptions!$M$44</f>
        <v>0.13233388112811784</v>
      </c>
      <c r="AO114" s="4">
        <f ca="1">AO109*12/Assumptions!$M$44</f>
        <v>0.13233388112811784</v>
      </c>
      <c r="AP114" s="4">
        <f ca="1">AP109*12/Assumptions!$M$44</f>
        <v>0.13233388112811784</v>
      </c>
      <c r="AQ114" s="4">
        <f ca="1">AQ109*12/Assumptions!$M$44</f>
        <v>-0.35000518608451786</v>
      </c>
      <c r="AR114" s="4">
        <f ca="1">AR109*12/Assumptions!$M$44</f>
        <v>8.6211772471650169E-2</v>
      </c>
      <c r="AS114" s="4">
        <f ca="1">AS109*12/Assumptions!$M$44</f>
        <v>-3.4372994331508706E-2</v>
      </c>
      <c r="AT114" s="4">
        <f ca="1">AT109*12/Assumptions!$M$44</f>
        <v>0.12783254338299146</v>
      </c>
      <c r="AU114" s="4">
        <f ca="1">AU109*12/Assumptions!$M$44</f>
        <v>0.12783254338299146</v>
      </c>
      <c r="AV114" s="4">
        <f ca="1">AV109*12/Assumptions!$M$44</f>
        <v>0.14112036790185609</v>
      </c>
      <c r="AW114" s="4">
        <f ca="1">AW109*12/Assumptions!$M$44</f>
        <v>0.14112036790185609</v>
      </c>
      <c r="AX114" s="4">
        <f ca="1">AX109*12/Assumptions!$M$44</f>
        <v>0.14112036790185609</v>
      </c>
      <c r="AY114" s="4">
        <f ca="1">AY109*12/Assumptions!$M$44</f>
        <v>0.14112036790185609</v>
      </c>
      <c r="AZ114" s="4">
        <f ca="1">AZ109*12/Assumptions!$M$44</f>
        <v>0.1512241004160165</v>
      </c>
      <c r="BA114" s="4">
        <f ca="1">BA109*12/Assumptions!$M$44</f>
        <v>0.1512241004160165</v>
      </c>
      <c r="BB114" s="4">
        <f ca="1">BB109*12/Assumptions!$M$44</f>
        <v>0.1512241004160165</v>
      </c>
      <c r="BC114" s="4">
        <f ca="1">BC109*12/Assumptions!$M$44</f>
        <v>0.1512241004160165</v>
      </c>
      <c r="BD114" s="4">
        <f ca="1">BD109*12/Assumptions!$M$44</f>
        <v>0.1512241004160165</v>
      </c>
      <c r="BE114" s="4">
        <f ca="1">BE109*12/Assumptions!$M$44</f>
        <v>0.1512241004160165</v>
      </c>
      <c r="BF114" s="4">
        <f ca="1">BF109*12/Assumptions!$M$44</f>
        <v>0.1512241004160165</v>
      </c>
      <c r="BG114" s="4">
        <f ca="1">BG109*12/Assumptions!$M$44</f>
        <v>0.1512241004160165</v>
      </c>
      <c r="BH114" s="4">
        <f ca="1">BH109*12/Assumptions!$M$44</f>
        <v>0.1512241004160165</v>
      </c>
      <c r="BI114" s="4">
        <f ca="1">BI109*12/Assumptions!$M$44</f>
        <v>0.1512241004160165</v>
      </c>
      <c r="BJ114" s="4">
        <f ca="1">BJ109*12/Assumptions!$M$44</f>
        <v>0.1512241004160165</v>
      </c>
      <c r="BK114" s="4">
        <f ca="1">BK109*12/Assumptions!$M$44</f>
        <v>11.441940055084185</v>
      </c>
      <c r="BL114" s="4">
        <f ca="1">BL109*12/Assumptions!$M$44</f>
        <v>9.7289120473953633E-2</v>
      </c>
      <c r="BM114" s="4">
        <f ca="1">BM109*12/Assumptions!$M$44</f>
        <v>9.7289120473953633E-2</v>
      </c>
      <c r="BN114" s="4">
        <f ca="1">BN109*12/Assumptions!$M$44</f>
        <v>9.7289120473953633E-2</v>
      </c>
      <c r="BO114" s="4">
        <f ca="1">BO109*12/Assumptions!$M$44</f>
        <v>9.7289120473953633E-2</v>
      </c>
      <c r="BP114" s="4">
        <f ca="1">BP109*12/Assumptions!$M$44</f>
        <v>9.7289120473953633E-2</v>
      </c>
      <c r="BQ114" s="4">
        <f ca="1">BQ109*12/Assumptions!$M$44</f>
        <v>9.7289120473953633E-2</v>
      </c>
      <c r="BR114" s="4">
        <f ca="1">BR109*12/Assumptions!$M$44</f>
        <v>9.7289120473953633E-2</v>
      </c>
      <c r="BS114" s="4">
        <f ca="1">BS109*12/Assumptions!$M$44</f>
        <v>9.7289120473953633E-2</v>
      </c>
      <c r="BT114" s="4">
        <f ca="1">BT109*12/Assumptions!$M$44</f>
        <v>9.7289120473953633E-2</v>
      </c>
      <c r="BU114" s="4">
        <f ca="1">BU109*12/Assumptions!$M$44</f>
        <v>9.7289120473953633E-2</v>
      </c>
      <c r="BV114" s="4">
        <f ca="1">BV109*12/Assumptions!$M$44</f>
        <v>9.7289120473953633E-2</v>
      </c>
      <c r="BW114" s="4">
        <f ca="1">BW109*12/Assumptions!$M$44</f>
        <v>9.7289120473953633E-2</v>
      </c>
      <c r="BX114" s="4">
        <f ca="1">BX109*12/Assumptions!$M$44</f>
        <v>0.10675438780972259</v>
      </c>
      <c r="BY114" s="4">
        <f ca="1">BY109*12/Assumptions!$M$44</f>
        <v>0.10675438780972259</v>
      </c>
      <c r="BZ114" s="4">
        <f ca="1">BZ109*12/Assumptions!$M$44</f>
        <v>0.10675438780972259</v>
      </c>
      <c r="CA114" s="4">
        <f ca="1">CA109*12/Assumptions!$M$44</f>
        <v>0.10675438780972259</v>
      </c>
      <c r="CB114" s="4">
        <f ca="1">CB109*12/Assumptions!$M$44</f>
        <v>0.10675438780972259</v>
      </c>
      <c r="CC114" s="4">
        <f ca="1">CC109*12/Assumptions!$M$44</f>
        <v>0.10675438780972259</v>
      </c>
      <c r="CD114" s="4">
        <f ca="1">CD109*12/Assumptions!$M$44</f>
        <v>0.10675438780972259</v>
      </c>
      <c r="CE114" s="4">
        <f ca="1">CE109*12/Assumptions!$M$44</f>
        <v>0.10675438780972259</v>
      </c>
      <c r="CF114" s="4">
        <f ca="1">CF109*12/Assumptions!$M$44</f>
        <v>0.10675438780972259</v>
      </c>
      <c r="CG114" s="4">
        <f ca="1">CG109*12/Assumptions!$M$44</f>
        <v>0.10675438780972259</v>
      </c>
      <c r="CH114" s="4">
        <f ca="1">CH109*12/Assumptions!$M$44</f>
        <v>0.10675438780972259</v>
      </c>
      <c r="CI114" s="4">
        <f ca="1">CI109*12/Assumptions!$M$44</f>
        <v>0.10675438780972259</v>
      </c>
      <c r="CJ114" s="4">
        <f ca="1">CJ109*12/Assumptions!$M$44</f>
        <v>0.11650361316556465</v>
      </c>
      <c r="CK114" s="4">
        <f ca="1">CK109*12/Assumptions!$M$44</f>
        <v>0.11650361316556465</v>
      </c>
      <c r="CL114" s="4">
        <f ca="1">CL109*12/Assumptions!$M$44</f>
        <v>0.11650361316556465</v>
      </c>
      <c r="CM114" s="4">
        <f ca="1">CM109*12/Assumptions!$M$44</f>
        <v>0.11650361316556465</v>
      </c>
      <c r="CN114" s="4">
        <f ca="1">CN109*12/Assumptions!$M$44</f>
        <v>0.11650361316556465</v>
      </c>
      <c r="CO114" s="4">
        <f ca="1">CO109*12/Assumptions!$M$44</f>
        <v>0.11650361316556465</v>
      </c>
      <c r="CP114" s="4">
        <f ca="1">CP109*12/Assumptions!$M$44</f>
        <v>0.11650361316556465</v>
      </c>
      <c r="CQ114" s="4">
        <f ca="1">CQ109*12/Assumptions!$M$44</f>
        <v>0.11650361316556465</v>
      </c>
      <c r="CR114" s="4">
        <f ca="1">CR109*12/Assumptions!$M$44</f>
        <v>0.11650361316556465</v>
      </c>
      <c r="CS114" s="4">
        <f ca="1">CS109*12/Assumptions!$M$44</f>
        <v>0.11650361316556465</v>
      </c>
      <c r="CT114" s="4">
        <f ca="1">CT109*12/Assumptions!$M$44</f>
        <v>0.11650361316556465</v>
      </c>
      <c r="CU114" s="4">
        <f ca="1">CU109*12/Assumptions!$M$44</f>
        <v>0.11650361316556465</v>
      </c>
      <c r="CV114" s="4">
        <f ca="1">CV109*12/Assumptions!$M$44</f>
        <v>0.12654531528208193</v>
      </c>
      <c r="CW114" s="4">
        <f ca="1">CW109*12/Assumptions!$M$44</f>
        <v>0.12654531528208193</v>
      </c>
      <c r="CX114" s="4">
        <f ca="1">CX109*12/Assumptions!$M$44</f>
        <v>0.12654531528208193</v>
      </c>
      <c r="CY114" s="4">
        <f ca="1">CY109*12/Assumptions!$M$44</f>
        <v>0.12654531528208193</v>
      </c>
      <c r="CZ114" s="4">
        <f ca="1">CZ109*12/Assumptions!$M$44</f>
        <v>0.12654531528208193</v>
      </c>
      <c r="DA114" s="4">
        <f ca="1">DA109*12/Assumptions!$M$44</f>
        <v>0.12654531528208193</v>
      </c>
      <c r="DB114" s="4">
        <f ca="1">DB109*12/Assumptions!$M$44</f>
        <v>0.12654531528208193</v>
      </c>
      <c r="DC114" s="4">
        <f ca="1">DC109*12/Assumptions!$M$44</f>
        <v>0.12654531528208193</v>
      </c>
      <c r="DD114" s="4">
        <f ca="1">DD109*12/Assumptions!$M$44</f>
        <v>0.12654531528208193</v>
      </c>
      <c r="DE114" s="4">
        <f ca="1">DE109*12/Assumptions!$M$44</f>
        <v>0.12654531528208193</v>
      </c>
      <c r="DF114" s="4">
        <f ca="1">DF109*12/Assumptions!$M$44</f>
        <v>0.12654531528208193</v>
      </c>
      <c r="DG114" s="4">
        <f ca="1">DG109*12/Assumptions!$M$44</f>
        <v>25.290476347096025</v>
      </c>
      <c r="DH114" s="4">
        <f>DH109*12/Assumptions!$M$44</f>
        <v>0</v>
      </c>
      <c r="DI114" s="4">
        <f>DI109*12/Assumptions!$M$44</f>
        <v>0</v>
      </c>
      <c r="DJ114" s="4">
        <f>DJ109*12/Assumptions!$M$44</f>
        <v>0</v>
      </c>
      <c r="DK114" s="4">
        <f>DK109*12/Assumptions!$M$44</f>
        <v>0</v>
      </c>
      <c r="DL114" s="4">
        <f>DL109*12/Assumptions!$M$44</f>
        <v>0</v>
      </c>
      <c r="DM114" s="4">
        <f>DM109*12/Assumptions!$M$44</f>
        <v>0</v>
      </c>
      <c r="DN114" s="4">
        <f>DN109*12/Assumptions!$M$44</f>
        <v>0</v>
      </c>
      <c r="DO114" s="4">
        <f>DO109*12/Assumptions!$M$44</f>
        <v>0</v>
      </c>
      <c r="DP114" s="4">
        <f>DP109*12/Assumptions!$M$44</f>
        <v>0</v>
      </c>
      <c r="DQ114" s="4">
        <f>DQ109*12/Assumptions!$M$44</f>
        <v>0</v>
      </c>
      <c r="DR114" s="4">
        <f>DR109*12/Assumptions!$M$44</f>
        <v>0</v>
      </c>
      <c r="DS114" s="4">
        <f>DS109*12/Assumptions!$M$44</f>
        <v>0</v>
      </c>
      <c r="DT114" s="4">
        <f>DT109*12/Assumptions!$M$44</f>
        <v>0</v>
      </c>
      <c r="DU114" s="4">
        <f>DU109*12/Assumptions!$M$44</f>
        <v>0</v>
      </c>
      <c r="DV114" s="4">
        <f>DV109*12/Assumptions!$M$44</f>
        <v>0</v>
      </c>
      <c r="DW114" s="4">
        <f>DW109*12/Assumptions!$M$44</f>
        <v>0</v>
      </c>
      <c r="DX114" s="4">
        <f>DX109*12/Assumptions!$M$44</f>
        <v>0</v>
      </c>
      <c r="DY114" s="4">
        <f>DY109*12/Assumptions!$M$44</f>
        <v>0</v>
      </c>
      <c r="DZ114" s="4">
        <f>DZ109*12/Assumptions!$M$44</f>
        <v>0</v>
      </c>
      <c r="EA114" s="4">
        <f>EA109*12/Assumptions!$M$44</f>
        <v>0</v>
      </c>
      <c r="EB114" s="4">
        <f>EB109*12/Assumptions!$M$44</f>
        <v>0</v>
      </c>
      <c r="EC114" s="4">
        <f>EC109*12/Assumptions!$M$44</f>
        <v>0</v>
      </c>
      <c r="ED114" s="4">
        <f>ED109*12/Assumptions!$M$44</f>
        <v>0</v>
      </c>
      <c r="EE114" s="4">
        <f>EE109*12/Assumptions!$M$44</f>
        <v>0</v>
      </c>
      <c r="EF114" s="4">
        <f>EF109*12/Assumptions!$M$44</f>
        <v>0</v>
      </c>
      <c r="EG114" s="4">
        <f>EG109*12/Assumptions!$M$44</f>
        <v>0</v>
      </c>
      <c r="EH114" s="4">
        <f>EH109*12/Assumptions!$M$44</f>
        <v>0</v>
      </c>
      <c r="EI114" s="4">
        <f>EI109*12/Assumptions!$M$44</f>
        <v>0</v>
      </c>
      <c r="EJ114" s="4">
        <f>EJ109*12/Assumptions!$M$44</f>
        <v>0</v>
      </c>
      <c r="EK114" s="4">
        <f>EK109*12/Assumptions!$M$44</f>
        <v>0</v>
      </c>
      <c r="EL114" s="4">
        <f>EL109*12/Assumptions!$M$44</f>
        <v>0</v>
      </c>
      <c r="EM114" s="4">
        <f>EM109*12/Assumptions!$M$44</f>
        <v>0</v>
      </c>
      <c r="EN114" s="4">
        <f>EN109*12/Assumptions!$M$44</f>
        <v>0</v>
      </c>
      <c r="EO114" s="4">
        <f>EO109*12/Assumptions!$M$44</f>
        <v>0</v>
      </c>
      <c r="EP114" s="4">
        <f>EP109*12/Assumptions!$M$44</f>
        <v>0</v>
      </c>
      <c r="EQ114" s="4">
        <f>EQ109*12/Assumptions!$M$44</f>
        <v>0</v>
      </c>
      <c r="ES114" s="98"/>
      <c r="ET114" s="98"/>
      <c r="EU114" s="98"/>
    </row>
    <row r="115" spans="7:151" ht="15.75">
      <c r="G115" s="145" t="s">
        <v>207</v>
      </c>
      <c r="H115" s="117"/>
      <c r="I115" s="95"/>
      <c r="J115" s="102"/>
      <c r="K115" s="102"/>
      <c r="L115" s="102"/>
      <c r="M115" s="102"/>
      <c r="N115" s="102"/>
      <c r="O115" s="254" t="str">
        <f>IF(ISERROR(IF(O10&gt;Assumptions!$G$10,0,1)*-O80/O95),"NA",-O80/O95)</f>
        <v>NA</v>
      </c>
      <c r="P115" s="254">
        <f ca="1">IF(ISERROR(IF(P10&gt;Assumptions!$G$10,0,1)*-P80/P95),"NA",-P80/P95)</f>
        <v>1.4277617103832683</v>
      </c>
      <c r="Q115" s="254">
        <f ca="1">IF(ISERROR(IF(Q10&gt;Assumptions!$G$10,0,1)*-Q80/Q95),"NA",-Q80/Q95)</f>
        <v>1.3597762349131477</v>
      </c>
      <c r="R115" s="254">
        <f ca="1">IF(ISERROR(IF(R10&gt;Assumptions!$G$10,0,1)*-R80/R95),"NA",-R80/R95)</f>
        <v>1.087834333032665</v>
      </c>
      <c r="S115" s="254">
        <f ca="1">IF(ISERROR(IF(S10&gt;Assumptions!$G$10,0,1)*-S80/S95),"NA",-S80/S95)</f>
        <v>0.74790695568206145</v>
      </c>
      <c r="T115" s="254">
        <f ca="1">IF(ISERROR(IF(T10&gt;Assumptions!$G$10,0,1)*-T80/T95),"NA",-T80/T95)</f>
        <v>0.82600542654047227</v>
      </c>
      <c r="U115" s="254">
        <f ca="1">IF(ISERROR(IF(U10&gt;Assumptions!$G$10,0,1)*-U80/U95),"NA",-U80/U95)</f>
        <v>1.1383993099741161</v>
      </c>
      <c r="V115" s="254">
        <f ca="1">IF(ISERROR(IF(V10&gt;Assumptions!$G$10,0,1)*-V80/V95),"NA",-V80/V95)</f>
        <v>1.528891664266171</v>
      </c>
      <c r="W115" s="254">
        <f ca="1">IF(ISERROR(IF(W10&gt;Assumptions!$G$10,0,1)*-W80/W95),"NA",-W80/W95)</f>
        <v>1.528891664266171</v>
      </c>
      <c r="X115" s="254">
        <f ca="1">IF(ISERROR(IF(X10&gt;Assumptions!$G$10,0,1)*-X80/X95),"NA",-X80/X95)</f>
        <v>1.528891664266171</v>
      </c>
      <c r="Y115" s="254">
        <f ca="1">IF(ISERROR(IF(Y10&gt;Assumptions!$G$10,0,1)*-Y80/Y95),"NA",-Y80/Y95)</f>
        <v>1.528891664266171</v>
      </c>
      <c r="Z115" s="254">
        <f ca="1">IF(ISERROR(IF(Z10&gt;Assumptions!$G$10,0,1)*-Z80/Z95),"NA",-Z80/Z95)</f>
        <v>1.528891664266171</v>
      </c>
      <c r="AA115" s="254">
        <f ca="1">IF(ISERROR(IF(AA10&gt;Assumptions!$G$10,0,1)*-AA80/AA95),"NA",-AA80/AA95)</f>
        <v>1.528891664266171</v>
      </c>
      <c r="AB115" s="254">
        <f ca="1">IF(ISERROR(IF(AB10&gt;Assumptions!$G$10,0,1)*-AB80/AB95),"NA",-AB80/AB95)</f>
        <v>1.2590630797157247</v>
      </c>
      <c r="AC115" s="254">
        <f ca="1">IF(ISERROR(IF(AC10&gt;Assumptions!$G$10,0,1)*-AC80/AC95),"NA",-AC80/AC95)</f>
        <v>0.90315911562964279</v>
      </c>
      <c r="AD115" s="254">
        <f ca="1">IF(ISERROR(IF(AD10&gt;Assumptions!$G$10,0,1)*-AD80/AD95),"NA",-AD80/AD95)</f>
        <v>0.90315911562964279</v>
      </c>
      <c r="AE115" s="254">
        <f ca="1">IF(ISERROR(IF(AE10&gt;Assumptions!$G$10,0,1)*-AE80/AE95),"NA",-AE80/AE95)</f>
        <v>0.95745522146991169</v>
      </c>
      <c r="AF115" s="254">
        <f ca="1">IF(ISERROR(IF(AF10&gt;Assumptions!$G$10,0,1)*-AF80/AF95),"NA",-AF80/AF95)</f>
        <v>1.3676552913962627</v>
      </c>
      <c r="AG115" s="254">
        <f ca="1">IF(ISERROR(IF(AG10&gt;Assumptions!$G$10,0,1)*-AG80/AG95),"NA",-AG80/AG95)</f>
        <v>1.3676552913962627</v>
      </c>
      <c r="AH115" s="254">
        <f ca="1">IF(ISERROR(IF(AH10&gt;Assumptions!$G$10,0,1)*-AH80/AH95),"NA",-AH80/AH95)</f>
        <v>1.7778553613226136</v>
      </c>
      <c r="AI115" s="254">
        <f ca="1">IF(ISERROR(IF(AI10&gt;Assumptions!$G$10,0,1)*-AI80/AI95),"NA",-AI80/AI95)</f>
        <v>1.7778553613226136</v>
      </c>
      <c r="AJ115" s="254">
        <f ca="1">IF(ISERROR(IF(AJ10&gt;Assumptions!$G$10,0,1)*-AJ80/AJ95),"NA",-AJ80/AJ95)</f>
        <v>1.7778553613226136</v>
      </c>
      <c r="AK115" s="254">
        <f ca="1">IF(ISERROR(IF(AK10&gt;Assumptions!$G$10,0,1)*-AK80/AK95),"NA",-AK80/AK95)</f>
        <v>1.7778553613226136</v>
      </c>
      <c r="AL115" s="254">
        <f ca="1">IF(ISERROR(IF(AL10&gt;Assumptions!$G$10,0,1)*-AL80/AL95),"NA",-AL80/AL95)</f>
        <v>1.7778553613226136</v>
      </c>
      <c r="AM115" s="254">
        <f ca="1">IF(ISERROR(IF(AM10&gt;Assumptions!$G$10,0,1)*-AM80/AM95),"NA",-AM80/AM95)</f>
        <v>1.7778553613226136</v>
      </c>
      <c r="AN115" s="254">
        <f ca="1">IF(ISERROR(IF(AN10&gt;Assumptions!$G$10,0,1)*-AN80/AN95),"NA",-AN80/AN95)</f>
        <v>1.8717545393306636</v>
      </c>
      <c r="AO115" s="254">
        <f ca="1">IF(ISERROR(IF(AO10&gt;Assumptions!$G$10,0,1)*-AO80/AO95),"NA",-AO80/AO95)</f>
        <v>1.8717545393306636</v>
      </c>
      <c r="AP115" s="254">
        <f ca="1">IF(ISERROR(IF(AP10&gt;Assumptions!$G$10,0,1)*-AP80/AP95),"NA",-AP80/AP95)</f>
        <v>1.8717545393306636</v>
      </c>
      <c r="AQ115" s="254">
        <f ca="1">IF(ISERROR(IF(AQ10&gt;Assumptions!$G$10,0,1)*-AQ80/AQ95),"NA",-AQ80/AQ95)</f>
        <v>1.5736493790121613</v>
      </c>
      <c r="AR115" s="254">
        <f ca="1">IF(ISERROR(IF(AR10&gt;Assumptions!$G$10,0,1)*-AR80/AR95),"NA",-AR80/AR95)</f>
        <v>1.5736493790121613</v>
      </c>
      <c r="AS115" s="254">
        <f ca="1">IF(ISERROR(IF(AS10&gt;Assumptions!$G$10,0,1)*-AS80/AS95),"NA",-AS80/AS95)</f>
        <v>1.4991230889325358</v>
      </c>
      <c r="AT115" s="254">
        <f ca="1">IF(ISERROR(IF(AT10&gt;Assumptions!$G$10,0,1)*-AT80/AT95),"NA",-AT80/AT95)</f>
        <v>1.8425880378509816</v>
      </c>
      <c r="AU115" s="254">
        <f ca="1">IF(ISERROR(IF(AU10&gt;Assumptions!$G$10,0,1)*-AU80/AU95),"NA",-AU80/AU95)</f>
        <v>1.8425880378509816</v>
      </c>
      <c r="AV115" s="254">
        <f ca="1">IF(ISERROR(IF(AV10&gt;Assumptions!$G$10,0,1)*-AV80/AV95),"NA",-AV80/AV95)</f>
        <v>1.9284542750805935</v>
      </c>
      <c r="AW115" s="254">
        <f ca="1">IF(ISERROR(IF(AW10&gt;Assumptions!$G$10,0,1)*-AW80/AW95),"NA",-AW80/AW95)</f>
        <v>1.9284542750805935</v>
      </c>
      <c r="AX115" s="254">
        <f ca="1">IF(ISERROR(IF(AX10&gt;Assumptions!$G$10,0,1)*-AX80/AX95),"NA",-AX80/AX95)</f>
        <v>1.9284542750805935</v>
      </c>
      <c r="AY115" s="254">
        <f ca="1">IF(ISERROR(IF(AY10&gt;Assumptions!$G$10,0,1)*-AY80/AY95),"NA",-AY80/AY95)</f>
        <v>1.9284542750805935</v>
      </c>
      <c r="AZ115" s="254">
        <f ca="1">IF(ISERROR(IF(AZ10&gt;Assumptions!$G$10,0,1)*-AZ80/AZ95),"NA",-AZ80/AZ95)</f>
        <v>1.9939457555047029</v>
      </c>
      <c r="BA115" s="254">
        <f ca="1">IF(ISERROR(IF(BA10&gt;Assumptions!$G$10,0,1)*-BA80/BA95),"NA",-BA80/BA95)</f>
        <v>1.9939457555047029</v>
      </c>
      <c r="BB115" s="254">
        <f ca="1">IF(ISERROR(IF(BB10&gt;Assumptions!$G$10,0,1)*-BB80/BB95),"NA",-BB80/BB95)</f>
        <v>1.9939457555047029</v>
      </c>
      <c r="BC115" s="254">
        <f ca="1">IF(ISERROR(IF(BC10&gt;Assumptions!$G$10,0,1)*-BC80/BC95),"NA",-BC80/BC95)</f>
        <v>1.9939457555047029</v>
      </c>
      <c r="BD115" s="254">
        <f ca="1">IF(ISERROR(IF(BD10&gt;Assumptions!$G$10,0,1)*-BD80/BD95),"NA",-BD80/BD95)</f>
        <v>1.9939457555047029</v>
      </c>
      <c r="BE115" s="254">
        <f ca="1">IF(ISERROR(IF(BE10&gt;Assumptions!$G$10,0,1)*-BE80/BE95),"NA",-BE80/BE95)</f>
        <v>1.9939457555047029</v>
      </c>
      <c r="BF115" s="254">
        <f ca="1">IF(ISERROR(IF(BF10&gt;Assumptions!$G$10,0,1)*-BF80/BF95),"NA",-BF80/BF95)</f>
        <v>1.9939457555047029</v>
      </c>
      <c r="BG115" s="254">
        <f ca="1">IF(ISERROR(IF(BG10&gt;Assumptions!$G$10,0,1)*-BG80/BG95),"NA",-BG80/BG95)</f>
        <v>1.9939457555047029</v>
      </c>
      <c r="BH115" s="254">
        <f ca="1">IF(ISERROR(IF(BH10&gt;Assumptions!$G$10,0,1)*-BH80/BH95),"NA",-BH80/BH95)</f>
        <v>1.9939457555047029</v>
      </c>
      <c r="BI115" s="254">
        <f ca="1">IF(ISERROR(IF(BI10&gt;Assumptions!$G$10,0,1)*-BI80/BI95),"NA",-BI80/BI95)</f>
        <v>1.9939457555047029</v>
      </c>
      <c r="BJ115" s="254">
        <f ca="1">IF(ISERROR(IF(BJ10&gt;Assumptions!$G$10,0,1)*-BJ80/BJ95),"NA",-BJ80/BJ95)</f>
        <v>1.9939457555047029</v>
      </c>
      <c r="BK115" s="254" t="str">
        <f ca="1">IF(ISERROR(IF(BK10&gt;Assumptions!$G$10,0,1)*-BK80/BK95),"NA",-BK80/BK95)</f>
        <v>NA</v>
      </c>
      <c r="BL115" s="254" t="str">
        <f ca="1">IF(ISERROR(IF(BL10&gt;Assumptions!$G$10,0,1)*-BL80/BL95),"NA",-BL80/BL95)</f>
        <v>NA</v>
      </c>
      <c r="BM115" s="254" t="str">
        <f ca="1">IF(ISERROR(IF(BM10&gt;Assumptions!$G$10,0,1)*-BM80/BM95),"NA",-BM80/BM95)</f>
        <v>NA</v>
      </c>
      <c r="BN115" s="254" t="str">
        <f ca="1">IF(ISERROR(IF(BN10&gt;Assumptions!$G$10,0,1)*-BN80/BN95),"NA",-BN80/BN95)</f>
        <v>NA</v>
      </c>
      <c r="BO115" s="254" t="str">
        <f ca="1">IF(ISERROR(IF(BO10&gt;Assumptions!$G$10,0,1)*-BO80/BO95),"NA",-BO80/BO95)</f>
        <v>NA</v>
      </c>
      <c r="BP115" s="254" t="str">
        <f ca="1">IF(ISERROR(IF(BP10&gt;Assumptions!$G$10,0,1)*-BP80/BP95),"NA",-BP80/BP95)</f>
        <v>NA</v>
      </c>
      <c r="BQ115" s="254" t="str">
        <f ca="1">IF(ISERROR(IF(BQ10&gt;Assumptions!$G$10,0,1)*-BQ80/BQ95),"NA",-BQ80/BQ95)</f>
        <v>NA</v>
      </c>
      <c r="BR115" s="254" t="str">
        <f ca="1">IF(ISERROR(IF(BR10&gt;Assumptions!$G$10,0,1)*-BR80/BR95),"NA",-BR80/BR95)</f>
        <v>NA</v>
      </c>
      <c r="BS115" s="254" t="str">
        <f ca="1">IF(ISERROR(IF(BS10&gt;Assumptions!$G$10,0,1)*-BS80/BS95),"NA",-BS80/BS95)</f>
        <v>NA</v>
      </c>
      <c r="BT115" s="254" t="str">
        <f ca="1">IF(ISERROR(IF(BT10&gt;Assumptions!$G$10,0,1)*-BT80/BT95),"NA",-BT80/BT95)</f>
        <v>NA</v>
      </c>
      <c r="BU115" s="254" t="str">
        <f ca="1">IF(ISERROR(IF(BU10&gt;Assumptions!$G$10,0,1)*-BU80/BU95),"NA",-BU80/BU95)</f>
        <v>NA</v>
      </c>
      <c r="BV115" s="254" t="str">
        <f ca="1">IF(ISERROR(IF(BV10&gt;Assumptions!$G$10,0,1)*-BV80/BV95),"NA",-BV80/BV95)</f>
        <v>NA</v>
      </c>
      <c r="BW115" s="254" t="str">
        <f ca="1">IF(ISERROR(IF(BW10&gt;Assumptions!$G$10,0,1)*-BW80/BW95),"NA",-BW80/BW95)</f>
        <v>NA</v>
      </c>
      <c r="BX115" s="254" t="str">
        <f ca="1">IF(ISERROR(IF(BX10&gt;Assumptions!$G$10,0,1)*-BX80/BX95),"NA",-BX80/BX95)</f>
        <v>NA</v>
      </c>
      <c r="BY115" s="254" t="str">
        <f ca="1">IF(ISERROR(IF(BY10&gt;Assumptions!$G$10,0,1)*-BY80/BY95),"NA",-BY80/BY95)</f>
        <v>NA</v>
      </c>
      <c r="BZ115" s="254" t="str">
        <f ca="1">IF(ISERROR(IF(BZ10&gt;Assumptions!$G$10,0,1)*-BZ80/BZ95),"NA",-BZ80/BZ95)</f>
        <v>NA</v>
      </c>
      <c r="CA115" s="254" t="str">
        <f ca="1">IF(ISERROR(IF(CA10&gt;Assumptions!$G$10,0,1)*-CA80/CA95),"NA",-CA80/CA95)</f>
        <v>NA</v>
      </c>
      <c r="CB115" s="254" t="str">
        <f ca="1">IF(ISERROR(IF(CB10&gt;Assumptions!$G$10,0,1)*-CB80/CB95),"NA",-CB80/CB95)</f>
        <v>NA</v>
      </c>
      <c r="CC115" s="254" t="str">
        <f ca="1">IF(ISERROR(IF(CC10&gt;Assumptions!$G$10,0,1)*-CC80/CC95),"NA",-CC80/CC95)</f>
        <v>NA</v>
      </c>
      <c r="CD115" s="254" t="str">
        <f ca="1">IF(ISERROR(IF(CD10&gt;Assumptions!$G$10,0,1)*-CD80/CD95),"NA",-CD80/CD95)</f>
        <v>NA</v>
      </c>
      <c r="CE115" s="254" t="str">
        <f ca="1">IF(ISERROR(IF(CE10&gt;Assumptions!$G$10,0,1)*-CE80/CE95),"NA",-CE80/CE95)</f>
        <v>NA</v>
      </c>
      <c r="CF115" s="254" t="str">
        <f ca="1">IF(ISERROR(IF(CF10&gt;Assumptions!$G$10,0,1)*-CF80/CF95),"NA",-CF80/CF95)</f>
        <v>NA</v>
      </c>
      <c r="CG115" s="254" t="str">
        <f ca="1">IF(ISERROR(IF(CG10&gt;Assumptions!$G$10,0,1)*-CG80/CG95),"NA",-CG80/CG95)</f>
        <v>NA</v>
      </c>
      <c r="CH115" s="254" t="str">
        <f ca="1">IF(ISERROR(IF(CH10&gt;Assumptions!$G$10,0,1)*-CH80/CH95),"NA",-CH80/CH95)</f>
        <v>NA</v>
      </c>
      <c r="CI115" s="254" t="str">
        <f ca="1">IF(ISERROR(IF(CI10&gt;Assumptions!$G$10,0,1)*-CI80/CI95),"NA",-CI80/CI95)</f>
        <v>NA</v>
      </c>
      <c r="CJ115" s="254" t="str">
        <f ca="1">IF(ISERROR(IF(CJ10&gt;Assumptions!$G$10,0,1)*-CJ80/CJ95),"NA",-CJ80/CJ95)</f>
        <v>NA</v>
      </c>
      <c r="CK115" s="254" t="str">
        <f ca="1">IF(ISERROR(IF(CK10&gt;Assumptions!$G$10,0,1)*-CK80/CK95),"NA",-CK80/CK95)</f>
        <v>NA</v>
      </c>
      <c r="CL115" s="254" t="str">
        <f ca="1">IF(ISERROR(IF(CL10&gt;Assumptions!$G$10,0,1)*-CL80/CL95),"NA",-CL80/CL95)</f>
        <v>NA</v>
      </c>
      <c r="CM115" s="254" t="str">
        <f ca="1">IF(ISERROR(IF(CM10&gt;Assumptions!$G$10,0,1)*-CM80/CM95),"NA",-CM80/CM95)</f>
        <v>NA</v>
      </c>
      <c r="CN115" s="254" t="str">
        <f ca="1">IF(ISERROR(IF(CN10&gt;Assumptions!$G$10,0,1)*-CN80/CN95),"NA",-CN80/CN95)</f>
        <v>NA</v>
      </c>
      <c r="CO115" s="254" t="str">
        <f ca="1">IF(ISERROR(IF(CO10&gt;Assumptions!$G$10,0,1)*-CO80/CO95),"NA",-CO80/CO95)</f>
        <v>NA</v>
      </c>
      <c r="CP115" s="254" t="str">
        <f ca="1">IF(ISERROR(IF(CP10&gt;Assumptions!$G$10,0,1)*-CP80/CP95),"NA",-CP80/CP95)</f>
        <v>NA</v>
      </c>
      <c r="CQ115" s="254" t="str">
        <f ca="1">IF(ISERROR(IF(CQ10&gt;Assumptions!$G$10,0,1)*-CQ80/CQ95),"NA",-CQ80/CQ95)</f>
        <v>NA</v>
      </c>
      <c r="CR115" s="254" t="str">
        <f ca="1">IF(ISERROR(IF(CR10&gt;Assumptions!$G$10,0,1)*-CR80/CR95),"NA",-CR80/CR95)</f>
        <v>NA</v>
      </c>
      <c r="CS115" s="254" t="str">
        <f ca="1">IF(ISERROR(IF(CS10&gt;Assumptions!$G$10,0,1)*-CS80/CS95),"NA",-CS80/CS95)</f>
        <v>NA</v>
      </c>
      <c r="CT115" s="254" t="str">
        <f ca="1">IF(ISERROR(IF(CT10&gt;Assumptions!$G$10,0,1)*-CT80/CT95),"NA",-CT80/CT95)</f>
        <v>NA</v>
      </c>
      <c r="CU115" s="254" t="str">
        <f ca="1">IF(ISERROR(IF(CU10&gt;Assumptions!$G$10,0,1)*-CU80/CU95),"NA",-CU80/CU95)</f>
        <v>NA</v>
      </c>
      <c r="CV115" s="254" t="str">
        <f ca="1">IF(ISERROR(IF(CV10&gt;Assumptions!$G$10,0,1)*-CV80/CV95),"NA",-CV80/CV95)</f>
        <v>NA</v>
      </c>
      <c r="CW115" s="254" t="str">
        <f ca="1">IF(ISERROR(IF(CW10&gt;Assumptions!$G$10,0,1)*-CW80/CW95),"NA",-CW80/CW95)</f>
        <v>NA</v>
      </c>
      <c r="CX115" s="254" t="str">
        <f ca="1">IF(ISERROR(IF(CX10&gt;Assumptions!$G$10,0,1)*-CX80/CX95),"NA",-CX80/CX95)</f>
        <v>NA</v>
      </c>
      <c r="CY115" s="254" t="str">
        <f ca="1">IF(ISERROR(IF(CY10&gt;Assumptions!$G$10,0,1)*-CY80/CY95),"NA",-CY80/CY95)</f>
        <v>NA</v>
      </c>
      <c r="CZ115" s="254" t="str">
        <f ca="1">IF(ISERROR(IF(CZ10&gt;Assumptions!$G$10,0,1)*-CZ80/CZ95),"NA",-CZ80/CZ95)</f>
        <v>NA</v>
      </c>
      <c r="DA115" s="254" t="str">
        <f ca="1">IF(ISERROR(IF(DA10&gt;Assumptions!$G$10,0,1)*-DA80/DA95),"NA",-DA80/DA95)</f>
        <v>NA</v>
      </c>
      <c r="DB115" s="254" t="str">
        <f ca="1">IF(ISERROR(IF(DB10&gt;Assumptions!$G$10,0,1)*-DB80/DB95),"NA",-DB80/DB95)</f>
        <v>NA</v>
      </c>
      <c r="DC115" s="254" t="str">
        <f ca="1">IF(ISERROR(IF(DC10&gt;Assumptions!$G$10,0,1)*-DC80/DC95),"NA",-DC80/DC95)</f>
        <v>NA</v>
      </c>
      <c r="DD115" s="254" t="str">
        <f ca="1">IF(ISERROR(IF(DD10&gt;Assumptions!$G$10,0,1)*-DD80/DD95),"NA",-DD80/DD95)</f>
        <v>NA</v>
      </c>
      <c r="DE115" s="254" t="str">
        <f ca="1">IF(ISERROR(IF(DE10&gt;Assumptions!$G$10,0,1)*-DE80/DE95),"NA",-DE80/DE95)</f>
        <v>NA</v>
      </c>
      <c r="DF115" s="254" t="str">
        <f ca="1">IF(ISERROR(IF(DF10&gt;Assumptions!$G$10,0,1)*-DF80/DF95),"NA",-DF80/DF95)</f>
        <v>NA</v>
      </c>
      <c r="DG115" s="254" t="str">
        <f ca="1">IF(ISERROR(IF(DG10&gt;Assumptions!$G$10,0,1)*-DG80/DG95),"NA",-DG80/DG95)</f>
        <v>NA</v>
      </c>
      <c r="DH115" s="254" t="str">
        <f ca="1">IF(ISERROR(IF(DH10&gt;Assumptions!$G$10,0,1)*-DH80/DH95),"NA",-DH80/DH95)</f>
        <v>NA</v>
      </c>
      <c r="DI115" s="254" t="str">
        <f ca="1">IF(ISERROR(IF(DI10&gt;Assumptions!$G$10,0,1)*-DI80/DI95),"NA",-DI80/DI95)</f>
        <v>NA</v>
      </c>
      <c r="DJ115" s="254" t="str">
        <f ca="1">IF(ISERROR(IF(DJ10&gt;Assumptions!$G$10,0,1)*-DJ80/DJ95),"NA",-DJ80/DJ95)</f>
        <v>NA</v>
      </c>
      <c r="DK115" s="254" t="str">
        <f ca="1">IF(ISERROR(IF(DK10&gt;Assumptions!$G$10,0,1)*-DK80/DK95),"NA",-DK80/DK95)</f>
        <v>NA</v>
      </c>
      <c r="DL115" s="254" t="str">
        <f ca="1">IF(ISERROR(IF(DL10&gt;Assumptions!$G$10,0,1)*-DL80/DL95),"NA",-DL80/DL95)</f>
        <v>NA</v>
      </c>
      <c r="DM115" s="254" t="str">
        <f ca="1">IF(ISERROR(IF(DM10&gt;Assumptions!$G$10,0,1)*-DM80/DM95),"NA",-DM80/DM95)</f>
        <v>NA</v>
      </c>
      <c r="DN115" s="254" t="str">
        <f ca="1">IF(ISERROR(IF(DN10&gt;Assumptions!$G$10,0,1)*-DN80/DN95),"NA",-DN80/DN95)</f>
        <v>NA</v>
      </c>
      <c r="DO115" s="254" t="str">
        <f ca="1">IF(ISERROR(IF(DO10&gt;Assumptions!$G$10,0,1)*-DO80/DO95),"NA",-DO80/DO95)</f>
        <v>NA</v>
      </c>
      <c r="DP115" s="254" t="str">
        <f ca="1">IF(ISERROR(IF(DP10&gt;Assumptions!$G$10,0,1)*-DP80/DP95),"NA",-DP80/DP95)</f>
        <v>NA</v>
      </c>
      <c r="DQ115" s="254" t="str">
        <f ca="1">IF(ISERROR(IF(DQ10&gt;Assumptions!$G$10,0,1)*-DQ80/DQ95),"NA",-DQ80/DQ95)</f>
        <v>NA</v>
      </c>
      <c r="DR115" s="254" t="str">
        <f ca="1">IF(ISERROR(IF(DR10&gt;Assumptions!$G$10,0,1)*-DR80/DR95),"NA",-DR80/DR95)</f>
        <v>NA</v>
      </c>
      <c r="DS115" s="254" t="str">
        <f ca="1">IF(ISERROR(IF(DS10&gt;Assumptions!$G$10,0,1)*-DS80/DS95),"NA",-DS80/DS95)</f>
        <v>NA</v>
      </c>
      <c r="DT115" s="254" t="str">
        <f ca="1">IF(ISERROR(IF(DT10&gt;Assumptions!$G$10,0,1)*-DT80/DT95),"NA",-DT80/DT95)</f>
        <v>NA</v>
      </c>
      <c r="DU115" s="254" t="str">
        <f ca="1">IF(ISERROR(IF(DU10&gt;Assumptions!$G$10,0,1)*-DU80/DU95),"NA",-DU80/DU95)</f>
        <v>NA</v>
      </c>
      <c r="DV115" s="254" t="str">
        <f ca="1">IF(ISERROR(IF(DV10&gt;Assumptions!$G$10,0,1)*-DV80/DV95),"NA",-DV80/DV95)</f>
        <v>NA</v>
      </c>
      <c r="DW115" s="254" t="str">
        <f ca="1">IF(ISERROR(IF(DW10&gt;Assumptions!$G$10,0,1)*-DW80/DW95),"NA",-DW80/DW95)</f>
        <v>NA</v>
      </c>
      <c r="DX115" s="254" t="str">
        <f ca="1">IF(ISERROR(IF(DX10&gt;Assumptions!$G$10,0,1)*-DX80/DX95),"NA",-DX80/DX95)</f>
        <v>NA</v>
      </c>
      <c r="DY115" s="254" t="str">
        <f ca="1">IF(ISERROR(IF(DY10&gt;Assumptions!$G$10,0,1)*-DY80/DY95),"NA",-DY80/DY95)</f>
        <v>NA</v>
      </c>
      <c r="DZ115" s="254" t="str">
        <f ca="1">IF(ISERROR(IF(DZ10&gt;Assumptions!$G$10,0,1)*-DZ80/DZ95),"NA",-DZ80/DZ95)</f>
        <v>NA</v>
      </c>
      <c r="EA115" s="254" t="str">
        <f ca="1">IF(ISERROR(IF(EA10&gt;Assumptions!$G$10,0,1)*-EA80/EA95),"NA",-EA80/EA95)</f>
        <v>NA</v>
      </c>
      <c r="EB115" s="254" t="str">
        <f ca="1">IF(ISERROR(IF(EB10&gt;Assumptions!$G$10,0,1)*-EB80/EB95),"NA",-EB80/EB95)</f>
        <v>NA</v>
      </c>
      <c r="EC115" s="254" t="str">
        <f ca="1">IF(ISERROR(IF(EC10&gt;Assumptions!$G$10,0,1)*-EC80/EC95),"NA",-EC80/EC95)</f>
        <v>NA</v>
      </c>
      <c r="ED115" s="254" t="str">
        <f ca="1">IF(ISERROR(IF(ED10&gt;Assumptions!$G$10,0,1)*-ED80/ED95),"NA",-ED80/ED95)</f>
        <v>NA</v>
      </c>
      <c r="EE115" s="254" t="str">
        <f ca="1">IF(ISERROR(IF(EE10&gt;Assumptions!$G$10,0,1)*-EE80/EE95),"NA",-EE80/EE95)</f>
        <v>NA</v>
      </c>
      <c r="EF115" s="254" t="str">
        <f ca="1">IF(ISERROR(IF(EF10&gt;Assumptions!$G$10,0,1)*-EF80/EF95),"NA",-EF80/EF95)</f>
        <v>NA</v>
      </c>
      <c r="EG115" s="254" t="str">
        <f ca="1">IF(ISERROR(IF(EG10&gt;Assumptions!$G$10,0,1)*-EG80/EG95),"NA",-EG80/EG95)</f>
        <v>NA</v>
      </c>
      <c r="EH115" s="254" t="str">
        <f ca="1">IF(ISERROR(IF(EH10&gt;Assumptions!$G$10,0,1)*-EH80/EH95),"NA",-EH80/EH95)</f>
        <v>NA</v>
      </c>
      <c r="EI115" s="254" t="str">
        <f ca="1">IF(ISERROR(IF(EI10&gt;Assumptions!$G$10,0,1)*-EI80/EI95),"NA",-EI80/EI95)</f>
        <v>NA</v>
      </c>
      <c r="EJ115" s="254" t="str">
        <f ca="1">IF(ISERROR(IF(EJ10&gt;Assumptions!$G$10,0,1)*-EJ80/EJ95),"NA",-EJ80/EJ95)</f>
        <v>NA</v>
      </c>
      <c r="EK115" s="254" t="str">
        <f ca="1">IF(ISERROR(IF(EK10&gt;Assumptions!$G$10,0,1)*-EK80/EK95),"NA",-EK80/EK95)</f>
        <v>NA</v>
      </c>
      <c r="EL115" s="254" t="str">
        <f ca="1">IF(ISERROR(IF(EL10&gt;Assumptions!$G$10,0,1)*-EL80/EL95),"NA",-EL80/EL95)</f>
        <v>NA</v>
      </c>
      <c r="EM115" s="254" t="str">
        <f ca="1">IF(ISERROR(IF(EM10&gt;Assumptions!$G$10,0,1)*-EM80/EM95),"NA",-EM80/EM95)</f>
        <v>NA</v>
      </c>
      <c r="EN115" s="254" t="str">
        <f ca="1">IF(ISERROR(IF(EN10&gt;Assumptions!$G$10,0,1)*-EN80/EN95),"NA",-EN80/EN95)</f>
        <v>NA</v>
      </c>
      <c r="EO115" s="254" t="str">
        <f ca="1">IF(ISERROR(IF(EO10&gt;Assumptions!$G$10,0,1)*-EO80/EO95),"NA",-EO80/EO95)</f>
        <v>NA</v>
      </c>
      <c r="EP115" s="254" t="str">
        <f ca="1">IF(ISERROR(IF(EP10&gt;Assumptions!$G$10,0,1)*-EP80/EP95),"NA",-EP80/EP95)</f>
        <v>NA</v>
      </c>
      <c r="EQ115" s="254" t="str">
        <f ca="1">IF(ISERROR(IF(EQ10&gt;Assumptions!$G$10,0,1)*-EQ80/EQ95),"NA",-EQ80/EQ95)</f>
        <v>NA</v>
      </c>
      <c r="ES115" s="98"/>
      <c r="ET115" s="98"/>
      <c r="EU115" s="98"/>
    </row>
    <row r="116" spans="7:151" ht="15.75">
      <c r="G116" s="94" t="s">
        <v>208</v>
      </c>
      <c r="H116" s="117"/>
      <c r="I116" s="95"/>
      <c r="J116" s="102"/>
      <c r="K116" s="102"/>
      <c r="L116" s="102"/>
      <c r="M116" s="102"/>
      <c r="N116" s="102"/>
      <c r="O116" s="254" t="str">
        <f t="shared" ref="O116:AT116" si="223">IF(ISERROR(-O80/O96),"NA",-O80/O96)</f>
        <v>NA</v>
      </c>
      <c r="P116" s="254" t="str">
        <f t="shared" ca="1" si="223"/>
        <v>NA</v>
      </c>
      <c r="Q116" s="254" t="str">
        <f t="shared" ca="1" si="223"/>
        <v>NA</v>
      </c>
      <c r="R116" s="254" t="str">
        <f t="shared" ca="1" si="223"/>
        <v>NA</v>
      </c>
      <c r="S116" s="254" t="str">
        <f t="shared" ca="1" si="223"/>
        <v>NA</v>
      </c>
      <c r="T116" s="254" t="str">
        <f t="shared" ca="1" si="223"/>
        <v>NA</v>
      </c>
      <c r="U116" s="254" t="str">
        <f t="shared" ca="1" si="223"/>
        <v>NA</v>
      </c>
      <c r="V116" s="254" t="str">
        <f t="shared" ca="1" si="223"/>
        <v>NA</v>
      </c>
      <c r="W116" s="254" t="str">
        <f t="shared" ca="1" si="223"/>
        <v>NA</v>
      </c>
      <c r="X116" s="254" t="str">
        <f t="shared" ca="1" si="223"/>
        <v>NA</v>
      </c>
      <c r="Y116" s="254" t="str">
        <f t="shared" ca="1" si="223"/>
        <v>NA</v>
      </c>
      <c r="Z116" s="254" t="str">
        <f t="shared" ca="1" si="223"/>
        <v>NA</v>
      </c>
      <c r="AA116" s="254" t="str">
        <f t="shared" ca="1" si="223"/>
        <v>NA</v>
      </c>
      <c r="AB116" s="254" t="str">
        <f t="shared" ca="1" si="223"/>
        <v>NA</v>
      </c>
      <c r="AC116" s="254" t="str">
        <f t="shared" ca="1" si="223"/>
        <v>NA</v>
      </c>
      <c r="AD116" s="254" t="str">
        <f t="shared" ca="1" si="223"/>
        <v>NA</v>
      </c>
      <c r="AE116" s="254" t="str">
        <f t="shared" ca="1" si="223"/>
        <v>NA</v>
      </c>
      <c r="AF116" s="254" t="str">
        <f t="shared" ca="1" si="223"/>
        <v>NA</v>
      </c>
      <c r="AG116" s="254" t="str">
        <f t="shared" ca="1" si="223"/>
        <v>NA</v>
      </c>
      <c r="AH116" s="254" t="str">
        <f t="shared" ca="1" si="223"/>
        <v>NA</v>
      </c>
      <c r="AI116" s="254" t="str">
        <f t="shared" ca="1" si="223"/>
        <v>NA</v>
      </c>
      <c r="AJ116" s="254" t="str">
        <f t="shared" ca="1" si="223"/>
        <v>NA</v>
      </c>
      <c r="AK116" s="254" t="str">
        <f t="shared" ca="1" si="223"/>
        <v>NA</v>
      </c>
      <c r="AL116" s="254" t="str">
        <f t="shared" ca="1" si="223"/>
        <v>NA</v>
      </c>
      <c r="AM116" s="254" t="str">
        <f t="shared" ca="1" si="223"/>
        <v>NA</v>
      </c>
      <c r="AN116" s="254" t="str">
        <f t="shared" ca="1" si="223"/>
        <v>NA</v>
      </c>
      <c r="AO116" s="254" t="str">
        <f t="shared" ca="1" si="223"/>
        <v>NA</v>
      </c>
      <c r="AP116" s="254" t="str">
        <f t="shared" ca="1" si="223"/>
        <v>NA</v>
      </c>
      <c r="AQ116" s="254" t="str">
        <f t="shared" ca="1" si="223"/>
        <v>NA</v>
      </c>
      <c r="AR116" s="254" t="str">
        <f t="shared" ca="1" si="223"/>
        <v>NA</v>
      </c>
      <c r="AS116" s="254" t="str">
        <f t="shared" ca="1" si="223"/>
        <v>NA</v>
      </c>
      <c r="AT116" s="254" t="str">
        <f t="shared" ca="1" si="223"/>
        <v>NA</v>
      </c>
      <c r="AU116" s="254" t="str">
        <f t="shared" ref="AU116:BZ116" ca="1" si="224">IF(ISERROR(-AU80/AU96),"NA",-AU80/AU96)</f>
        <v>NA</v>
      </c>
      <c r="AV116" s="254" t="str">
        <f t="shared" ca="1" si="224"/>
        <v>NA</v>
      </c>
      <c r="AW116" s="254" t="str">
        <f t="shared" ca="1" si="224"/>
        <v>NA</v>
      </c>
      <c r="AX116" s="254" t="str">
        <f t="shared" ca="1" si="224"/>
        <v>NA</v>
      </c>
      <c r="AY116" s="254" t="str">
        <f t="shared" ca="1" si="224"/>
        <v>NA</v>
      </c>
      <c r="AZ116" s="254" t="str">
        <f t="shared" ca="1" si="224"/>
        <v>NA</v>
      </c>
      <c r="BA116" s="254" t="str">
        <f t="shared" ca="1" si="224"/>
        <v>NA</v>
      </c>
      <c r="BB116" s="254" t="str">
        <f t="shared" ca="1" si="224"/>
        <v>NA</v>
      </c>
      <c r="BC116" s="254" t="str">
        <f t="shared" ca="1" si="224"/>
        <v>NA</v>
      </c>
      <c r="BD116" s="254" t="str">
        <f t="shared" ca="1" si="224"/>
        <v>NA</v>
      </c>
      <c r="BE116" s="254" t="str">
        <f t="shared" ca="1" si="224"/>
        <v>NA</v>
      </c>
      <c r="BF116" s="254" t="str">
        <f t="shared" ca="1" si="224"/>
        <v>NA</v>
      </c>
      <c r="BG116" s="254" t="str">
        <f t="shared" ca="1" si="224"/>
        <v>NA</v>
      </c>
      <c r="BH116" s="254" t="str">
        <f t="shared" ca="1" si="224"/>
        <v>NA</v>
      </c>
      <c r="BI116" s="254" t="str">
        <f t="shared" ca="1" si="224"/>
        <v>NA</v>
      </c>
      <c r="BJ116" s="254" t="str">
        <f t="shared" ca="1" si="224"/>
        <v>NA</v>
      </c>
      <c r="BK116" s="254">
        <f t="shared" ca="1" si="224"/>
        <v>1.4279850821230562</v>
      </c>
      <c r="BL116" s="254">
        <f t="shared" ca="1" si="224"/>
        <v>1.4651741993553804</v>
      </c>
      <c r="BM116" s="254">
        <f t="shared" ca="1" si="224"/>
        <v>1.4651741993553804</v>
      </c>
      <c r="BN116" s="254">
        <f t="shared" ca="1" si="224"/>
        <v>1.4651741993553804</v>
      </c>
      <c r="BO116" s="254">
        <f t="shared" ca="1" si="224"/>
        <v>1.4651741993553804</v>
      </c>
      <c r="BP116" s="254">
        <f t="shared" ca="1" si="224"/>
        <v>1.4651741993553804</v>
      </c>
      <c r="BQ116" s="254">
        <f t="shared" ca="1" si="224"/>
        <v>1.4651741993553804</v>
      </c>
      <c r="BR116" s="254">
        <f t="shared" ca="1" si="224"/>
        <v>1.4651741993553804</v>
      </c>
      <c r="BS116" s="254">
        <f t="shared" ca="1" si="224"/>
        <v>1.4651741993553804</v>
      </c>
      <c r="BT116" s="254">
        <f t="shared" ca="1" si="224"/>
        <v>1.4651741993553804</v>
      </c>
      <c r="BU116" s="254">
        <f t="shared" ca="1" si="224"/>
        <v>1.4651741993553804</v>
      </c>
      <c r="BV116" s="254">
        <f t="shared" ca="1" si="224"/>
        <v>1.4651741993553804</v>
      </c>
      <c r="BW116" s="254">
        <f t="shared" ca="1" si="224"/>
        <v>1.4651741993553804</v>
      </c>
      <c r="BX116" s="254">
        <f t="shared" ca="1" si="224"/>
        <v>1.5091294253360419</v>
      </c>
      <c r="BY116" s="254">
        <f t="shared" ca="1" si="224"/>
        <v>1.5091294253360419</v>
      </c>
      <c r="BZ116" s="254">
        <f t="shared" ca="1" si="224"/>
        <v>1.5091294253360419</v>
      </c>
      <c r="CA116" s="254">
        <f t="shared" ref="CA116:DF116" ca="1" si="225">IF(ISERROR(-CA80/CA96),"NA",-CA80/CA96)</f>
        <v>1.5091294253360419</v>
      </c>
      <c r="CB116" s="254">
        <f t="shared" ca="1" si="225"/>
        <v>1.5091294253360419</v>
      </c>
      <c r="CC116" s="254">
        <f t="shared" ca="1" si="225"/>
        <v>1.5091294253360419</v>
      </c>
      <c r="CD116" s="254">
        <f t="shared" ca="1" si="225"/>
        <v>1.5091294253360419</v>
      </c>
      <c r="CE116" s="254">
        <f t="shared" ca="1" si="225"/>
        <v>1.5091294253360419</v>
      </c>
      <c r="CF116" s="254">
        <f t="shared" ca="1" si="225"/>
        <v>1.5091294253360419</v>
      </c>
      <c r="CG116" s="254">
        <f t="shared" ca="1" si="225"/>
        <v>1.5091294253360419</v>
      </c>
      <c r="CH116" s="254">
        <f t="shared" ca="1" si="225"/>
        <v>1.5091294253360419</v>
      </c>
      <c r="CI116" s="254">
        <f t="shared" ca="1" si="225"/>
        <v>1.5091294253360419</v>
      </c>
      <c r="CJ116" s="254">
        <f t="shared" ca="1" si="225"/>
        <v>1.5544033080961235</v>
      </c>
      <c r="CK116" s="254">
        <f t="shared" ca="1" si="225"/>
        <v>1.5544033080961235</v>
      </c>
      <c r="CL116" s="254">
        <f t="shared" ca="1" si="225"/>
        <v>1.5544033080961235</v>
      </c>
      <c r="CM116" s="254">
        <f t="shared" ca="1" si="225"/>
        <v>1.5544033080961235</v>
      </c>
      <c r="CN116" s="254">
        <f t="shared" ca="1" si="225"/>
        <v>1.5544033080961235</v>
      </c>
      <c r="CO116" s="254">
        <f t="shared" ca="1" si="225"/>
        <v>1.5544033080961235</v>
      </c>
      <c r="CP116" s="254">
        <f t="shared" ca="1" si="225"/>
        <v>1.5544033080961235</v>
      </c>
      <c r="CQ116" s="254">
        <f t="shared" ca="1" si="225"/>
        <v>1.5544033080961235</v>
      </c>
      <c r="CR116" s="254">
        <f t="shared" ca="1" si="225"/>
        <v>1.5544033080961235</v>
      </c>
      <c r="CS116" s="254">
        <f t="shared" ca="1" si="225"/>
        <v>1.5544033080961235</v>
      </c>
      <c r="CT116" s="254">
        <f t="shared" ca="1" si="225"/>
        <v>1.5544033080961235</v>
      </c>
      <c r="CU116" s="254">
        <f t="shared" ca="1" si="225"/>
        <v>1.5544033080961235</v>
      </c>
      <c r="CV116" s="254">
        <f t="shared" ca="1" si="225"/>
        <v>1.6010354073390072</v>
      </c>
      <c r="CW116" s="254">
        <f t="shared" ca="1" si="225"/>
        <v>1.6010354073390072</v>
      </c>
      <c r="CX116" s="254">
        <f t="shared" ca="1" si="225"/>
        <v>1.6010354073390072</v>
      </c>
      <c r="CY116" s="254">
        <f t="shared" ca="1" si="225"/>
        <v>1.6010354073390072</v>
      </c>
      <c r="CZ116" s="254">
        <f t="shared" ca="1" si="225"/>
        <v>1.6010354073390072</v>
      </c>
      <c r="DA116" s="254">
        <f t="shared" ca="1" si="225"/>
        <v>1.6010354073390072</v>
      </c>
      <c r="DB116" s="254">
        <f t="shared" ca="1" si="225"/>
        <v>1.6010354073390072</v>
      </c>
      <c r="DC116" s="254">
        <f t="shared" ca="1" si="225"/>
        <v>1.6010354073390072</v>
      </c>
      <c r="DD116" s="254">
        <f t="shared" ca="1" si="225"/>
        <v>1.6010354073390072</v>
      </c>
      <c r="DE116" s="254">
        <f t="shared" ca="1" si="225"/>
        <v>1.6010354073390072</v>
      </c>
      <c r="DF116" s="254">
        <f t="shared" ca="1" si="225"/>
        <v>1.6010354073390072</v>
      </c>
      <c r="DG116" s="254">
        <f t="shared" ref="DG116:EQ116" ca="1" si="226">IF(ISERROR(-DG80/DG96),"NA",-DG80/DG96)</f>
        <v>1.6010354073390072</v>
      </c>
      <c r="DH116" s="254" t="str">
        <f t="shared" ca="1" si="226"/>
        <v>NA</v>
      </c>
      <c r="DI116" s="254" t="str">
        <f t="shared" ca="1" si="226"/>
        <v>NA</v>
      </c>
      <c r="DJ116" s="254" t="str">
        <f t="shared" ca="1" si="226"/>
        <v>NA</v>
      </c>
      <c r="DK116" s="254" t="str">
        <f t="shared" ca="1" si="226"/>
        <v>NA</v>
      </c>
      <c r="DL116" s="254" t="str">
        <f t="shared" ca="1" si="226"/>
        <v>NA</v>
      </c>
      <c r="DM116" s="254" t="str">
        <f t="shared" ca="1" si="226"/>
        <v>NA</v>
      </c>
      <c r="DN116" s="254" t="str">
        <f t="shared" ca="1" si="226"/>
        <v>NA</v>
      </c>
      <c r="DO116" s="254" t="str">
        <f t="shared" ca="1" si="226"/>
        <v>NA</v>
      </c>
      <c r="DP116" s="254" t="str">
        <f t="shared" ca="1" si="226"/>
        <v>NA</v>
      </c>
      <c r="DQ116" s="254" t="str">
        <f t="shared" ca="1" si="226"/>
        <v>NA</v>
      </c>
      <c r="DR116" s="254" t="str">
        <f t="shared" ca="1" si="226"/>
        <v>NA</v>
      </c>
      <c r="DS116" s="254" t="str">
        <f t="shared" ca="1" si="226"/>
        <v>NA</v>
      </c>
      <c r="DT116" s="254" t="str">
        <f t="shared" ca="1" si="226"/>
        <v>NA</v>
      </c>
      <c r="DU116" s="254" t="str">
        <f t="shared" ca="1" si="226"/>
        <v>NA</v>
      </c>
      <c r="DV116" s="254" t="str">
        <f t="shared" ca="1" si="226"/>
        <v>NA</v>
      </c>
      <c r="DW116" s="254" t="str">
        <f t="shared" ca="1" si="226"/>
        <v>NA</v>
      </c>
      <c r="DX116" s="254" t="str">
        <f t="shared" ca="1" si="226"/>
        <v>NA</v>
      </c>
      <c r="DY116" s="254" t="str">
        <f t="shared" ca="1" si="226"/>
        <v>NA</v>
      </c>
      <c r="DZ116" s="254" t="str">
        <f t="shared" ca="1" si="226"/>
        <v>NA</v>
      </c>
      <c r="EA116" s="254" t="str">
        <f t="shared" ca="1" si="226"/>
        <v>NA</v>
      </c>
      <c r="EB116" s="254" t="str">
        <f t="shared" ca="1" si="226"/>
        <v>NA</v>
      </c>
      <c r="EC116" s="254" t="str">
        <f t="shared" ca="1" si="226"/>
        <v>NA</v>
      </c>
      <c r="ED116" s="254" t="str">
        <f t="shared" ca="1" si="226"/>
        <v>NA</v>
      </c>
      <c r="EE116" s="254" t="str">
        <f t="shared" ca="1" si="226"/>
        <v>NA</v>
      </c>
      <c r="EF116" s="254" t="str">
        <f t="shared" ca="1" si="226"/>
        <v>NA</v>
      </c>
      <c r="EG116" s="254" t="str">
        <f t="shared" ca="1" si="226"/>
        <v>NA</v>
      </c>
      <c r="EH116" s="254" t="str">
        <f t="shared" ca="1" si="226"/>
        <v>NA</v>
      </c>
      <c r="EI116" s="254" t="str">
        <f t="shared" ca="1" si="226"/>
        <v>NA</v>
      </c>
      <c r="EJ116" s="254" t="str">
        <f t="shared" ca="1" si="226"/>
        <v>NA</v>
      </c>
      <c r="EK116" s="254" t="str">
        <f t="shared" ca="1" si="226"/>
        <v>NA</v>
      </c>
      <c r="EL116" s="254" t="str">
        <f t="shared" ca="1" si="226"/>
        <v>NA</v>
      </c>
      <c r="EM116" s="254" t="str">
        <f t="shared" ca="1" si="226"/>
        <v>NA</v>
      </c>
      <c r="EN116" s="254" t="str">
        <f t="shared" ca="1" si="226"/>
        <v>NA</v>
      </c>
      <c r="EO116" s="254" t="str">
        <f t="shared" ca="1" si="226"/>
        <v>NA</v>
      </c>
      <c r="EP116" s="254" t="str">
        <f t="shared" ca="1" si="226"/>
        <v>NA</v>
      </c>
      <c r="EQ116" s="254" t="str">
        <f t="shared" ca="1" si="226"/>
        <v>NA</v>
      </c>
      <c r="ES116" s="98"/>
      <c r="ET116" s="98"/>
      <c r="EU116" s="98"/>
    </row>
    <row r="117" spans="7:151" ht="15.75">
      <c r="G117" s="101"/>
      <c r="H117" s="117"/>
      <c r="I117" s="95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  <c r="BR117" s="102"/>
      <c r="BS117" s="102"/>
      <c r="BT117" s="102"/>
      <c r="BU117" s="102"/>
      <c r="BV117" s="102"/>
      <c r="BW117" s="102"/>
      <c r="BX117" s="102"/>
      <c r="BY117" s="102"/>
      <c r="BZ117" s="102"/>
      <c r="CA117" s="102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102"/>
      <c r="CM117" s="102"/>
      <c r="CN117" s="102"/>
      <c r="CO117" s="102"/>
      <c r="CP117" s="102"/>
      <c r="CQ117" s="102"/>
      <c r="CR117" s="102"/>
      <c r="CS117" s="102"/>
      <c r="CT117" s="102"/>
      <c r="CU117" s="102"/>
      <c r="CV117" s="102"/>
      <c r="CW117" s="102"/>
      <c r="CX117" s="102"/>
      <c r="CY117" s="102"/>
      <c r="CZ117" s="102"/>
      <c r="DA117" s="102"/>
      <c r="DB117" s="102"/>
      <c r="DC117" s="102"/>
      <c r="DD117" s="102"/>
      <c r="DE117" s="102"/>
      <c r="DF117" s="102"/>
      <c r="DG117" s="102"/>
      <c r="DH117" s="102"/>
      <c r="DI117" s="102"/>
      <c r="DJ117" s="102"/>
      <c r="DK117" s="102"/>
      <c r="DL117" s="102"/>
      <c r="DM117" s="102"/>
      <c r="DN117" s="102"/>
      <c r="DO117" s="102"/>
      <c r="DP117" s="102"/>
      <c r="DQ117" s="102"/>
      <c r="DR117" s="102"/>
      <c r="DS117" s="102"/>
      <c r="DT117" s="102"/>
      <c r="DU117" s="102"/>
      <c r="DV117" s="102"/>
      <c r="DW117" s="102"/>
      <c r="DX117" s="102"/>
      <c r="DY117" s="102"/>
      <c r="DZ117" s="102"/>
      <c r="EA117" s="102"/>
      <c r="EB117" s="102"/>
      <c r="EC117" s="102"/>
      <c r="ED117" s="102"/>
      <c r="EE117" s="102"/>
      <c r="EF117" s="102"/>
      <c r="EG117" s="102"/>
      <c r="EH117" s="102"/>
      <c r="EI117" s="102"/>
      <c r="EJ117" s="102"/>
      <c r="EK117" s="102"/>
      <c r="EL117" s="102"/>
      <c r="EM117" s="102"/>
      <c r="EN117" s="102"/>
      <c r="EO117" s="102"/>
      <c r="EP117" s="102"/>
      <c r="EQ117" s="102"/>
      <c r="ES117" s="98"/>
      <c r="ET117" s="98"/>
      <c r="EU117" s="98"/>
    </row>
    <row r="118" spans="7:151" ht="15.75">
      <c r="G118" s="101"/>
      <c r="H118" s="117"/>
      <c r="I118" s="95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2"/>
      <c r="BR118" s="102"/>
      <c r="BS118" s="102"/>
      <c r="BT118" s="102"/>
      <c r="BU118" s="102"/>
      <c r="BV118" s="102"/>
      <c r="BW118" s="102"/>
      <c r="BX118" s="102"/>
      <c r="BY118" s="102"/>
      <c r="BZ118" s="102"/>
      <c r="CA118" s="102"/>
      <c r="CB118" s="102"/>
      <c r="CC118" s="102"/>
      <c r="CD118" s="102"/>
      <c r="CE118" s="102"/>
      <c r="CF118" s="102"/>
      <c r="CG118" s="102"/>
      <c r="CH118" s="102"/>
      <c r="CI118" s="102"/>
      <c r="CJ118" s="102"/>
      <c r="CK118" s="102"/>
      <c r="CL118" s="102"/>
      <c r="CM118" s="102"/>
      <c r="CN118" s="102"/>
      <c r="CO118" s="102"/>
      <c r="CP118" s="102"/>
      <c r="CQ118" s="102"/>
      <c r="CR118" s="102"/>
      <c r="CS118" s="102"/>
      <c r="CT118" s="102"/>
      <c r="CU118" s="102"/>
      <c r="CV118" s="102"/>
      <c r="CW118" s="102"/>
      <c r="CX118" s="102"/>
      <c r="CY118" s="102"/>
      <c r="CZ118" s="102"/>
      <c r="DA118" s="102"/>
      <c r="DB118" s="102"/>
      <c r="DC118" s="102"/>
      <c r="DD118" s="102"/>
      <c r="DE118" s="102"/>
      <c r="DF118" s="102"/>
      <c r="DG118" s="102"/>
      <c r="DH118" s="102"/>
      <c r="DI118" s="102"/>
      <c r="DJ118" s="102"/>
      <c r="DK118" s="102"/>
      <c r="DL118" s="102"/>
      <c r="DM118" s="102"/>
      <c r="DN118" s="102"/>
      <c r="DO118" s="102"/>
      <c r="DP118" s="102"/>
      <c r="DQ118" s="102"/>
      <c r="DR118" s="102"/>
      <c r="DS118" s="102"/>
      <c r="DT118" s="102"/>
      <c r="DU118" s="102"/>
      <c r="DV118" s="102"/>
      <c r="DW118" s="102"/>
      <c r="DX118" s="102"/>
      <c r="DY118" s="102"/>
      <c r="DZ118" s="102"/>
      <c r="EA118" s="102"/>
      <c r="EB118" s="102"/>
      <c r="EC118" s="102"/>
      <c r="ED118" s="102"/>
      <c r="EE118" s="102"/>
      <c r="EF118" s="102"/>
      <c r="EG118" s="102"/>
      <c r="EH118" s="102"/>
      <c r="EI118" s="102"/>
      <c r="EJ118" s="102"/>
      <c r="EK118" s="102"/>
      <c r="EL118" s="102"/>
      <c r="EM118" s="102"/>
      <c r="EN118" s="102"/>
      <c r="EO118" s="102"/>
      <c r="EP118" s="102"/>
      <c r="EQ118" s="102"/>
      <c r="ES118" s="98"/>
      <c r="ET118" s="98"/>
      <c r="EU118" s="98"/>
    </row>
    <row r="119" spans="7:151" ht="15.75">
      <c r="G119" s="101"/>
      <c r="H119" s="117"/>
      <c r="I119" s="95"/>
      <c r="J119" s="102"/>
      <c r="K119" s="102"/>
      <c r="L119" s="102"/>
      <c r="M119" s="102"/>
      <c r="N119" s="102"/>
      <c r="O119" s="102"/>
      <c r="P119" s="102"/>
      <c r="Q119" s="104"/>
      <c r="R119" s="104"/>
      <c r="S119" s="105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4"/>
      <c r="AX119" s="104"/>
      <c r="AY119" s="104"/>
      <c r="AZ119" s="104"/>
      <c r="BA119" s="104"/>
      <c r="BB119" s="104"/>
      <c r="BC119" s="104"/>
      <c r="BD119" s="104"/>
      <c r="BE119" s="104"/>
      <c r="BF119" s="104"/>
      <c r="BG119" s="104"/>
      <c r="BH119" s="104"/>
      <c r="BI119" s="104"/>
      <c r="BJ119" s="104"/>
      <c r="BK119" s="104"/>
      <c r="BL119" s="104"/>
      <c r="BM119" s="104"/>
      <c r="BN119" s="104"/>
      <c r="BO119" s="104"/>
      <c r="BP119" s="104"/>
      <c r="BQ119" s="104"/>
      <c r="BR119" s="104"/>
      <c r="BS119" s="104"/>
      <c r="BT119" s="104"/>
      <c r="BU119" s="104"/>
      <c r="BV119" s="104"/>
      <c r="BW119" s="104"/>
      <c r="BX119" s="104"/>
      <c r="BY119" s="104"/>
      <c r="BZ119" s="104"/>
      <c r="CA119" s="104"/>
      <c r="CB119" s="104"/>
      <c r="CC119" s="104"/>
      <c r="CD119" s="104"/>
      <c r="CE119" s="104"/>
      <c r="CF119" s="104"/>
      <c r="CG119" s="104"/>
      <c r="CH119" s="104"/>
      <c r="CI119" s="104"/>
      <c r="CJ119" s="104"/>
      <c r="CK119" s="104"/>
      <c r="CL119" s="104"/>
      <c r="CM119" s="104"/>
      <c r="CN119" s="104"/>
      <c r="CO119" s="104"/>
      <c r="CP119" s="104"/>
      <c r="CQ119" s="104"/>
      <c r="CR119" s="104"/>
      <c r="CS119" s="104"/>
      <c r="CT119" s="104"/>
      <c r="CU119" s="104"/>
      <c r="CV119" s="104"/>
      <c r="CW119" s="104"/>
      <c r="CX119" s="104"/>
      <c r="CY119" s="104"/>
      <c r="CZ119" s="104"/>
      <c r="DA119" s="104"/>
      <c r="DB119" s="104"/>
      <c r="DC119" s="104"/>
      <c r="DD119" s="104"/>
      <c r="DE119" s="104"/>
      <c r="DF119" s="104"/>
      <c r="DG119" s="104"/>
      <c r="DH119" s="104"/>
      <c r="DI119" s="104"/>
      <c r="DJ119" s="104"/>
      <c r="DK119" s="104"/>
      <c r="DL119" s="104"/>
      <c r="DM119" s="104"/>
      <c r="DN119" s="104"/>
      <c r="DO119" s="104"/>
      <c r="DP119" s="104"/>
      <c r="DQ119" s="104"/>
      <c r="DR119" s="104"/>
      <c r="DS119" s="104"/>
      <c r="DT119" s="104"/>
      <c r="DU119" s="104"/>
      <c r="DV119" s="104"/>
      <c r="DW119" s="104"/>
      <c r="DX119" s="104"/>
      <c r="DY119" s="104"/>
      <c r="DZ119" s="104"/>
      <c r="EA119" s="104"/>
      <c r="EB119" s="104"/>
      <c r="EC119" s="104"/>
      <c r="ED119" s="104"/>
      <c r="EE119" s="104"/>
      <c r="EF119" s="104"/>
      <c r="EG119" s="104"/>
      <c r="EH119" s="104"/>
      <c r="EI119" s="104"/>
      <c r="EJ119" s="104"/>
      <c r="EK119" s="104"/>
      <c r="EL119" s="104"/>
      <c r="EM119" s="104"/>
      <c r="EN119" s="104"/>
      <c r="EO119" s="104"/>
      <c r="EP119" s="104"/>
      <c r="EQ119" s="104"/>
      <c r="ES119" s="98"/>
      <c r="ET119" s="98"/>
      <c r="EU119" s="98"/>
    </row>
    <row r="120" spans="7:151" ht="15.75">
      <c r="G120" s="94"/>
      <c r="H120" s="117"/>
      <c r="I120" s="95"/>
      <c r="J120" s="102"/>
      <c r="K120" s="102"/>
      <c r="L120" s="102"/>
      <c r="M120" s="102"/>
      <c r="N120" s="102"/>
      <c r="O120" s="102"/>
      <c r="P120" s="102"/>
      <c r="Q120" s="104"/>
      <c r="R120" s="104"/>
      <c r="S120" s="105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4"/>
      <c r="AZ120" s="104"/>
      <c r="BA120" s="104"/>
      <c r="BB120" s="104"/>
      <c r="BC120" s="104"/>
      <c r="BD120" s="104"/>
      <c r="BE120" s="104"/>
      <c r="BF120" s="104"/>
      <c r="BG120" s="104"/>
      <c r="BH120" s="104"/>
      <c r="BI120" s="104"/>
      <c r="BJ120" s="104"/>
      <c r="BK120" s="104"/>
      <c r="BL120" s="104"/>
      <c r="BM120" s="104"/>
      <c r="BN120" s="104"/>
      <c r="BO120" s="104"/>
      <c r="BP120" s="104"/>
      <c r="BQ120" s="104"/>
      <c r="BR120" s="104"/>
      <c r="BS120" s="104"/>
      <c r="BT120" s="104"/>
      <c r="BU120" s="104"/>
      <c r="BV120" s="104"/>
      <c r="BW120" s="104"/>
      <c r="BX120" s="104"/>
      <c r="BY120" s="104"/>
      <c r="BZ120" s="104"/>
      <c r="CA120" s="104"/>
      <c r="CB120" s="104"/>
      <c r="CC120" s="104"/>
      <c r="CD120" s="104"/>
      <c r="CE120" s="104"/>
      <c r="CF120" s="104"/>
      <c r="CG120" s="104"/>
      <c r="CH120" s="104"/>
      <c r="CI120" s="104"/>
      <c r="CJ120" s="104"/>
      <c r="CK120" s="104"/>
      <c r="CL120" s="104"/>
      <c r="CM120" s="104"/>
      <c r="CN120" s="104"/>
      <c r="CO120" s="104"/>
      <c r="CP120" s="104"/>
      <c r="CQ120" s="104"/>
      <c r="CR120" s="104"/>
      <c r="CS120" s="104"/>
      <c r="CT120" s="104"/>
      <c r="CU120" s="104"/>
      <c r="CV120" s="104"/>
      <c r="CW120" s="104"/>
      <c r="CX120" s="104"/>
      <c r="CY120" s="104"/>
      <c r="CZ120" s="104"/>
      <c r="DA120" s="104"/>
      <c r="DB120" s="104"/>
      <c r="DC120" s="104"/>
      <c r="DD120" s="104"/>
      <c r="DE120" s="104"/>
      <c r="DF120" s="104"/>
      <c r="DG120" s="104"/>
      <c r="DH120" s="104"/>
      <c r="DI120" s="104"/>
      <c r="DJ120" s="104"/>
      <c r="DK120" s="104"/>
      <c r="DL120" s="104"/>
      <c r="DM120" s="104"/>
      <c r="DN120" s="104"/>
      <c r="DO120" s="104"/>
      <c r="DP120" s="104"/>
      <c r="DQ120" s="104"/>
      <c r="DR120" s="104"/>
      <c r="DS120" s="104"/>
      <c r="DT120" s="104"/>
      <c r="DU120" s="104"/>
      <c r="DV120" s="104"/>
      <c r="DW120" s="104"/>
      <c r="DX120" s="104"/>
      <c r="DY120" s="104"/>
      <c r="DZ120" s="104"/>
      <c r="EA120" s="104"/>
      <c r="EB120" s="104"/>
      <c r="EC120" s="104"/>
      <c r="ED120" s="104"/>
      <c r="EE120" s="104"/>
      <c r="EF120" s="104"/>
      <c r="EG120" s="104"/>
      <c r="EH120" s="104"/>
      <c r="EI120" s="104"/>
      <c r="EJ120" s="104"/>
      <c r="EK120" s="104"/>
      <c r="EL120" s="104"/>
      <c r="EM120" s="104"/>
      <c r="EN120" s="104"/>
      <c r="EO120" s="104"/>
      <c r="EP120" s="104"/>
      <c r="EQ120" s="104"/>
      <c r="ES120" s="98"/>
      <c r="ET120" s="98"/>
      <c r="EU120" s="98"/>
    </row>
    <row r="121" spans="7:151" ht="15.75">
      <c r="G121" s="94"/>
      <c r="H121" s="117"/>
      <c r="I121" s="95"/>
      <c r="J121" s="102"/>
      <c r="K121" s="102"/>
      <c r="L121" s="102"/>
      <c r="M121" s="102"/>
      <c r="N121" s="102"/>
      <c r="O121" s="102"/>
      <c r="P121" s="102"/>
      <c r="Q121" s="104"/>
      <c r="R121" s="104"/>
      <c r="S121" s="105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4"/>
      <c r="BP121" s="104"/>
      <c r="BQ121" s="104"/>
      <c r="BR121" s="104"/>
      <c r="BS121" s="104"/>
      <c r="BT121" s="104"/>
      <c r="BU121" s="104"/>
      <c r="BV121" s="104"/>
      <c r="BW121" s="104"/>
      <c r="BX121" s="104"/>
      <c r="BY121" s="104"/>
      <c r="BZ121" s="104"/>
      <c r="CA121" s="104"/>
      <c r="CB121" s="104"/>
      <c r="CC121" s="104"/>
      <c r="CD121" s="104"/>
      <c r="CE121" s="104"/>
      <c r="CF121" s="104"/>
      <c r="CG121" s="104"/>
      <c r="CH121" s="104"/>
      <c r="CI121" s="104"/>
      <c r="CJ121" s="104"/>
      <c r="CK121" s="104"/>
      <c r="CL121" s="104"/>
      <c r="CM121" s="104"/>
      <c r="CN121" s="104"/>
      <c r="CO121" s="104"/>
      <c r="CP121" s="104"/>
      <c r="CQ121" s="104"/>
      <c r="CR121" s="104"/>
      <c r="CS121" s="104"/>
      <c r="CT121" s="104"/>
      <c r="CU121" s="104"/>
      <c r="CV121" s="104"/>
      <c r="CW121" s="104"/>
      <c r="CX121" s="104"/>
      <c r="CY121" s="104"/>
      <c r="CZ121" s="104"/>
      <c r="DA121" s="104"/>
      <c r="DB121" s="104"/>
      <c r="DC121" s="104"/>
      <c r="DD121" s="104"/>
      <c r="DE121" s="104"/>
      <c r="DF121" s="104"/>
      <c r="DG121" s="104"/>
      <c r="DH121" s="104"/>
      <c r="DI121" s="104"/>
      <c r="DJ121" s="104"/>
      <c r="DK121" s="104"/>
      <c r="DL121" s="104"/>
      <c r="DM121" s="104"/>
      <c r="DN121" s="104"/>
      <c r="DO121" s="104"/>
      <c r="DP121" s="104"/>
      <c r="DQ121" s="104"/>
      <c r="DR121" s="104"/>
      <c r="DS121" s="104"/>
      <c r="DT121" s="104"/>
      <c r="DU121" s="104"/>
      <c r="DV121" s="104"/>
      <c r="DW121" s="104"/>
      <c r="DX121" s="104"/>
      <c r="DY121" s="104"/>
      <c r="DZ121" s="104"/>
      <c r="EA121" s="104"/>
      <c r="EB121" s="104"/>
      <c r="EC121" s="104"/>
      <c r="ED121" s="104"/>
      <c r="EE121" s="104"/>
      <c r="EF121" s="104"/>
      <c r="EG121" s="104"/>
      <c r="EH121" s="104"/>
      <c r="EI121" s="104"/>
      <c r="EJ121" s="104"/>
      <c r="EK121" s="104"/>
      <c r="EL121" s="104"/>
      <c r="EM121" s="104"/>
      <c r="EN121" s="104"/>
      <c r="EO121" s="104"/>
      <c r="EP121" s="104"/>
      <c r="EQ121" s="104"/>
      <c r="ES121" s="98"/>
      <c r="ET121" s="98"/>
      <c r="EU121" s="98"/>
    </row>
    <row r="122" spans="7:151" ht="15.75">
      <c r="G122" s="144"/>
      <c r="H122" s="146"/>
      <c r="I122" s="147"/>
      <c r="J122" s="147"/>
      <c r="K122" s="147"/>
      <c r="L122" s="147"/>
      <c r="M122" s="147"/>
      <c r="N122" s="144"/>
      <c r="O122" s="144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  <c r="BI122" s="148"/>
      <c r="BJ122" s="148"/>
      <c r="BK122" s="148"/>
      <c r="BL122" s="148"/>
      <c r="BM122" s="148"/>
      <c r="BN122" s="148"/>
      <c r="BO122" s="148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48"/>
      <c r="BZ122" s="148"/>
      <c r="CA122" s="148"/>
      <c r="CB122" s="148"/>
      <c r="CC122" s="148"/>
      <c r="CD122" s="148"/>
      <c r="CE122" s="148"/>
      <c r="CF122" s="148"/>
      <c r="CG122" s="148"/>
      <c r="CH122" s="148"/>
      <c r="CI122" s="148"/>
      <c r="CJ122" s="148"/>
      <c r="CK122" s="148"/>
      <c r="CL122" s="148"/>
      <c r="CM122" s="148"/>
      <c r="CN122" s="148"/>
      <c r="CO122" s="148"/>
      <c r="CP122" s="148"/>
      <c r="CQ122" s="148"/>
      <c r="CR122" s="148"/>
      <c r="CS122" s="148"/>
      <c r="CT122" s="148"/>
      <c r="CU122" s="148"/>
      <c r="CV122" s="148"/>
      <c r="CW122" s="148"/>
      <c r="CX122" s="148"/>
      <c r="CY122" s="148"/>
      <c r="CZ122" s="148"/>
      <c r="DA122" s="148"/>
      <c r="DB122" s="148"/>
      <c r="DC122" s="148"/>
      <c r="DD122" s="148"/>
      <c r="DE122" s="148"/>
      <c r="DF122" s="148"/>
      <c r="DG122" s="148"/>
      <c r="DH122" s="148"/>
      <c r="DI122" s="148"/>
      <c r="DJ122" s="148"/>
      <c r="DK122" s="148"/>
      <c r="DL122" s="148"/>
      <c r="DM122" s="148"/>
      <c r="DN122" s="148"/>
      <c r="DO122" s="148"/>
      <c r="DP122" s="148"/>
      <c r="DQ122" s="148"/>
      <c r="DR122" s="148"/>
      <c r="DS122" s="148"/>
      <c r="DT122" s="148"/>
      <c r="DU122" s="148"/>
      <c r="DV122" s="148"/>
      <c r="DW122" s="148"/>
      <c r="DX122" s="148"/>
      <c r="DY122" s="148"/>
      <c r="DZ122" s="148"/>
      <c r="EA122" s="148"/>
      <c r="EB122" s="148"/>
      <c r="EC122" s="148"/>
      <c r="ED122" s="148"/>
      <c r="EE122" s="148"/>
      <c r="EF122" s="148"/>
      <c r="EG122" s="148"/>
      <c r="EH122" s="148"/>
      <c r="EI122" s="148"/>
      <c r="EJ122" s="148"/>
      <c r="EK122" s="148"/>
      <c r="EL122" s="148"/>
      <c r="EM122" s="148"/>
      <c r="EN122" s="148"/>
      <c r="EO122" s="148"/>
      <c r="EP122" s="148"/>
      <c r="EQ122" s="148"/>
      <c r="ER122" s="149"/>
      <c r="ES122" s="149"/>
      <c r="ET122" s="149"/>
      <c r="EU122" s="149"/>
    </row>
    <row r="123" spans="7:151" s="145" customFormat="1" ht="15.75"/>
    <row r="124" spans="7:151" s="145" customFormat="1" ht="15.75"/>
    <row r="125" spans="7:151" s="145" customFormat="1" ht="15.75"/>
    <row r="126" spans="7:151" s="145" customFormat="1" ht="15.75"/>
    <row r="127" spans="7:151" s="145" customFormat="1" ht="11.25" customHeight="1"/>
    <row r="128" spans="7:151" s="145" customFormat="1" ht="11.25" customHeight="1"/>
    <row r="129" s="145" customFormat="1" ht="12.75" customHeight="1"/>
    <row r="130" s="145" customFormat="1" ht="12.75" customHeight="1"/>
    <row r="131" s="145" customFormat="1" ht="12.75" customHeight="1"/>
    <row r="132" s="145" customFormat="1" ht="12.75" customHeight="1"/>
    <row r="133" s="145" customFormat="1" ht="12.75" customHeight="1"/>
    <row r="134" s="145" customFormat="1" ht="12.75" customHeight="1"/>
    <row r="135" s="145" customFormat="1" ht="12.75" customHeight="1"/>
    <row r="136" s="145" customFormat="1" ht="12.75" customHeight="1"/>
    <row r="137" s="145" customFormat="1" ht="12.75" customHeight="1"/>
    <row r="138" s="145" customFormat="1" ht="12.75" customHeight="1"/>
    <row r="139" s="145" customFormat="1" ht="12.75" customHeight="1"/>
    <row r="140" s="145" customFormat="1" ht="12.75" customHeight="1"/>
    <row r="141" s="145" customFormat="1" ht="26.25" customHeight="1"/>
    <row r="142" s="145" customFormat="1" ht="12.75" customHeight="1"/>
    <row r="143" s="145" customFormat="1" ht="12.75" customHeight="1"/>
    <row r="144" s="145" customFormat="1" ht="12.75" customHeight="1"/>
    <row r="145" s="145" customFormat="1" ht="12.75" customHeight="1"/>
    <row r="146" s="145" customFormat="1" ht="12.75" customHeight="1"/>
    <row r="147" s="145" customFormat="1" ht="12.75" customHeight="1"/>
    <row r="148" s="145" customFormat="1" ht="12.75" customHeight="1"/>
    <row r="149" s="145" customFormat="1" ht="15.75"/>
    <row r="150" s="145" customFormat="1" ht="15.75"/>
    <row r="151" s="145" customFormat="1" ht="15.75"/>
    <row r="152" s="145" customFormat="1" ht="12.75" customHeight="1"/>
    <row r="153" s="145" customFormat="1" ht="12.75" customHeight="1"/>
    <row r="154" s="145" customFormat="1" ht="12.75" customHeight="1"/>
    <row r="155" s="145" customFormat="1" ht="12.75" customHeight="1"/>
    <row r="156" s="145" customFormat="1" ht="12.75" customHeight="1"/>
    <row r="157" s="145" customFormat="1" ht="12.75" customHeight="1"/>
    <row r="158" s="145" customFormat="1" ht="12.75" customHeight="1"/>
    <row r="159" s="145" customFormat="1" ht="15.75"/>
    <row r="160" s="145" customFormat="1" ht="12.75" customHeight="1"/>
    <row r="161" spans="16:16" s="145" customFormat="1" ht="12.75" customHeight="1"/>
    <row r="162" spans="16:16" s="145" customFormat="1" ht="12.75" customHeight="1"/>
    <row r="163" spans="16:16" s="145" customFormat="1" ht="12.75" customHeight="1"/>
    <row r="164" spans="16:16" s="145" customFormat="1" ht="12.75" customHeight="1"/>
    <row r="165" spans="16:16" s="145" customFormat="1" ht="12.75" customHeight="1"/>
    <row r="166" spans="16:16" s="145" customFormat="1" ht="12.75" customHeight="1"/>
    <row r="167" spans="16:16" s="145" customFormat="1" ht="12.75" customHeight="1"/>
    <row r="168" spans="16:16" s="145" customFormat="1" ht="12.75" customHeight="1"/>
    <row r="169" spans="16:16" s="145" customFormat="1" ht="15.75"/>
    <row r="170" spans="16:16" s="145" customFormat="1" ht="12.75" customHeight="1"/>
    <row r="171" spans="16:16" s="145" customFormat="1" ht="12.75" customHeight="1"/>
    <row r="172" spans="16:16" ht="12.75" customHeight="1">
      <c r="P172" s="64"/>
    </row>
    <row r="173" spans="16:16" ht="12.75" customHeight="1"/>
    <row r="174" spans="16:16" ht="12.75" customHeight="1"/>
    <row r="175" spans="16:16" ht="12.75" customHeight="1"/>
    <row r="176" spans="16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</sheetData>
  <customSheetViews>
    <customSheetView guid="{AC6D0829-7D33-475A-BFC8-17DE97049707}" scale="90" showGridLines="0" hiddenRows="1" hiddenColumns="1">
      <selection activeCell="K6" sqref="K6"/>
      <rowBreaks count="2" manualBreakCount="2">
        <brk id="59" min="2" max="141" man="1"/>
        <brk id="96" min="2" max="141" man="1"/>
      </rowBreaks>
      <pageMargins left="0.2" right="0.2" top="0.4" bottom="0.4" header="0.5" footer="0.32"/>
      <pageSetup paperSize="5" scale="69" fitToWidth="10" fitToHeight="2" orientation="landscape" horizontalDpi="4294967294" verticalDpi="4294967292" r:id="rId1"/>
      <headerFooter alignWithMargins="0"/>
    </customSheetView>
  </customSheetViews>
  <mergeCells count="6">
    <mergeCell ref="B2:E2"/>
    <mergeCell ref="M36:N36"/>
    <mergeCell ref="ES5:ES6"/>
    <mergeCell ref="G17:J17"/>
    <mergeCell ref="ER4:ER5"/>
    <mergeCell ref="K6:M6"/>
  </mergeCells>
  <phoneticPr fontId="5" type="noConversion"/>
  <conditionalFormatting sqref="ER126:EU126">
    <cfRule type="cellIs" dxfId="8" priority="11" stopIfTrue="1" operator="equal">
      <formula>"Stabilized"</formula>
    </cfRule>
  </conditionalFormatting>
  <conditionalFormatting sqref="F4:F14">
    <cfRule type="cellIs" dxfId="7" priority="8" stopIfTrue="1" operator="between">
      <formula>10</formula>
      <formula>10</formula>
    </cfRule>
  </conditionalFormatting>
  <conditionalFormatting sqref="E5:F14">
    <cfRule type="cellIs" dxfId="6" priority="7" stopIfTrue="1" operator="between">
      <formula>10</formula>
      <formula>10</formula>
    </cfRule>
  </conditionalFormatting>
  <conditionalFormatting sqref="E5:F5">
    <cfRule type="cellIs" dxfId="5" priority="6" stopIfTrue="1" operator="between">
      <formula>5</formula>
      <formula>5</formula>
    </cfRule>
  </conditionalFormatting>
  <conditionalFormatting sqref="E4">
    <cfRule type="containsText" dxfId="4" priority="1" stopIfTrue="1" operator="containsText" text="Schedule">
      <formula>NOT(ISERROR(SEARCH("Schedule",E4)))</formula>
    </cfRule>
    <cfRule type="containsText" dxfId="3" priority="4" stopIfTrue="1" operator="containsText" text="OK">
      <formula>NOT(ISERROR(SEARCH("OK",E4)))</formula>
    </cfRule>
    <cfRule type="containsText" dxfId="2" priority="5" stopIfTrue="1" operator="containsText" text="Fix">
      <formula>NOT(ISERROR(SEARCH("Fix",E4)))</formula>
    </cfRule>
  </conditionalFormatting>
  <conditionalFormatting sqref="E5:E14">
    <cfRule type="containsText" dxfId="1" priority="2" stopIfTrue="1" operator="containsText" text="OK">
      <formula>NOT(ISERROR(SEARCH("OK",E5)))</formula>
    </cfRule>
    <cfRule type="containsText" dxfId="0" priority="3" stopIfTrue="1" operator="containsText" text="Fix">
      <formula>NOT(ISERROR(SEARCH("Fix",E5)))</formula>
    </cfRule>
  </conditionalFormatting>
  <pageMargins left="0.2" right="0.2" top="0.4" bottom="0.4" header="0.5" footer="0.32"/>
  <pageSetup paperSize="5" scale="69" fitToWidth="10" fitToHeight="2" orientation="landscape" horizontalDpi="4294967294" verticalDpi="4294967292" r:id="rId2"/>
  <headerFooter alignWithMargins="0"/>
  <rowBreaks count="2" manualBreakCount="2">
    <brk id="61" min="6" max="145" man="1"/>
    <brk id="99" min="6" max="145" man="1"/>
  </row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U118"/>
  <sheetViews>
    <sheetView showGridLines="0" zoomScale="90" zoomScaleNormal="90" zoomScaleSheetLayoutView="70" workbookViewId="0"/>
  </sheetViews>
  <sheetFormatPr defaultColWidth="10.6640625" defaultRowHeight="15.75"/>
  <cols>
    <col min="1" max="1" width="10.6640625" style="164"/>
    <col min="2" max="2" width="51.6640625" style="164" customWidth="1"/>
    <col min="3" max="4" width="17.1640625" style="164" customWidth="1"/>
    <col min="5" max="5" width="17.33203125" style="164" customWidth="1"/>
    <col min="6" max="8" width="15" style="164" customWidth="1"/>
    <col min="9" max="9" width="16" style="164" customWidth="1"/>
    <col min="10" max="10" width="15.83203125" style="164" customWidth="1"/>
    <col min="11" max="16" width="15" style="164" customWidth="1"/>
    <col min="17" max="18" width="10.6640625" style="164"/>
    <col min="19" max="19" width="11.83203125" style="164" bestFit="1" customWidth="1"/>
    <col min="20" max="20" width="17.5" style="164" bestFit="1" customWidth="1"/>
    <col min="21" max="21" width="14" style="164" bestFit="1" customWidth="1"/>
    <col min="22" max="16384" width="10.6640625" style="164"/>
  </cols>
  <sheetData>
    <row r="1" spans="2:20">
      <c r="B1" s="312" t="s">
        <v>159</v>
      </c>
      <c r="C1" s="324">
        <f>Assumptions!H10</f>
        <v>43890</v>
      </c>
      <c r="D1" s="324"/>
      <c r="G1" s="312"/>
      <c r="H1" s="324"/>
    </row>
    <row r="2" spans="2:20">
      <c r="B2" s="312" t="s">
        <v>194</v>
      </c>
      <c r="C2" s="419">
        <f>SUM(E2:P2)</f>
        <v>30</v>
      </c>
      <c r="D2" s="419"/>
      <c r="E2" s="418">
        <f>SUMIF('Monthly Cash Flow Solution'!$P$11:$EQ$11,'Annual Cash Flow'!E11,'Monthly Cash Flow Solution'!$P$36:$EQ$36)</f>
        <v>10</v>
      </c>
      <c r="F2" s="418">
        <f>SUMIF('Monthly Cash Flow Solution'!$P$11:$EQ$11,'Annual Cash Flow'!F11,'Monthly Cash Flow Solution'!$P$36:$EQ$36)</f>
        <v>15</v>
      </c>
      <c r="G2" s="418">
        <f>SUMIF('Monthly Cash Flow Solution'!$P$11:$EQ$11,'Annual Cash Flow'!G11,'Monthly Cash Flow Solution'!$P$36:$EQ$36)</f>
        <v>5</v>
      </c>
      <c r="H2" s="418">
        <f>SUMIF('Monthly Cash Flow Solution'!$P$11:$EQ$11,'Annual Cash Flow'!H11,'Monthly Cash Flow Solution'!$P$36:$EQ$36)</f>
        <v>0</v>
      </c>
      <c r="I2" s="418">
        <f>SUMIF('Monthly Cash Flow Solution'!$P$11:$EQ$11,'Annual Cash Flow'!I11,'Monthly Cash Flow Solution'!$P$36:$EQ$36)</f>
        <v>0</v>
      </c>
      <c r="J2" s="418">
        <f>SUMIF('Monthly Cash Flow Solution'!$P$11:$EQ$11,'Annual Cash Flow'!J11,'Monthly Cash Flow Solution'!$P$36:$EQ$36)</f>
        <v>0</v>
      </c>
      <c r="K2" s="418">
        <f>SUMIF('Monthly Cash Flow Solution'!$P$11:$EQ$11,'Annual Cash Flow'!K11,'Monthly Cash Flow Solution'!$P$36:$EQ$36)</f>
        <v>0</v>
      </c>
      <c r="L2" s="418">
        <f>SUMIF('Monthly Cash Flow Solution'!$P$11:$EQ$11,'Annual Cash Flow'!L11,'Monthly Cash Flow Solution'!$P$36:$EQ$36)</f>
        <v>0</v>
      </c>
      <c r="M2" s="418">
        <f>SUMIF('Monthly Cash Flow Solution'!$P$11:$EQ$11,'Annual Cash Flow'!M11,'Monthly Cash Flow Solution'!$P$36:$EQ$36)</f>
        <v>0</v>
      </c>
      <c r="N2" s="418">
        <f>SUMIF('Monthly Cash Flow Solution'!$P$11:$EQ$11,'Annual Cash Flow'!N11,'Monthly Cash Flow Solution'!$P$36:$EQ$36)</f>
        <v>0</v>
      </c>
      <c r="O2" s="418">
        <f>SUMIF('Monthly Cash Flow Solution'!$P$11:$EQ$11,'Annual Cash Flow'!O11,'Monthly Cash Flow Solution'!$P$36:$EQ$36)</f>
        <v>0</v>
      </c>
      <c r="P2" s="418">
        <f>SUMIF('Monthly Cash Flow Solution'!$P$11:$EQ$11,'Annual Cash Flow'!P11,'Monthly Cash Flow Solution'!$P$36:$EQ$36)</f>
        <v>0</v>
      </c>
    </row>
    <row r="3" spans="2:20" ht="18.75">
      <c r="B3" s="981" t="str">
        <f>Assumptions!B3</f>
        <v>Miami Beach Multi-family Building: Rue Vendome</v>
      </c>
      <c r="C3" s="982"/>
      <c r="D3" s="982"/>
      <c r="E3" s="982"/>
      <c r="F3" s="982"/>
      <c r="G3" s="982"/>
      <c r="H3" s="982"/>
      <c r="I3" s="982"/>
      <c r="J3" s="982"/>
      <c r="K3" s="982"/>
      <c r="L3" s="982"/>
      <c r="M3" s="982"/>
      <c r="N3" s="982"/>
      <c r="O3" s="982"/>
      <c r="P3" s="983"/>
    </row>
    <row r="4" spans="2:20" s="165" customFormat="1" ht="18.75">
      <c r="B4" s="984" t="s">
        <v>153</v>
      </c>
      <c r="C4" s="985"/>
      <c r="D4" s="985"/>
      <c r="E4" s="985"/>
      <c r="F4" s="985"/>
      <c r="G4" s="985"/>
      <c r="H4" s="985"/>
      <c r="I4" s="985"/>
      <c r="J4" s="985"/>
      <c r="K4" s="985"/>
      <c r="L4" s="985"/>
      <c r="M4" s="985"/>
      <c r="N4" s="985"/>
      <c r="O4" s="985"/>
      <c r="P4" s="986"/>
    </row>
    <row r="5" spans="2:20" s="165" customFormat="1" ht="6" customHeight="1"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</row>
    <row r="6" spans="2:20">
      <c r="B6" s="315"/>
      <c r="C6" s="316" t="s">
        <v>151</v>
      </c>
      <c r="D6" s="318">
        <f>Assumptions!L12</f>
        <v>0</v>
      </c>
      <c r="E6" s="318">
        <f>Assumptions!L13</f>
        <v>3.4000000000000002E-2</v>
      </c>
      <c r="F6" s="318">
        <f>Assumptions!L14</f>
        <v>4.7E-2</v>
      </c>
      <c r="G6" s="318">
        <f>Assumptions!L15</f>
        <v>4.7E-2</v>
      </c>
      <c r="H6" s="318">
        <f>Assumptions!L16</f>
        <v>3.3000000000000002E-2</v>
      </c>
      <c r="I6" s="318">
        <f>Assumptions!L17</f>
        <v>2.7E-2</v>
      </c>
      <c r="J6" s="318">
        <f>Assumptions!L18</f>
        <v>0.03</v>
      </c>
      <c r="K6" s="318">
        <f>Assumptions!L19</f>
        <v>0.03</v>
      </c>
      <c r="L6" s="318">
        <f>Assumptions!L20</f>
        <v>0.03</v>
      </c>
      <c r="M6" s="318">
        <f>Assumptions!L21</f>
        <v>0.03</v>
      </c>
      <c r="N6" s="318">
        <f>Assumptions!L22</f>
        <v>0.03</v>
      </c>
      <c r="O6" s="318">
        <f>Assumptions!L23</f>
        <v>0.03</v>
      </c>
      <c r="P6" s="318"/>
    </row>
    <row r="7" spans="2:20">
      <c r="B7" s="315"/>
      <c r="C7" s="317" t="s">
        <v>152</v>
      </c>
      <c r="D7" s="318">
        <f>Assumptions!$H$69</f>
        <v>0.03</v>
      </c>
      <c r="E7" s="318">
        <f>Assumptions!$H$69</f>
        <v>0.03</v>
      </c>
      <c r="F7" s="318">
        <f>Assumptions!$H$69</f>
        <v>0.03</v>
      </c>
      <c r="G7" s="318">
        <f>Assumptions!$H$69</f>
        <v>0.03</v>
      </c>
      <c r="H7" s="318">
        <f>Assumptions!$H$69</f>
        <v>0.03</v>
      </c>
      <c r="I7" s="318">
        <f>Assumptions!$H$69</f>
        <v>0.03</v>
      </c>
      <c r="J7" s="318">
        <f>Assumptions!$H$69</f>
        <v>0.03</v>
      </c>
      <c r="K7" s="318">
        <f>Assumptions!$H$69</f>
        <v>0.03</v>
      </c>
      <c r="L7" s="318">
        <f>Assumptions!$H$69</f>
        <v>0.03</v>
      </c>
      <c r="M7" s="318">
        <f>Assumptions!$H$69</f>
        <v>0.03</v>
      </c>
      <c r="N7" s="318">
        <f>Assumptions!$H$69</f>
        <v>0.03</v>
      </c>
      <c r="O7" s="318">
        <f>Assumptions!$H$69</f>
        <v>0.03</v>
      </c>
      <c r="P7" s="319"/>
    </row>
    <row r="8" spans="2:20" ht="7.5" customHeight="1">
      <c r="B8" s="315"/>
      <c r="C8" s="317"/>
      <c r="D8" s="317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9"/>
    </row>
    <row r="9" spans="2:20">
      <c r="B9" s="313" t="s">
        <v>154</v>
      </c>
      <c r="D9" s="321">
        <f>EDATE(D10,-12)</f>
        <v>40602</v>
      </c>
      <c r="E9" s="321">
        <f>Assumptions!G8</f>
        <v>40969</v>
      </c>
      <c r="F9" s="321">
        <f>E10+1</f>
        <v>41335</v>
      </c>
      <c r="G9" s="321">
        <f t="shared" ref="G9:P9" si="0">F10+1</f>
        <v>41701</v>
      </c>
      <c r="H9" s="321">
        <f t="shared" si="0"/>
        <v>42067</v>
      </c>
      <c r="I9" s="321">
        <f t="shared" si="0"/>
        <v>42434</v>
      </c>
      <c r="J9" s="321">
        <f t="shared" si="0"/>
        <v>42800</v>
      </c>
      <c r="K9" s="321">
        <f t="shared" si="0"/>
        <v>43166</v>
      </c>
      <c r="L9" s="321">
        <f t="shared" si="0"/>
        <v>43532</v>
      </c>
      <c r="M9" s="321">
        <f t="shared" si="0"/>
        <v>43899</v>
      </c>
      <c r="N9" s="321">
        <f t="shared" si="0"/>
        <v>44265</v>
      </c>
      <c r="O9" s="321">
        <f t="shared" si="0"/>
        <v>44631</v>
      </c>
      <c r="P9" s="321">
        <f t="shared" si="0"/>
        <v>44997</v>
      </c>
      <c r="R9" s="312"/>
    </row>
    <row r="10" spans="2:20">
      <c r="B10" s="313" t="s">
        <v>155</v>
      </c>
      <c r="D10" s="321">
        <f>E9-1</f>
        <v>40968</v>
      </c>
      <c r="E10" s="321">
        <f>EDATE(E9,12)</f>
        <v>41334</v>
      </c>
      <c r="F10" s="321">
        <f t="shared" ref="F10:P10" si="1">EDATE(F9,12)</f>
        <v>41700</v>
      </c>
      <c r="G10" s="321">
        <f t="shared" si="1"/>
        <v>42066</v>
      </c>
      <c r="H10" s="321">
        <f t="shared" si="1"/>
        <v>42433</v>
      </c>
      <c r="I10" s="321">
        <f t="shared" si="1"/>
        <v>42799</v>
      </c>
      <c r="J10" s="321">
        <f t="shared" si="1"/>
        <v>43165</v>
      </c>
      <c r="K10" s="321">
        <f t="shared" si="1"/>
        <v>43531</v>
      </c>
      <c r="L10" s="321">
        <f t="shared" si="1"/>
        <v>43898</v>
      </c>
      <c r="M10" s="321">
        <f t="shared" si="1"/>
        <v>44264</v>
      </c>
      <c r="N10" s="321">
        <f t="shared" si="1"/>
        <v>44630</v>
      </c>
      <c r="O10" s="321">
        <f t="shared" si="1"/>
        <v>44996</v>
      </c>
      <c r="P10" s="321">
        <f t="shared" si="1"/>
        <v>45363</v>
      </c>
    </row>
    <row r="11" spans="2:20">
      <c r="B11" s="325" t="s">
        <v>63</v>
      </c>
      <c r="C11" s="602" t="s">
        <v>336</v>
      </c>
      <c r="D11" s="657">
        <v>0</v>
      </c>
      <c r="E11" s="289">
        <v>1</v>
      </c>
      <c r="F11" s="289">
        <f>E11+1</f>
        <v>2</v>
      </c>
      <c r="G11" s="289">
        <f t="shared" ref="G11:P11" si="2">F11+1</f>
        <v>3</v>
      </c>
      <c r="H11" s="289">
        <f t="shared" si="2"/>
        <v>4</v>
      </c>
      <c r="I11" s="289">
        <f t="shared" si="2"/>
        <v>5</v>
      </c>
      <c r="J11" s="289">
        <f t="shared" si="2"/>
        <v>6</v>
      </c>
      <c r="K11" s="289">
        <f t="shared" si="2"/>
        <v>7</v>
      </c>
      <c r="L11" s="289">
        <f t="shared" si="2"/>
        <v>8</v>
      </c>
      <c r="M11" s="289">
        <f t="shared" si="2"/>
        <v>9</v>
      </c>
      <c r="N11" s="289">
        <f t="shared" si="2"/>
        <v>10</v>
      </c>
      <c r="O11" s="289">
        <f t="shared" si="2"/>
        <v>11</v>
      </c>
      <c r="P11" s="289">
        <f t="shared" si="2"/>
        <v>12</v>
      </c>
    </row>
    <row r="12" spans="2:20" ht="4.5" customHeight="1">
      <c r="C12" s="588"/>
      <c r="D12" s="657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</row>
    <row r="13" spans="2:20" ht="12.75" customHeight="1">
      <c r="B13" s="172" t="s">
        <v>36</v>
      </c>
      <c r="C13" s="589">
        <f t="shared" ref="C13:P13" si="3">IFERROR(1+C27/C22,"NA")</f>
        <v>0.95642616743794695</v>
      </c>
      <c r="D13" s="322" t="str">
        <f t="shared" si="3"/>
        <v>NA</v>
      </c>
      <c r="E13" s="322">
        <f t="shared" ca="1" si="3"/>
        <v>0.96</v>
      </c>
      <c r="F13" s="322">
        <f t="shared" ca="1" si="3"/>
        <v>0.96</v>
      </c>
      <c r="G13" s="322">
        <f t="shared" ca="1" si="3"/>
        <v>0.96</v>
      </c>
      <c r="H13" s="322">
        <f t="shared" ca="1" si="3"/>
        <v>0.96</v>
      </c>
      <c r="I13" s="322">
        <f t="shared" ca="1" si="3"/>
        <v>0.96</v>
      </c>
      <c r="J13" s="322">
        <f t="shared" ca="1" si="3"/>
        <v>0.96</v>
      </c>
      <c r="K13" s="322">
        <f t="shared" ca="1" si="3"/>
        <v>0.96</v>
      </c>
      <c r="L13" s="322">
        <f t="shared" ca="1" si="3"/>
        <v>0.96</v>
      </c>
      <c r="M13" s="322">
        <f t="shared" ca="1" si="3"/>
        <v>0.96</v>
      </c>
      <c r="N13" s="322" t="str">
        <f t="shared" ca="1" si="3"/>
        <v>NA</v>
      </c>
      <c r="O13" s="322" t="str">
        <f t="shared" ca="1" si="3"/>
        <v>NA</v>
      </c>
      <c r="P13" s="323" t="str">
        <f t="shared" si="3"/>
        <v>NA</v>
      </c>
    </row>
    <row r="14" spans="2:20" ht="24.95" customHeight="1">
      <c r="B14" s="166" t="s">
        <v>11</v>
      </c>
      <c r="C14" s="590" t="str">
        <f>IF(AND(D9&lt;$C$1,D10&gt;$C$1),"Disposition","")</f>
        <v/>
      </c>
      <c r="D14" s="850" t="s">
        <v>335</v>
      </c>
      <c r="E14" s="407" t="str">
        <f t="shared" ref="E14:J14" si="4">IF(AND(E9&lt;$C$1,E10&gt;$C$1),"Disposition","")</f>
        <v/>
      </c>
      <c r="F14" s="407" t="str">
        <f t="shared" si="4"/>
        <v/>
      </c>
      <c r="G14" s="407" t="str">
        <f t="shared" si="4"/>
        <v/>
      </c>
      <c r="H14" s="407" t="str">
        <f t="shared" si="4"/>
        <v/>
      </c>
      <c r="I14" s="407" t="str">
        <f t="shared" si="4"/>
        <v/>
      </c>
      <c r="J14" s="408" t="str">
        <f t="shared" si="4"/>
        <v/>
      </c>
      <c r="K14" s="408" t="str">
        <f t="shared" ref="K14:P14" si="5">IF(AND(K9&lt;$C$1,K10&gt;$C$1),"Disposition","")</f>
        <v/>
      </c>
      <c r="L14" s="408" t="str">
        <f t="shared" si="5"/>
        <v>Disposition</v>
      </c>
      <c r="M14" s="408" t="str">
        <f t="shared" si="5"/>
        <v/>
      </c>
      <c r="N14" s="408" t="str">
        <f t="shared" si="5"/>
        <v/>
      </c>
      <c r="O14" s="408" t="str">
        <f t="shared" si="5"/>
        <v/>
      </c>
      <c r="P14" s="408" t="str">
        <f t="shared" si="5"/>
        <v/>
      </c>
    </row>
    <row r="15" spans="2:20">
      <c r="B15" s="167" t="s">
        <v>37</v>
      </c>
      <c r="C15" s="591">
        <v>285240</v>
      </c>
      <c r="D15" s="295"/>
      <c r="E15" s="290">
        <f ca="1">IF(AND(E11=Assumptions!$H$9+1,C14="Disposition"),C15*(1+E6),SUMIF('Monthly Cash Flow Solution'!$P$11:$EQ$11,E11,'Monthly Cash Flow Solution'!$P$35:$EQ$35))</f>
        <v>290700</v>
      </c>
      <c r="F15" s="290">
        <f ca="1">IF(AND(F11=Assumptions!$H$9+1,E14="Disposition"),E15*(1+F6),SUMIF('Monthly Cash Flow Solution'!$P$11:$EQ$11,F11,'Monthly Cash Flow Solution'!$P$35:$EQ$35))</f>
        <v>304362.90000000008</v>
      </c>
      <c r="G15" s="290">
        <f ca="1">IF(AND(G11=Assumptions!$H$9+1,F14="Disposition"),F15*(1+G6),SUMIF('Monthly Cash Flow Solution'!$P$11:$EQ$11,G11,'Monthly Cash Flow Solution'!$P$35:$EQ$35))</f>
        <v>318667.95630000014</v>
      </c>
      <c r="H15" s="290">
        <f ca="1">IF(AND(H11=Assumptions!$H$9+1,G14="Disposition"),G15*(1+H6),SUMIF('Monthly Cash Flow Solution'!$P$11:$EQ$11,H11,'Monthly Cash Flow Solution'!$P$35:$EQ$35))</f>
        <v>329183.99885789998</v>
      </c>
      <c r="I15" s="290">
        <f ca="1">IF(AND(I11=Assumptions!$H$9+1,H14="Disposition"),H15*(1+I6),SUMIF('Monthly Cash Flow Solution'!$P$11:$EQ$11,I11,'Monthly Cash Flow Solution'!$P$35:$EQ$35))</f>
        <v>338071.96682706324</v>
      </c>
      <c r="J15" s="290">
        <f ca="1">IF(AND(J11=Assumptions!$H$9+1,I14="Disposition"),I15*(1+J6),SUMIF('Monthly Cash Flow Solution'!$P$11:$EQ$11,J11,'Monthly Cash Flow Solution'!$P$35:$EQ$35))</f>
        <v>348214.12583187519</v>
      </c>
      <c r="K15" s="290">
        <f ca="1">IF(AND(K11=Assumptions!$H$9+1,J14="Disposition"),J15*(1+K6),SUMIF('Monthly Cash Flow Solution'!$P$11:$EQ$11,K11,'Monthly Cash Flow Solution'!$P$35:$EQ$35))</f>
        <v>358660.54960683134</v>
      </c>
      <c r="L15" s="290">
        <f ca="1">IF(AND(L11=Assumptions!$H$9+1,K14="Disposition"),K15*(1+L6),SUMIF('Monthly Cash Flow Solution'!$P$11:$EQ$11,L11,'Monthly Cash Flow Solution'!$P$35:$EQ$35))</f>
        <v>369420.36609503627</v>
      </c>
      <c r="M15" s="290">
        <f ca="1">IF(AND(M11=Assumptions!$H$9+1,L14="Disposition"),L15*(1+M6),SUMIF('Monthly Cash Flow Solution'!$P$11:$EQ$11,M11,'Monthly Cash Flow Solution'!$P$35:$EQ$35))</f>
        <v>380502.97707788739</v>
      </c>
      <c r="N15" s="290">
        <f>IF(AND(N11=Assumptions!$H$9+1,M14="Disposition"),M15*(1+N6),SUMIF('Monthly Cash Flow Solution'!$P$11:$EQ$11,N11,'Monthly Cash Flow Solution'!$P$35:$EQ$35))</f>
        <v>0</v>
      </c>
      <c r="O15" s="290">
        <f>IF(AND(O11=Assumptions!$H$9+1,N14="Disposition"),N15*(1+O6),SUMIF('Monthly Cash Flow Solution'!$P$11:$EQ$11,O11,'Monthly Cash Flow Solution'!$P$35:$EQ$35))</f>
        <v>0</v>
      </c>
      <c r="P15" s="290">
        <f>IF(AND(P11=Assumptions!$H$9+1,O14="Disposition"),O15*(1+P6),SUMIF('Monthly Cash Flow Solution'!$P$11:$EQ$11,P11,'Monthly Cash Flow Solution'!$P$35:$EQ$35))</f>
        <v>0</v>
      </c>
    </row>
    <row r="16" spans="2:20">
      <c r="B16" s="167" t="s">
        <v>131</v>
      </c>
      <c r="C16" s="591">
        <v>0</v>
      </c>
      <c r="D16" s="658"/>
      <c r="E16" s="295">
        <f>IF(AND(E11=Assumptions!$H$9+1,C14="Disposition"),C16*(1+E6),SUMIF('Monthly Cash Flow Solution'!$P$11:$EQ$11,E11,'Monthly Cash Flow Solution'!$P$37:$EQ$37))</f>
        <v>-24225</v>
      </c>
      <c r="F16" s="295">
        <f>IF(AND(F11=Assumptions!$H$9+1,E14="Disposition"),E16*(1+F6),SUMIF('Monthly Cash Flow Solution'!$P$11:$EQ$11,F11,'Monthly Cash Flow Solution'!$P$37:$EQ$37))</f>
        <v>-38045.362500000003</v>
      </c>
      <c r="G16" s="295">
        <f>IF(AND(G11=Assumptions!$H$9+1,F14="Disposition"),F16*(1+G6),SUMIF('Monthly Cash Flow Solution'!$P$11:$EQ$11,G11,'Monthly Cash Flow Solution'!$P$37:$EQ$37))</f>
        <v>-13277.831512500001</v>
      </c>
      <c r="H16" s="295">
        <f>IF(AND(H11=Assumptions!$H$9+1,G14="Disposition"),G16*(1+H6),SUMIF('Monthly Cash Flow Solution'!$P$11:$EQ$11,H11,'Monthly Cash Flow Solution'!$P$37:$EQ$37))</f>
        <v>0</v>
      </c>
      <c r="I16" s="295">
        <f>IF(AND(I11=Assumptions!$H$9+1,H14="Disposition"),H16*(1+I6),SUMIF('Monthly Cash Flow Solution'!$P$11:$EQ$11,I11,'Monthly Cash Flow Solution'!$P$37:$EQ$37))</f>
        <v>0</v>
      </c>
      <c r="J16" s="295">
        <f>IF(AND(J11=Assumptions!$H$9+1,I14="Disposition"),I16*(1+J6),SUMIF('Monthly Cash Flow Solution'!$P$11:$EQ$11,J11,'Monthly Cash Flow Solution'!$P$37:$EQ$37))</f>
        <v>0</v>
      </c>
      <c r="K16" s="295">
        <f>IF(AND(K11=Assumptions!$H$9+1,J14="Disposition"),J16*(1+K6),SUMIF('Monthly Cash Flow Solution'!$P$11:$EQ$11,K11,'Monthly Cash Flow Solution'!$P$37:$EQ$37))</f>
        <v>0</v>
      </c>
      <c r="L16" s="295">
        <f>IF(AND(L11=Assumptions!$H$9+1,K14="Disposition"),K16*(1+L6),SUMIF('Monthly Cash Flow Solution'!$P$11:$EQ$11,L11,'Monthly Cash Flow Solution'!$P$37:$EQ$37))</f>
        <v>0</v>
      </c>
      <c r="M16" s="295">
        <f>IF(AND(M11=Assumptions!$H$9+1,L14="Disposition"),L16*(1+M6),SUMIF('Monthly Cash Flow Solution'!$P$11:$EQ$11,M11,'Monthly Cash Flow Solution'!$P$37:$EQ$37))</f>
        <v>0</v>
      </c>
      <c r="N16" s="295">
        <f>IF(AND(N11=Assumptions!$H$9+1,M14="Disposition"),M16*(1+N6),SUMIF('Monthly Cash Flow Solution'!$P$11:$EQ$11,N11,'Monthly Cash Flow Solution'!$P$37:$EQ$37))</f>
        <v>0</v>
      </c>
      <c r="O16" s="295">
        <f>IF(AND(O11=Assumptions!$H$9+1,N14="Disposition"),N16*(1+O6),SUMIF('Monthly Cash Flow Solution'!$P$11:$EQ$11,O11,'Monthly Cash Flow Solution'!$P$37:$EQ$37))</f>
        <v>0</v>
      </c>
      <c r="P16" s="295">
        <f>IF(AND(P11=Assumptions!$H$9+1,O14="Disposition"),O16*(1+P6),SUMIF('Monthly Cash Flow Solution'!$P$11:$EQ$11,P11,'Monthly Cash Flow Solution'!$P$37:$EQ$37))</f>
        <v>0</v>
      </c>
      <c r="S16" s="401"/>
      <c r="T16" s="403"/>
    </row>
    <row r="17" spans="2:20">
      <c r="B17" s="167" t="s">
        <v>56</v>
      </c>
      <c r="C17" s="591">
        <v>0</v>
      </c>
      <c r="D17" s="658"/>
      <c r="E17" s="290">
        <f ca="1">IF(AND(E11=Assumptions!$H$9+1,C14="Disposition"),C17*(1+E6),SUMIF('Monthly Cash Flow Solution'!$P$11:$EQ$11,E11,'Monthly Cash Flow Solution'!$P$43:$EQ$43))</f>
        <v>6600</v>
      </c>
      <c r="F17" s="290">
        <f ca="1">IF(AND(F11=Assumptions!$H$9+1,E14="Disposition"),E17*(1+F6),SUMIF('Monthly Cash Flow Solution'!$P$11:$EQ$11,F11,'Monthly Cash Flow Solution'!$P$43:$EQ$43))</f>
        <v>25441.052999999993</v>
      </c>
      <c r="G17" s="290">
        <f ca="1">IF(AND(G11=Assumptions!$H$9+1,F14="Disposition"),F17*(1+G6),SUMIF('Monthly Cash Flow Solution'!$P$11:$EQ$11,G11,'Monthly Cash Flow Solution'!$P$43:$EQ$43))</f>
        <v>37178.147476799997</v>
      </c>
      <c r="H17" s="290">
        <f ca="1">IF(AND(H11=Assumptions!$H$9+1,G14="Disposition"),G17*(1+H6),SUMIF('Monthly Cash Flow Solution'!$P$11:$EQ$11,H11,'Monthly Cash Flow Solution'!$P$43:$EQ$43))</f>
        <v>42151.858181927993</v>
      </c>
      <c r="I17" s="290">
        <f ca="1">IF(AND(I11=Assumptions!$H$9+1,H14="Disposition"),H17*(1+I6),SUMIF('Monthly Cash Flow Solution'!$P$11:$EQ$11,I11,'Monthly Cash Flow Solution'!$P$43:$EQ$43))</f>
        <v>43289.95835284004</v>
      </c>
      <c r="J17" s="290">
        <f ca="1">IF(AND(J11=Assumptions!$H$9+1,I14="Disposition"),I17*(1+J6),SUMIF('Monthly Cash Flow Solution'!$P$11:$EQ$11,J11,'Monthly Cash Flow Solution'!$P$43:$EQ$43))</f>
        <v>44588.657103425248</v>
      </c>
      <c r="K17" s="290">
        <f ca="1">IF(AND(K11=Assumptions!$H$9+1,J14="Disposition"),J17*(1+K6),SUMIF('Monthly Cash Flow Solution'!$P$11:$EQ$11,K11,'Monthly Cash Flow Solution'!$P$43:$EQ$43))</f>
        <v>45926.316816528</v>
      </c>
      <c r="L17" s="290">
        <f ca="1">IF(AND(L11=Assumptions!$H$9+1,K14="Disposition"),K17*(1+L6),SUMIF('Monthly Cash Flow Solution'!$P$11:$EQ$11,L11,'Monthly Cash Flow Solution'!$P$43:$EQ$43))</f>
        <v>47304.106321023843</v>
      </c>
      <c r="M17" s="290">
        <f ca="1">IF(AND(M11=Assumptions!$H$9+1,L14="Disposition"),L17*(1+M6),SUMIF('Monthly Cash Flow Solution'!$P$11:$EQ$11,M11,'Monthly Cash Flow Solution'!$P$43:$EQ$43))</f>
        <v>48723.229510654557</v>
      </c>
      <c r="N17" s="290">
        <f ca="1">IF(AND(N11=Assumptions!$H$9+1,M14="Disposition"),M17*(1+N6),SUMIF('Monthly Cash Flow Solution'!$P$11:$EQ$11,N11,'Monthly Cash Flow Solution'!$P$43:$EQ$43))</f>
        <v>0</v>
      </c>
      <c r="O17" s="290">
        <f ca="1">IF(AND(O11=Assumptions!$H$9+1,N14="Disposition"),N17*(1+O6),SUMIF('Monthly Cash Flow Solution'!$P$11:$EQ$11,O11,'Monthly Cash Flow Solution'!$P$43:$EQ$43))</f>
        <v>0</v>
      </c>
      <c r="P17" s="290">
        <f>IF(AND(P11=Assumptions!$H$9+1,O14="Disposition"),O17*(1+P6),SUMIF('Monthly Cash Flow Solution'!$P$11:$EQ$11,P11,'Monthly Cash Flow Solution'!$P$43:$EQ$43))</f>
        <v>0</v>
      </c>
      <c r="S17" s="401"/>
      <c r="T17" s="403"/>
    </row>
    <row r="18" spans="2:20">
      <c r="B18" s="167" t="s">
        <v>130</v>
      </c>
      <c r="C18" s="591">
        <v>0</v>
      </c>
      <c r="D18" s="658"/>
      <c r="E18" s="295">
        <f ca="1">IF(AND(E11=Assumptions!$H$9+1,C14="Disposition"),C18*(1+E6),SUMIF('Monthly Cash Flow Solution'!$P$11:$EQ$11,E11,'Monthly Cash Flow Solution'!$P$44:$EQ$44))</f>
        <v>0</v>
      </c>
      <c r="F18" s="295">
        <f ca="1">IF(AND(F11=Assumptions!$H$9+1,E14="Disposition"),E18*(1+F6),SUMIF('Monthly Cash Flow Solution'!$P$11:$EQ$11,F11,'Monthly Cash Flow Solution'!$P$44:$EQ$44))</f>
        <v>0</v>
      </c>
      <c r="G18" s="295">
        <f ca="1">IF(AND(G11=Assumptions!$H$9+1,F14="Disposition"),F18*(1+G6),SUMIF('Monthly Cash Flow Solution'!$P$11:$EQ$11,G11,'Monthly Cash Flow Solution'!$P$44:$EQ$44))</f>
        <v>0</v>
      </c>
      <c r="H18" s="295">
        <f ca="1">IF(AND(H11=Assumptions!$H$9+1,G14="Disposition"),G18*(1+H6),SUMIF('Monthly Cash Flow Solution'!$P$11:$EQ$11,H11,'Monthly Cash Flow Solution'!$P$44:$EQ$44))</f>
        <v>0</v>
      </c>
      <c r="I18" s="295">
        <f ca="1">IF(AND(I11=Assumptions!$H$9+1,H14="Disposition"),H18*(1+I6),SUMIF('Monthly Cash Flow Solution'!$P$11:$EQ$11,I11,'Monthly Cash Flow Solution'!$P$44:$EQ$44))</f>
        <v>0</v>
      </c>
      <c r="J18" s="295">
        <f ca="1">IF(AND(J11=Assumptions!$H$9+1,I14="Disposition"),I18*(1+J6),SUMIF('Monthly Cash Flow Solution'!$P$11:$EQ$11,J11,'Monthly Cash Flow Solution'!$P$44:$EQ$44))</f>
        <v>0</v>
      </c>
      <c r="K18" s="295">
        <f ca="1">IF(AND(K11=Assumptions!$H$9+1,J14="Disposition"),J18*(1+K6),SUMIF('Monthly Cash Flow Solution'!$P$11:$EQ$11,K11,'Monthly Cash Flow Solution'!$P$44:$EQ$44))</f>
        <v>0</v>
      </c>
      <c r="L18" s="295">
        <f ca="1">IF(AND(L11=Assumptions!$H$9+1,K14="Disposition"),K18*(1+L6),SUMIF('Monthly Cash Flow Solution'!$P$11:$EQ$11,L11,'Monthly Cash Flow Solution'!$P$44:$EQ$44))</f>
        <v>0</v>
      </c>
      <c r="M18" s="295">
        <f ca="1">IF(AND(M11=Assumptions!$H$9+1,L14="Disposition"),L18*(1+M6),SUMIF('Monthly Cash Flow Solution'!$P$11:$EQ$11,M11,'Monthly Cash Flow Solution'!$P$44:$EQ$44))</f>
        <v>0</v>
      </c>
      <c r="N18" s="295">
        <f>IF(AND(N11=Assumptions!$H$9+1,M14="Disposition"),M18*(1+N6),SUMIF('Monthly Cash Flow Solution'!$P$11:$EQ$11,N11,'Monthly Cash Flow Solution'!$P$44:$EQ$44))</f>
        <v>0</v>
      </c>
      <c r="O18" s="295">
        <f>IF(AND(O11=Assumptions!$H$9+1,N14="Disposition"),N18*(1+O6),SUMIF('Monthly Cash Flow Solution'!$P$11:$EQ$11,O11,'Monthly Cash Flow Solution'!$P$44:$EQ$44))</f>
        <v>0</v>
      </c>
      <c r="P18" s="295">
        <f>IF(AND(P11=Assumptions!$H$9+1,O14="Disposition"),O18*(1+P6),SUMIF('Monthly Cash Flow Solution'!$P$11:$EQ$11,P11,'Monthly Cash Flow Solution'!$P$44:$EQ$44))</f>
        <v>0</v>
      </c>
      <c r="S18" s="401"/>
      <c r="T18" s="403"/>
    </row>
    <row r="19" spans="2:20">
      <c r="B19" s="167" t="s">
        <v>132</v>
      </c>
      <c r="C19" s="591">
        <v>0</v>
      </c>
      <c r="D19" s="658"/>
      <c r="E19" s="295">
        <f ca="1">IF(AND(E11=Assumptions!$H$9+1,C14="Disposition"),C19*(1+E6),SUMIF('Monthly Cash Flow Solution'!$P$11:$EQ$11,E11,'Monthly Cash Flow Solution'!$P$45:$EQ$45))</f>
        <v>0</v>
      </c>
      <c r="F19" s="295">
        <f ca="1">IF(AND(F11=Assumptions!$H$9+1,E14="Disposition"),E19*(1+F6),SUMIF('Monthly Cash Flow Solution'!$P$11:$EQ$11,F11,'Monthly Cash Flow Solution'!$P$45:$EQ$45))</f>
        <v>0</v>
      </c>
      <c r="G19" s="295">
        <f ca="1">IF(AND(G11=Assumptions!$H$9+1,F14="Disposition"),F19*(1+G6),SUMIF('Monthly Cash Flow Solution'!$P$11:$EQ$11,G11,'Monthly Cash Flow Solution'!$P$45:$EQ$45))</f>
        <v>0</v>
      </c>
      <c r="H19" s="295">
        <f ca="1">IF(AND(H11=Assumptions!$H$9+1,G14="Disposition"),G19*(1+H6),SUMIF('Monthly Cash Flow Solution'!$P$11:$EQ$11,H11,'Monthly Cash Flow Solution'!$P$45:$EQ$45))</f>
        <v>0</v>
      </c>
      <c r="I19" s="295">
        <f ca="1">IF(AND(I11=Assumptions!$H$9+1,H14="Disposition"),H19*(1+I6),SUMIF('Monthly Cash Flow Solution'!$P$11:$EQ$11,I11,'Monthly Cash Flow Solution'!$P$45:$EQ$45))</f>
        <v>0</v>
      </c>
      <c r="J19" s="295">
        <f ca="1">IF(AND(J11=Assumptions!$H$9+1,I14="Disposition"),I19*(1+J6),SUMIF('Monthly Cash Flow Solution'!$P$11:$EQ$11,J11,'Monthly Cash Flow Solution'!$P$45:$EQ$45))</f>
        <v>0</v>
      </c>
      <c r="K19" s="295">
        <f ca="1">IF(AND(K11=Assumptions!$H$9+1,J14="Disposition"),J19*(1+K6),SUMIF('Monthly Cash Flow Solution'!$P$11:$EQ$11,K11,'Monthly Cash Flow Solution'!$P$45:$EQ$45))</f>
        <v>0</v>
      </c>
      <c r="L19" s="295">
        <f ca="1">IF(AND(L11=Assumptions!$H$9+1,K14="Disposition"),K19*(1+L6),SUMIF('Monthly Cash Flow Solution'!$P$11:$EQ$11,L11,'Monthly Cash Flow Solution'!$P$45:$EQ$45))</f>
        <v>0</v>
      </c>
      <c r="M19" s="295">
        <f ca="1">IF(AND(M11=Assumptions!$H$9+1,L14="Disposition"),L19*(1+M6),SUMIF('Monthly Cash Flow Solution'!$P$11:$EQ$11,M11,'Monthly Cash Flow Solution'!$P$45:$EQ$45))</f>
        <v>0</v>
      </c>
      <c r="N19" s="295">
        <f>IF(AND(N11=Assumptions!$H$9+1,M14="Disposition"),M19*(1+N6),SUMIF('Monthly Cash Flow Solution'!$P$11:$EQ$11,N11,'Monthly Cash Flow Solution'!$P$45:$EQ$45))</f>
        <v>0</v>
      </c>
      <c r="O19" s="295">
        <f>IF(AND(O11=Assumptions!$H$9+1,N14="Disposition"),N19*(1+O6),SUMIF('Monthly Cash Flow Solution'!$P$11:$EQ$11,O11,'Monthly Cash Flow Solution'!$P$45:$EQ$45))</f>
        <v>0</v>
      </c>
      <c r="P19" s="295">
        <f>IF(AND(P11=Assumptions!$H$9+1,O14="Disposition"),O19*(1+P6),SUMIF('Monthly Cash Flow Solution'!$P$11:$EQ$11,P11,'Monthly Cash Flow Solution'!$P$45:$EQ$45))</f>
        <v>0</v>
      </c>
      <c r="S19" s="401"/>
      <c r="T19" s="403"/>
    </row>
    <row r="20" spans="2:20">
      <c r="B20" s="167" t="s">
        <v>38</v>
      </c>
      <c r="C20" s="592">
        <v>0</v>
      </c>
      <c r="D20" s="650"/>
      <c r="E20" s="295">
        <f ca="1">IF(AND(E11=Assumptions!$H$9+1,C14="Disposition"),C20*(1+E6),SUMIF('Monthly Cash Flow Solution'!$P$11:$EQ$11,E11,'Monthly Cash Flow Solution'!$P$46:$EQ$46))</f>
        <v>0</v>
      </c>
      <c r="F20" s="295">
        <f ca="1">IF(AND(F11=Assumptions!$H$9+1,E14="Disposition"),E20*(1+F6),SUMIF('Monthly Cash Flow Solution'!$P$11:$EQ$11,F11,'Monthly Cash Flow Solution'!$P$46:$EQ$46))</f>
        <v>0</v>
      </c>
      <c r="G20" s="295">
        <f ca="1">IF(AND(G11=Assumptions!$H$9+1,F14="Disposition"),F20*(1+G6),SUMIF('Monthly Cash Flow Solution'!$P$11:$EQ$11,G11,'Monthly Cash Flow Solution'!$P$46:$EQ$46))</f>
        <v>0</v>
      </c>
      <c r="H20" s="295">
        <f ca="1">IF(AND(H11=Assumptions!$H$9+1,G14="Disposition"),G20*(1+H6),SUMIF('Monthly Cash Flow Solution'!$P$11:$EQ$11,H11,'Monthly Cash Flow Solution'!$P$46:$EQ$46))</f>
        <v>0</v>
      </c>
      <c r="I20" s="295">
        <f ca="1">IF(AND(I11=Assumptions!$H$9+1,H14="Disposition"),H20*(1+I6),SUMIF('Monthly Cash Flow Solution'!$P$11:$EQ$11,I11,'Monthly Cash Flow Solution'!$P$46:$EQ$46))</f>
        <v>0</v>
      </c>
      <c r="J20" s="295">
        <f ca="1">IF(AND(J11=Assumptions!$H$9+1,I14="Disposition"),I20*(1+J6),SUMIF('Monthly Cash Flow Solution'!$P$11:$EQ$11,J11,'Monthly Cash Flow Solution'!$P$46:$EQ$46))</f>
        <v>0</v>
      </c>
      <c r="K20" s="295">
        <f ca="1">IF(AND(K11=Assumptions!$H$9+1,J14="Disposition"),J20*(1+K6),SUMIF('Monthly Cash Flow Solution'!$P$11:$EQ$11,K11,'Monthly Cash Flow Solution'!$P$46:$EQ$46))</f>
        <v>0</v>
      </c>
      <c r="L20" s="295">
        <f ca="1">IF(AND(L11=Assumptions!$H$9+1,K14="Disposition"),K20*(1+L6),SUMIF('Monthly Cash Flow Solution'!$P$11:$EQ$11,L11,'Monthly Cash Flow Solution'!$P$46:$EQ$46))</f>
        <v>0</v>
      </c>
      <c r="M20" s="295">
        <f ca="1">IF(AND(M11=Assumptions!$H$9+1,L14="Disposition"),L20*(1+M6),SUMIF('Monthly Cash Flow Solution'!$P$11:$EQ$11,M11,'Monthly Cash Flow Solution'!$P$46:$EQ$46))</f>
        <v>0</v>
      </c>
      <c r="N20" s="295">
        <f>IF(AND(N11=Assumptions!$H$9+1,M14="Disposition"),M20*(1+N6),SUMIF('Monthly Cash Flow Solution'!$P$11:$EQ$11,N11,'Monthly Cash Flow Solution'!$P$46:$EQ$46))</f>
        <v>0</v>
      </c>
      <c r="O20" s="295">
        <f>IF(AND(O11=Assumptions!$H$9+1,N14="Disposition"),N20*(1+O6),SUMIF('Monthly Cash Flow Solution'!$P$11:$EQ$11,O11,'Monthly Cash Flow Solution'!$P$46:$EQ$46))</f>
        <v>0</v>
      </c>
      <c r="P20" s="295">
        <f>IF(AND(P11=Assumptions!$H$9+1,O14="Disposition"),O20*(1+P6),SUMIF('Monthly Cash Flow Solution'!$P$11:$EQ$11,P11,'Monthly Cash Flow Solution'!$P$46:$EQ$46))</f>
        <v>0</v>
      </c>
      <c r="S20" s="401"/>
      <c r="T20" s="403"/>
    </row>
    <row r="21" spans="2:20" ht="6" customHeight="1">
      <c r="B21" s="168"/>
      <c r="C21" s="593"/>
      <c r="D21" s="659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S21" s="401"/>
      <c r="T21" s="403"/>
    </row>
    <row r="22" spans="2:20" ht="12.75" customHeight="1">
      <c r="B22" s="166" t="s">
        <v>12</v>
      </c>
      <c r="C22" s="594">
        <f>SUM(C15:C21)</f>
        <v>285240</v>
      </c>
      <c r="D22" s="404"/>
      <c r="E22" s="293">
        <f ca="1">SUM(E15:E21)</f>
        <v>273075</v>
      </c>
      <c r="F22" s="293">
        <f t="shared" ref="F22:P22" ca="1" si="6">SUM(F15:F21)</f>
        <v>291758.59050000011</v>
      </c>
      <c r="G22" s="293">
        <f t="shared" ca="1" si="6"/>
        <v>342568.27226430015</v>
      </c>
      <c r="H22" s="293">
        <f t="shared" ca="1" si="6"/>
        <v>371335.85703982797</v>
      </c>
      <c r="I22" s="293">
        <f t="shared" ca="1" si="6"/>
        <v>381361.92517990328</v>
      </c>
      <c r="J22" s="293">
        <f t="shared" ca="1" si="6"/>
        <v>392802.78293530043</v>
      </c>
      <c r="K22" s="293">
        <f t="shared" ca="1" si="6"/>
        <v>404586.86642335932</v>
      </c>
      <c r="L22" s="293">
        <f t="shared" ca="1" si="6"/>
        <v>416724.4724160601</v>
      </c>
      <c r="M22" s="293">
        <f t="shared" ca="1" si="6"/>
        <v>429226.20658854197</v>
      </c>
      <c r="N22" s="293">
        <f t="shared" ca="1" si="6"/>
        <v>0</v>
      </c>
      <c r="O22" s="293">
        <f t="shared" ca="1" si="6"/>
        <v>0</v>
      </c>
      <c r="P22" s="293">
        <f t="shared" si="6"/>
        <v>0</v>
      </c>
      <c r="S22" s="401"/>
      <c r="T22" s="403"/>
    </row>
    <row r="23" spans="2:20" ht="24.95" customHeight="1">
      <c r="B23" s="166" t="s">
        <v>23</v>
      </c>
      <c r="C23" s="595"/>
      <c r="D23" s="660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S23" s="401"/>
      <c r="T23" s="403"/>
    </row>
    <row r="24" spans="2:20">
      <c r="B24" s="167" t="s">
        <v>134</v>
      </c>
      <c r="C24" s="592">
        <v>-12429</v>
      </c>
      <c r="D24" s="295"/>
      <c r="E24" s="290">
        <f ca="1">IF(AND(E11=Assumptions!$H$9+1,C14="Disposition"),C24*(1+E6),SUMIF('Monthly Cash Flow Solution'!$P$11:$EQ$11,E11,'Monthly Cash Flow Solution'!$P$50:$EQ$50))</f>
        <v>-10923.000000000002</v>
      </c>
      <c r="F24" s="290">
        <f ca="1">IF(AND(F11=Assumptions!$H$9+1,E14="Disposition"),E24*(1+F6),SUMIF('Monthly Cash Flow Solution'!$P$11:$EQ$11,F11,'Monthly Cash Flow Solution'!$P$50:$EQ$50))</f>
        <v>-11670.343619999998</v>
      </c>
      <c r="G24" s="290">
        <f ca="1">IF(AND(G11=Assumptions!$H$9+1,F14="Disposition"),F24*(1+G6),SUMIF('Monthly Cash Flow Solution'!$P$11:$EQ$11,G11,'Monthly Cash Flow Solution'!$P$50:$EQ$50))</f>
        <v>-13702.730890572</v>
      </c>
      <c r="H24" s="290">
        <f ca="1">IF(AND(H11=Assumptions!$H$9+1,G14="Disposition"),G24*(1+H6),SUMIF('Monthly Cash Flow Solution'!$P$11:$EQ$11,H11,'Monthly Cash Flow Solution'!$P$50:$EQ$50))</f>
        <v>-14853.434281593118</v>
      </c>
      <c r="I24" s="290">
        <f ca="1">IF(AND(I11=Assumptions!$H$9+1,H14="Disposition"),H24*(1+I6),SUMIF('Monthly Cash Flow Solution'!$P$11:$EQ$11,I11,'Monthly Cash Flow Solution'!$P$50:$EQ$50))</f>
        <v>-15254.477007196134</v>
      </c>
      <c r="J24" s="290">
        <f ca="1">IF(AND(J11=Assumptions!$H$9+1,I14="Disposition"),I24*(1+J6),SUMIF('Monthly Cash Flow Solution'!$P$11:$EQ$11,J11,'Monthly Cash Flow Solution'!$P$50:$EQ$50))</f>
        <v>-15712.111317412016</v>
      </c>
      <c r="K24" s="290">
        <f ca="1">IF(AND(K11=Assumptions!$H$9+1,J14="Disposition"),J24*(1+K6),SUMIF('Monthly Cash Flow Solution'!$P$11:$EQ$11,K11,'Monthly Cash Flow Solution'!$P$50:$EQ$50))</f>
        <v>-16183.474656934382</v>
      </c>
      <c r="L24" s="290">
        <f ca="1">IF(AND(L11=Assumptions!$H$9+1,K14="Disposition"),K24*(1+L6),SUMIF('Monthly Cash Flow Solution'!$P$11:$EQ$11,L11,'Monthly Cash Flow Solution'!$P$50:$EQ$50))</f>
        <v>-16668.978896642413</v>
      </c>
      <c r="M24" s="290">
        <f ca="1">IF(AND(M11=Assumptions!$H$9+1,L14="Disposition"),L24*(1+M6),SUMIF('Monthly Cash Flow Solution'!$P$11:$EQ$11,M11,'Monthly Cash Flow Solution'!$P$50:$EQ$50))</f>
        <v>-17169.048263541685</v>
      </c>
      <c r="N24" s="290">
        <f>IF(AND(N11=Assumptions!$H$9+1,M14="Disposition"),M24*(1+N6),SUMIF('Monthly Cash Flow Solution'!$P$11:$EQ$11,N11,'Monthly Cash Flow Solution'!$P$50:$EQ$50))</f>
        <v>0</v>
      </c>
      <c r="O24" s="290">
        <f>IF(AND(O11=Assumptions!$H$9+1,N14="Disposition"),N24*(1+O6),SUMIF('Monthly Cash Flow Solution'!$P$11:$EQ$11,O11,'Monthly Cash Flow Solution'!$P$50:$EQ$50))</f>
        <v>0</v>
      </c>
      <c r="P24" s="290">
        <f>IF(AND(P11=Assumptions!$H$9+1,O14="Disposition"),O24*(1+P6),SUMIF('Monthly Cash Flow Solution'!$P$11:$EQ$11,P11,'Monthly Cash Flow Solution'!$P$50:$EQ$50))</f>
        <v>0</v>
      </c>
      <c r="S24" s="401"/>
      <c r="T24" s="403"/>
    </row>
    <row r="25" spans="2:20">
      <c r="B25" s="167" t="s">
        <v>118</v>
      </c>
      <c r="C25" s="592">
        <v>0</v>
      </c>
      <c r="D25" s="295"/>
      <c r="E25" s="290">
        <f ca="1">IF(AND(E11=Assumptions!$H$9+1,C14="Disposition"),C25*(1+E6),SUMIF('Monthly Cash Flow Solution'!$P$11:$EQ$11,E11,'Monthly Cash Flow Solution'!$P$51:$EQ$51))</f>
        <v>0</v>
      </c>
      <c r="F25" s="290">
        <f ca="1">IF(AND(F11=Assumptions!$H$9+1,E14="Disposition"),E25*(1+F6),SUMIF('Monthly Cash Flow Solution'!$P$11:$EQ$11,F11,'Monthly Cash Flow Solution'!$P$51:$EQ$51))</f>
        <v>0</v>
      </c>
      <c r="G25" s="290">
        <f ca="1">IF(AND(G11=Assumptions!$H$9+1,F14="Disposition"),F25*(1+G6),SUMIF('Monthly Cash Flow Solution'!$P$11:$EQ$11,G11,'Monthly Cash Flow Solution'!$P$51:$EQ$51))</f>
        <v>0</v>
      </c>
      <c r="H25" s="290">
        <f ca="1">IF(AND(H11=Assumptions!$H$9+1,G14="Disposition"),G25*(1+H6),SUMIF('Monthly Cash Flow Solution'!$P$11:$EQ$11,H11,'Monthly Cash Flow Solution'!$P$51:$EQ$51))</f>
        <v>0</v>
      </c>
      <c r="I25" s="290">
        <f ca="1">IF(AND(I11=Assumptions!$H$9+1,H14="Disposition"),H25*(1+I6),SUMIF('Monthly Cash Flow Solution'!$P$11:$EQ$11,I11,'Monthly Cash Flow Solution'!$P$51:$EQ$51))</f>
        <v>0</v>
      </c>
      <c r="J25" s="290">
        <f ca="1">IF(AND(J11=Assumptions!$H$9+1,I14="Disposition"),I25*(1+J6),SUMIF('Monthly Cash Flow Solution'!$P$11:$EQ$11,J11,'Monthly Cash Flow Solution'!$P$51:$EQ$51))</f>
        <v>0</v>
      </c>
      <c r="K25" s="290">
        <f ca="1">IF(AND(K11=Assumptions!$H$9+1,J14="Disposition"),J25*(1+K6),SUMIF('Monthly Cash Flow Solution'!$P$11:$EQ$11,K11,'Monthly Cash Flow Solution'!$P$51:$EQ$51))</f>
        <v>0</v>
      </c>
      <c r="L25" s="290">
        <f ca="1">IF(AND(L11=Assumptions!$H$9+1,K14="Disposition"),K25*(1+L6),SUMIF('Monthly Cash Flow Solution'!$P$11:$EQ$11,L11,'Monthly Cash Flow Solution'!$P$51:$EQ$51))</f>
        <v>0</v>
      </c>
      <c r="M25" s="290">
        <f ca="1">IF(AND(M11=Assumptions!$H$9+1,L14="Disposition"),L25*(1+M6),SUMIF('Monthly Cash Flow Solution'!$P$11:$EQ$11,M11,'Monthly Cash Flow Solution'!$P$51:$EQ$51))</f>
        <v>0</v>
      </c>
      <c r="N25" s="290">
        <f>IF(AND(N11=Assumptions!$H$9+1,M14="Disposition"),M25*(1+N6),SUMIF('Monthly Cash Flow Solution'!$P$11:$EQ$11,N11,'Monthly Cash Flow Solution'!$P$51:$EQ$51))</f>
        <v>0</v>
      </c>
      <c r="O25" s="290">
        <f>IF(AND(O11=Assumptions!$H$9+1,N14="Disposition"),N25*(1+O6),SUMIF('Monthly Cash Flow Solution'!$P$11:$EQ$11,O11,'Monthly Cash Flow Solution'!$P$51:$EQ$51))</f>
        <v>0</v>
      </c>
      <c r="P25" s="290">
        <f>IF(AND(P11=Assumptions!$H$9+1,O14="Disposition"),O25*(1+P6),SUMIF('Monthly Cash Flow Solution'!$P$11:$EQ$11,P11,'Monthly Cash Flow Solution'!$P$51:$EQ$51))</f>
        <v>0</v>
      </c>
      <c r="S25" s="401"/>
      <c r="T25" s="403"/>
    </row>
    <row r="26" spans="2:20" ht="6" customHeight="1">
      <c r="B26" s="168"/>
      <c r="C26" s="593"/>
      <c r="D26" s="659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S26" s="401"/>
      <c r="T26" s="403"/>
    </row>
    <row r="27" spans="2:20" ht="12.75" customHeight="1">
      <c r="B27" s="166" t="s">
        <v>39</v>
      </c>
      <c r="C27" s="594">
        <f>SUM(C24:C26)</f>
        <v>-12429</v>
      </c>
      <c r="D27" s="404"/>
      <c r="E27" s="293">
        <f ca="1">SUM(E24:E26)</f>
        <v>-10923.000000000002</v>
      </c>
      <c r="F27" s="293">
        <f t="shared" ref="F27:P27" ca="1" si="7">SUM(F24:F26)</f>
        <v>-11670.343619999998</v>
      </c>
      <c r="G27" s="293">
        <f t="shared" ca="1" si="7"/>
        <v>-13702.730890572</v>
      </c>
      <c r="H27" s="293">
        <f t="shared" ca="1" si="7"/>
        <v>-14853.434281593118</v>
      </c>
      <c r="I27" s="293">
        <f t="shared" ca="1" si="7"/>
        <v>-15254.477007196134</v>
      </c>
      <c r="J27" s="293">
        <f t="shared" ca="1" si="7"/>
        <v>-15712.111317412016</v>
      </c>
      <c r="K27" s="293">
        <f t="shared" ca="1" si="7"/>
        <v>-16183.474656934382</v>
      </c>
      <c r="L27" s="293">
        <f t="shared" ca="1" si="7"/>
        <v>-16668.978896642413</v>
      </c>
      <c r="M27" s="293">
        <f t="shared" ca="1" si="7"/>
        <v>-17169.048263541685</v>
      </c>
      <c r="N27" s="293">
        <f t="shared" si="7"/>
        <v>0</v>
      </c>
      <c r="O27" s="293">
        <f t="shared" si="7"/>
        <v>0</v>
      </c>
      <c r="P27" s="293">
        <f t="shared" si="7"/>
        <v>0</v>
      </c>
      <c r="S27" s="401"/>
      <c r="T27" s="403"/>
    </row>
    <row r="28" spans="2:20" ht="24.95" customHeight="1">
      <c r="B28" s="166" t="s">
        <v>26</v>
      </c>
      <c r="C28" s="595"/>
      <c r="D28" s="660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S28" s="401"/>
      <c r="T28" s="403"/>
    </row>
    <row r="29" spans="2:20">
      <c r="B29" s="167" t="s">
        <v>135</v>
      </c>
      <c r="C29" s="592">
        <v>0</v>
      </c>
      <c r="D29" s="295"/>
      <c r="E29" s="290">
        <f ca="1">IF(AND(E11=Assumptions!$H$9+1,C14="Disposition"),C29*(1+E6),SUMIF('Monthly Cash Flow Solution'!$P$11:$EQ$11,E11,'Monthly Cash Flow Solution'!$P$52:$EQ$52))</f>
        <v>0</v>
      </c>
      <c r="F29" s="290">
        <f ca="1">IF(AND(F11=Assumptions!$H$9+1,E14="Disposition"),E29*(1+F6),SUMIF('Monthly Cash Flow Solution'!$P$11:$EQ$11,F11,'Monthly Cash Flow Solution'!$P$52:$EQ$52))</f>
        <v>0</v>
      </c>
      <c r="G29" s="290">
        <f ca="1">IF(AND(G11=Assumptions!$H$9+1,F14="Disposition"),F29*(1+G6),SUMIF('Monthly Cash Flow Solution'!$P$11:$EQ$11,G11,'Monthly Cash Flow Solution'!$P$52:$EQ$52))</f>
        <v>0</v>
      </c>
      <c r="H29" s="290">
        <f ca="1">IF(AND(H11=Assumptions!$H$9+1,G14="Disposition"),G29*(1+H6),SUMIF('Monthly Cash Flow Solution'!$P$11:$EQ$11,H11,'Monthly Cash Flow Solution'!$P$52:$EQ$52))</f>
        <v>0</v>
      </c>
      <c r="I29" s="290">
        <f ca="1">IF(AND(I11=Assumptions!$H$9+1,H14="Disposition"),H29*(1+I6),SUMIF('Monthly Cash Flow Solution'!$P$11:$EQ$11,I11,'Monthly Cash Flow Solution'!$P$52:$EQ$52))</f>
        <v>0</v>
      </c>
      <c r="J29" s="290">
        <f ca="1">IF(AND(J11=Assumptions!$H$9+1,I14="Disposition"),I29*(1+J6),SUMIF('Monthly Cash Flow Solution'!$P$11:$EQ$11,J11,'Monthly Cash Flow Solution'!$P$52:$EQ$52))</f>
        <v>0</v>
      </c>
      <c r="K29" s="290">
        <f ca="1">IF(AND(K11=Assumptions!$H$9+1,J14="Disposition"),J29*(1+K6),SUMIF('Monthly Cash Flow Solution'!$P$11:$EQ$11,K11,'Monthly Cash Flow Solution'!$P$52:$EQ$52))</f>
        <v>0</v>
      </c>
      <c r="L29" s="290">
        <f ca="1">IF(AND(L11=Assumptions!$H$9+1,K14="Disposition"),K29*(1+L6),SUMIF('Monthly Cash Flow Solution'!$P$11:$EQ$11,L11,'Monthly Cash Flow Solution'!$P$52:$EQ$52))</f>
        <v>0</v>
      </c>
      <c r="M29" s="290">
        <f ca="1">IF(AND(M11=Assumptions!$H$9+1,L14="Disposition"),L29*(1+M6),SUMIF('Monthly Cash Flow Solution'!$P$11:$EQ$11,M11,'Monthly Cash Flow Solution'!$P$52:$EQ$52))</f>
        <v>0</v>
      </c>
      <c r="N29" s="290">
        <f>IF(AND(N11=Assumptions!$H$9+1,M14="Disposition"),M29*(1+N6),SUMIF('Monthly Cash Flow Solution'!$P$11:$EQ$11,N11,'Monthly Cash Flow Solution'!$P$52:$EQ$52))</f>
        <v>0</v>
      </c>
      <c r="O29" s="290">
        <f>IF(AND(O11=Assumptions!$H$9+1,N14="Disposition"),N29*(1+O6),SUMIF('Monthly Cash Flow Solution'!$P$11:$EQ$11,O11,'Monthly Cash Flow Solution'!$P$52:$EQ$52))</f>
        <v>0</v>
      </c>
      <c r="P29" s="290">
        <f>IF(AND(P11=Assumptions!$H$9+1,O14="Disposition"),O29*(1+P6),SUMIF('Monthly Cash Flow Solution'!$P$11:$EQ$11,P11,'Monthly Cash Flow Solution'!$P$52:$EQ$52))</f>
        <v>0</v>
      </c>
      <c r="S29" s="401"/>
      <c r="T29" s="403"/>
    </row>
    <row r="30" spans="2:20">
      <c r="B30" s="167" t="s">
        <v>129</v>
      </c>
      <c r="C30" s="592">
        <v>0</v>
      </c>
      <c r="D30" s="295"/>
      <c r="E30" s="290">
        <f ca="1">IF(AND(E11=Assumptions!$H$9+1,C14="Disposition"),C30*(1+E6),SUMIF('Monthly Cash Flow Solution'!$P$11:$EQ$11,E11,'Monthly Cash Flow Solution'!$P$58:$EQ$58))</f>
        <v>0</v>
      </c>
      <c r="F30" s="290">
        <f ca="1">IF(AND(F11=Assumptions!$H$9+1,E14="Disposition"),E30*(1+F6),SUMIF('Monthly Cash Flow Solution'!$P$11:$EQ$11,F11,'Monthly Cash Flow Solution'!$P$58:$EQ$58))</f>
        <v>0</v>
      </c>
      <c r="G30" s="290">
        <f ca="1">IF(AND(G11=Assumptions!$H$9+1,F14="Disposition"),F30*(1+G6),SUMIF('Monthly Cash Flow Solution'!$P$11:$EQ$11,G11,'Monthly Cash Flow Solution'!$P$58:$EQ$58))</f>
        <v>0</v>
      </c>
      <c r="H30" s="290">
        <f ca="1">IF(AND(H11=Assumptions!$H$9+1,G14="Disposition"),G30*(1+H6),SUMIF('Monthly Cash Flow Solution'!$P$11:$EQ$11,H11,'Monthly Cash Flow Solution'!$P$58:$EQ$58))</f>
        <v>0</v>
      </c>
      <c r="I30" s="290">
        <f ca="1">IF(AND(I11=Assumptions!$H$9+1,H14="Disposition"),H30*(1+I6),SUMIF('Monthly Cash Flow Solution'!$P$11:$EQ$11,I11,'Monthly Cash Flow Solution'!$P$58:$EQ$58))</f>
        <v>0</v>
      </c>
      <c r="J30" s="290">
        <f ca="1">IF(AND(J11=Assumptions!$H$9+1,I14="Disposition"),I30*(1+J6),SUMIF('Monthly Cash Flow Solution'!$P$11:$EQ$11,J11,'Monthly Cash Flow Solution'!$P$58:$EQ$58))</f>
        <v>0</v>
      </c>
      <c r="K30" s="290">
        <f ca="1">IF(AND(K11=Assumptions!$H$9+1,J14="Disposition"),J30*(1+K6),SUMIF('Monthly Cash Flow Solution'!$P$11:$EQ$11,K11,'Monthly Cash Flow Solution'!$P$58:$EQ$58))</f>
        <v>0</v>
      </c>
      <c r="L30" s="290">
        <f ca="1">IF(AND(L11=Assumptions!$H$9+1,K14="Disposition"),K30*(1+L6),SUMIF('Monthly Cash Flow Solution'!$P$11:$EQ$11,L11,'Monthly Cash Flow Solution'!$P$58:$EQ$58))</f>
        <v>0</v>
      </c>
      <c r="M30" s="290">
        <f ca="1">IF(AND(M11=Assumptions!$H$9+1,L14="Disposition"),L30*(1+M6),SUMIF('Monthly Cash Flow Solution'!$P$11:$EQ$11,M11,'Monthly Cash Flow Solution'!$P$58:$EQ$58))</f>
        <v>0</v>
      </c>
      <c r="N30" s="290">
        <f ca="1">IF(AND(N11=Assumptions!$H$9+1,M14="Disposition"),M30*(1+N6),SUMIF('Monthly Cash Flow Solution'!$P$11:$EQ$11,N11,'Monthly Cash Flow Solution'!$P$58:$EQ$58))</f>
        <v>0</v>
      </c>
      <c r="O30" s="290">
        <f ca="1">IF(AND(O11=Assumptions!$H$9+1,N14="Disposition"),N30*(1+O6),SUMIF('Monthly Cash Flow Solution'!$P$11:$EQ$11,O11,'Monthly Cash Flow Solution'!$P$58:$EQ$58))</f>
        <v>0</v>
      </c>
      <c r="P30" s="290">
        <f>IF(AND(P11=Assumptions!$H$9+1,O14="Disposition"),O30*(1+P6),SUMIF('Monthly Cash Flow Solution'!$P$11:$EQ$11,P11,'Monthly Cash Flow Solution'!$P$58:$EQ$58))</f>
        <v>0</v>
      </c>
      <c r="S30" s="401"/>
      <c r="T30" s="403"/>
    </row>
    <row r="31" spans="2:20" ht="6" customHeight="1">
      <c r="B31" s="168"/>
      <c r="C31" s="593"/>
      <c r="D31" s="659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S31" s="401"/>
      <c r="T31" s="403"/>
    </row>
    <row r="32" spans="2:20" ht="12.75" customHeight="1">
      <c r="B32" s="166" t="s">
        <v>40</v>
      </c>
      <c r="C32" s="594">
        <f>SUM(C29:C31)</f>
        <v>0</v>
      </c>
      <c r="D32" s="404"/>
      <c r="E32" s="293">
        <f ca="1">SUM(E29:E31)</f>
        <v>0</v>
      </c>
      <c r="F32" s="293">
        <f t="shared" ref="F32:P32" ca="1" si="8">SUM(F29:F31)</f>
        <v>0</v>
      </c>
      <c r="G32" s="293">
        <f t="shared" ca="1" si="8"/>
        <v>0</v>
      </c>
      <c r="H32" s="293">
        <f t="shared" ca="1" si="8"/>
        <v>0</v>
      </c>
      <c r="I32" s="293">
        <f t="shared" ca="1" si="8"/>
        <v>0</v>
      </c>
      <c r="J32" s="293">
        <f t="shared" ca="1" si="8"/>
        <v>0</v>
      </c>
      <c r="K32" s="293">
        <f t="shared" ca="1" si="8"/>
        <v>0</v>
      </c>
      <c r="L32" s="293">
        <f t="shared" ca="1" si="8"/>
        <v>0</v>
      </c>
      <c r="M32" s="293">
        <f t="shared" ca="1" si="8"/>
        <v>0</v>
      </c>
      <c r="N32" s="293">
        <f t="shared" ca="1" si="8"/>
        <v>0</v>
      </c>
      <c r="O32" s="293">
        <f t="shared" ca="1" si="8"/>
        <v>0</v>
      </c>
      <c r="P32" s="293">
        <f t="shared" si="8"/>
        <v>0</v>
      </c>
      <c r="S32" s="401"/>
      <c r="T32" s="403"/>
    </row>
    <row r="33" spans="2:21" s="170" customFormat="1" ht="23.25" customHeight="1">
      <c r="B33" s="450" t="s">
        <v>192</v>
      </c>
      <c r="C33" s="854">
        <f>Assumptions!D44</f>
        <v>2853</v>
      </c>
      <c r="D33" s="326"/>
      <c r="E33" s="296">
        <f ca="1">IF(AND(E11=Assumptions!$H$9+1,C14="Disposition"),C33*(1+E6),SUMIF('Monthly Cash Flow Solution'!$P$11:$EQ$11,E11,'Monthly Cash Flow Solution'!$P$56:$EQ$56))</f>
        <v>2881.53</v>
      </c>
      <c r="F33" s="296">
        <f ca="1">IF(AND(F11=Assumptions!$H$9+1,E14="Disposition"),E33*(1+F6),SUMIF('Monthly Cash Flow Solution'!$P$11:$EQ$11,F11,'Monthly Cash Flow Solution'!$P$56:$EQ$56))</f>
        <v>3119.5386149400001</v>
      </c>
      <c r="G33" s="296">
        <f ca="1">IF(AND(G11=Assumptions!$H$9+1,F14="Disposition"),F33*(1+G6),SUMIF('Monthly Cash Flow Solution'!$P$11:$EQ$11,G11,'Monthly Cash Flow Solution'!$P$56:$EQ$56))</f>
        <v>3266.15692984218</v>
      </c>
      <c r="H33" s="296">
        <f ca="1">IF(AND(H11=Assumptions!$H$9+1,G14="Disposition"),G33*(1+H6),SUMIF('Monthly Cash Flow Solution'!$P$11:$EQ$11,H11,'Monthly Cash Flow Solution'!$P$56:$EQ$56))</f>
        <v>3373.9401085269728</v>
      </c>
      <c r="I33" s="296">
        <f ca="1">IF(AND(I11=Assumptions!$H$9+1,H14="Disposition"),H33*(1+I6),SUMIF('Monthly Cash Flow Solution'!$P$11:$EQ$11,I11,'Monthly Cash Flow Solution'!$P$56:$EQ$56))</f>
        <v>3465.0364914571996</v>
      </c>
      <c r="J33" s="296">
        <f ca="1">IF(AND(J11=Assumptions!$H$9+1,I14="Disposition"),I33*(1+J6),SUMIF('Monthly Cash Flow Solution'!$P$11:$EQ$11,J11,'Monthly Cash Flow Solution'!$P$56:$EQ$56))</f>
        <v>3568.9875862009162</v>
      </c>
      <c r="K33" s="296">
        <f ca="1">IF(AND(K11=Assumptions!$H$9+1,J14="Disposition"),J33*(1+K6),SUMIF('Monthly Cash Flow Solution'!$P$11:$EQ$11,K11,'Monthly Cash Flow Solution'!$P$56:$EQ$56))</f>
        <v>3676.0572137869426</v>
      </c>
      <c r="L33" s="296">
        <f ca="1">IF(AND(L11=Assumptions!$H$9+1,K14="Disposition"),K33*(1+L6),SUMIF('Monthly Cash Flow Solution'!$P$11:$EQ$11,L11,'Monthly Cash Flow Solution'!$P$56:$EQ$56))</f>
        <v>3786.3389302005512</v>
      </c>
      <c r="M33" s="296">
        <f ca="1">IF(AND(M11=Assumptions!$H$9+1,L14="Disposition"),L33*(1+M6),SUMIF('Monthly Cash Flow Solution'!$P$11:$EQ$11,M11,'Monthly Cash Flow Solution'!$P$56:$EQ$56))</f>
        <v>3899.9290981065678</v>
      </c>
      <c r="N33" s="296">
        <f>IF(AND(N11=Assumptions!$H$9+1,M14="Disposition"),M33*(1+N6),SUMIF('Monthly Cash Flow Solution'!$P$11:$EQ$11,N11,'Monthly Cash Flow Solution'!$P$56:$EQ$56))</f>
        <v>0</v>
      </c>
      <c r="O33" s="296">
        <f>IF(AND(O11=Assumptions!$H$9+1,N14="Disposition"),N33*(1+O6),SUMIF('Monthly Cash Flow Solution'!$P$11:$EQ$11,O11,'Monthly Cash Flow Solution'!$P$56:$EQ$56))</f>
        <v>0</v>
      </c>
      <c r="P33" s="296">
        <f>IF(AND(P11=Assumptions!$H$9+1,O14="Disposition"),O33*(1+P6),SUMIF('Monthly Cash Flow Solution'!$P$11:$EQ$11,P11,'Monthly Cash Flow Solution'!$P$56:$EQ$56))</f>
        <v>0</v>
      </c>
      <c r="S33" s="402"/>
      <c r="T33" s="403"/>
    </row>
    <row r="34" spans="2:21">
      <c r="B34" s="280" t="s">
        <v>127</v>
      </c>
      <c r="C34" s="596">
        <v>0</v>
      </c>
      <c r="D34" s="326"/>
      <c r="E34" s="296">
        <f ca="1">IF(AND(E11=Assumptions!$H$9+1,C14="Disposition"),C34*(1+E6),SUMIF('Monthly Cash Flow Solution'!$P$11:$EQ$11,E11,'Monthly Cash Flow Solution'!$P$59:$EQ$59))</f>
        <v>0</v>
      </c>
      <c r="F34" s="296">
        <f ca="1">IF(AND(F11=Assumptions!$H$9+1,E14="Disposition"),E34*(1+F6),SUMIF('Monthly Cash Flow Solution'!$P$11:$EQ$11,F11,'Monthly Cash Flow Solution'!$P$59:$EQ$59))</f>
        <v>0</v>
      </c>
      <c r="G34" s="296">
        <f ca="1">IF(AND(G11=Assumptions!$H$9+1,F14="Disposition"),F34*(1+G6),SUMIF('Monthly Cash Flow Solution'!$P$11:$EQ$11,G11,'Monthly Cash Flow Solution'!$P$59:$EQ$59))</f>
        <v>0</v>
      </c>
      <c r="H34" s="296">
        <f ca="1">IF(AND(H11=Assumptions!$H$9+1,G14="Disposition"),G34*(1+H6),SUMIF('Monthly Cash Flow Solution'!$P$11:$EQ$11,H11,'Monthly Cash Flow Solution'!$P$59:$EQ$59))</f>
        <v>0</v>
      </c>
      <c r="I34" s="296">
        <f ca="1">IF(AND(I11=Assumptions!$H$9+1,H14="Disposition"),H34*(1+I6),SUMIF('Monthly Cash Flow Solution'!$P$11:$EQ$11,I11,'Monthly Cash Flow Solution'!$P$59:$EQ$59))</f>
        <v>0</v>
      </c>
      <c r="J34" s="296">
        <f ca="1">IF(AND(J11=Assumptions!$H$9+1,I14="Disposition"),I34*(1+J6),SUMIF('Monthly Cash Flow Solution'!$P$11:$EQ$11,J11,'Monthly Cash Flow Solution'!$P$59:$EQ$59))</f>
        <v>0</v>
      </c>
      <c r="K34" s="296">
        <f ca="1">IF(AND(K11=Assumptions!$H$9+1,J14="Disposition"),J34*(1+K6),SUMIF('Monthly Cash Flow Solution'!$P$11:$EQ$11,K11,'Monthly Cash Flow Solution'!$P$59:$EQ$59))</f>
        <v>0</v>
      </c>
      <c r="L34" s="296">
        <f ca="1">IF(AND(L11=Assumptions!$H$9+1,K14="Disposition"),K34*(1+L6),SUMIF('Monthly Cash Flow Solution'!$P$11:$EQ$11,L11,'Monthly Cash Flow Solution'!$P$59:$EQ$59))</f>
        <v>0</v>
      </c>
      <c r="M34" s="296">
        <f ca="1">IF(AND(M11=Assumptions!$H$9+1,L14="Disposition"),L34*(1+M6),SUMIF('Monthly Cash Flow Solution'!$P$11:$EQ$11,M11,'Monthly Cash Flow Solution'!$P$59:$EQ$59))</f>
        <v>0</v>
      </c>
      <c r="N34" s="296">
        <f>IF(AND(N11=Assumptions!$H$9+1,M14="Disposition"),M34*(1+N6),SUMIF('Monthly Cash Flow Solution'!$P$11:$EQ$11,N11,'Monthly Cash Flow Solution'!$P$59:$EQ$59))</f>
        <v>0</v>
      </c>
      <c r="O34" s="296">
        <f>IF(AND(O11=Assumptions!$H$9+1,N14="Disposition"),N34*(1+O6),SUMIF('Monthly Cash Flow Solution'!$P$11:$EQ$11,O11,'Monthly Cash Flow Solution'!$P$59:$EQ$59))</f>
        <v>0</v>
      </c>
      <c r="P34" s="296">
        <f>IF(AND(P11=Assumptions!$H$9+1,O14="Disposition"),O34*(1+P6),SUMIF('Monthly Cash Flow Solution'!$P$11:$EQ$11,P11,'Monthly Cash Flow Solution'!$P$59:$EQ$59))</f>
        <v>0</v>
      </c>
      <c r="R34" s="438"/>
      <c r="S34" s="439"/>
      <c r="T34" s="440"/>
      <c r="U34" s="438"/>
    </row>
    <row r="35" spans="2:21" ht="16.5" thickBot="1">
      <c r="B35" s="170" t="s">
        <v>15</v>
      </c>
      <c r="C35" s="597">
        <f t="shared" ref="C35:P35" si="9">SUM(C22,C27,C32,C33,C34)</f>
        <v>275664</v>
      </c>
      <c r="D35" s="661"/>
      <c r="E35" s="297">
        <f t="shared" ca="1" si="9"/>
        <v>265033.53000000003</v>
      </c>
      <c r="F35" s="297">
        <f t="shared" ca="1" si="9"/>
        <v>283207.78549494012</v>
      </c>
      <c r="G35" s="297">
        <f t="shared" ca="1" si="9"/>
        <v>332131.69830357033</v>
      </c>
      <c r="H35" s="297">
        <f t="shared" ca="1" si="9"/>
        <v>359856.3628667618</v>
      </c>
      <c r="I35" s="297">
        <f t="shared" ca="1" si="9"/>
        <v>369572.48466416437</v>
      </c>
      <c r="J35" s="297">
        <f t="shared" ca="1" si="9"/>
        <v>380659.65920408937</v>
      </c>
      <c r="K35" s="297">
        <f t="shared" ca="1" si="9"/>
        <v>392079.44898021186</v>
      </c>
      <c r="L35" s="297">
        <f t="shared" ca="1" si="9"/>
        <v>403841.83244961826</v>
      </c>
      <c r="M35" s="297">
        <f t="shared" ca="1" si="9"/>
        <v>415957.08742310689</v>
      </c>
      <c r="N35" s="297">
        <f t="shared" ca="1" si="9"/>
        <v>0</v>
      </c>
      <c r="O35" s="297">
        <f t="shared" ca="1" si="9"/>
        <v>0</v>
      </c>
      <c r="P35" s="297">
        <f t="shared" si="9"/>
        <v>0</v>
      </c>
      <c r="R35" s="315"/>
      <c r="S35" s="441"/>
      <c r="T35" s="442"/>
      <c r="U35" s="315"/>
    </row>
    <row r="36" spans="2:21" ht="12.75" customHeight="1" thickTop="1">
      <c r="B36" s="171"/>
      <c r="C36" s="598"/>
      <c r="D36" s="662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R36" s="315"/>
      <c r="S36" s="441"/>
      <c r="T36" s="442"/>
      <c r="U36" s="315"/>
    </row>
    <row r="37" spans="2:21" ht="12.75" customHeight="1">
      <c r="B37" s="166" t="s">
        <v>136</v>
      </c>
      <c r="C37" s="595"/>
      <c r="D37" s="660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R37" s="315"/>
      <c r="S37" s="441"/>
      <c r="T37" s="442"/>
      <c r="U37" s="315"/>
    </row>
    <row r="38" spans="2:21">
      <c r="B38" s="167" t="s">
        <v>24</v>
      </c>
      <c r="C38" s="592">
        <v>-20421</v>
      </c>
      <c r="D38" s="326"/>
      <c r="E38" s="296">
        <f ca="1">IF(AND(E11=Assumptions!$H$9+1,C14="Disposition"),C38*(1+E7),SUMIF('Monthly Cash Flow Solution'!$P$11:$EQ$11,E11,'Monthly Cash Flow Solution'!$P$63:$EQ$63))</f>
        <v>-20421</v>
      </c>
      <c r="F38" s="296">
        <f ca="1">IF(AND(F11=Assumptions!$H$9+1,E14="Disposition"),E38*(1+F7),SUMIF('Monthly Cash Flow Solution'!$P$11:$EQ$11,F11,'Monthly Cash Flow Solution'!$P$63:$EQ$63))</f>
        <v>-21033.630000000005</v>
      </c>
      <c r="G38" s="296">
        <f ca="1">IF(AND(G11=Assumptions!$H$9+1,F14="Disposition"),F38*(1+G7),SUMIF('Monthly Cash Flow Solution'!$P$11:$EQ$11,G11,'Monthly Cash Flow Solution'!$P$63:$EQ$63))</f>
        <v>-21664.638900000002</v>
      </c>
      <c r="H38" s="296">
        <f ca="1">IF(AND(H11=Assumptions!$H$9+1,G14="Disposition"),G38*(1+H7),SUMIF('Monthly Cash Flow Solution'!$P$11:$EQ$11,H11,'Monthly Cash Flow Solution'!$P$63:$EQ$63))</f>
        <v>-22314.578067000006</v>
      </c>
      <c r="I38" s="296">
        <f ca="1">IF(AND(I11=Assumptions!$H$9+1,H14="Disposition"),H38*(1+I7),SUMIF('Monthly Cash Flow Solution'!$P$11:$EQ$11,I11,'Monthly Cash Flow Solution'!$P$63:$EQ$63))</f>
        <v>-22984.015409009997</v>
      </c>
      <c r="J38" s="296">
        <f ca="1">IF(AND(J11=Assumptions!$H$9+1,I14="Disposition"),I38*(1+J7),SUMIF('Monthly Cash Flow Solution'!$P$11:$EQ$11,J11,'Monthly Cash Flow Solution'!$P$63:$EQ$63))</f>
        <v>-23673.535871280299</v>
      </c>
      <c r="K38" s="296">
        <f ca="1">IF(AND(K11=Assumptions!$H$9+1,J14="Disposition"),J38*(1+K7),SUMIF('Monthly Cash Flow Solution'!$P$11:$EQ$11,K11,'Monthly Cash Flow Solution'!$P$63:$EQ$63))</f>
        <v>-24383.741947418715</v>
      </c>
      <c r="L38" s="296">
        <f ca="1">IF(AND(L11=Assumptions!$H$9+1,K14="Disposition"),K38*(1+L7),SUMIF('Monthly Cash Flow Solution'!$P$11:$EQ$11,L11,'Monthly Cash Flow Solution'!$P$63:$EQ$63))</f>
        <v>-25115.254205841262</v>
      </c>
      <c r="M38" s="296">
        <f ca="1">IF(AND(M11=Assumptions!$H$9+1,L14="Disposition"),L38*(1+M7),SUMIF('Monthly Cash Flow Solution'!$P$11:$EQ$11,M11,'Monthly Cash Flow Solution'!$P$63:$EQ$63))</f>
        <v>-25868.711832016499</v>
      </c>
      <c r="N38" s="296">
        <f>IF(AND(N11=Assumptions!$H$9+1,M14="Disposition"),M38*(1+N7),SUMIF('Monthly Cash Flow Solution'!$P$11:$EQ$11,N11,'Monthly Cash Flow Solution'!$P$63:$EQ$63))</f>
        <v>0</v>
      </c>
      <c r="O38" s="296">
        <f>IF(AND(O11=Assumptions!$H$9+1,N14="Disposition"),N38*(1+O7),SUMIF('Monthly Cash Flow Solution'!$P$11:$EQ$11,O11,'Monthly Cash Flow Solution'!$P$63:$EQ$63))</f>
        <v>0</v>
      </c>
      <c r="P38" s="296">
        <f>IF(AND(P11=Assumptions!$H$9+1,O14="Disposition"),O38*(1+P7),SUMIF('Monthly Cash Flow Solution'!$P$11:$EQ$11,P11,'Monthly Cash Flow Solution'!$P$63:$EQ$63))</f>
        <v>0</v>
      </c>
      <c r="R38" s="315"/>
      <c r="S38" s="441"/>
      <c r="T38" s="442"/>
      <c r="U38" s="315"/>
    </row>
    <row r="39" spans="2:21">
      <c r="B39" s="274" t="s">
        <v>114</v>
      </c>
      <c r="C39" s="592">
        <v>0</v>
      </c>
      <c r="D39" s="326"/>
      <c r="E39" s="296">
        <f ca="1">IF(AND(E11=Assumptions!$H$9+1,C14="Disposition"),C39*(1+E7),SUMIF('Monthly Cash Flow Solution'!$P$11:$EQ$11,E11,'Monthly Cash Flow Solution'!$P$64:$EQ$64))</f>
        <v>374.38500000000005</v>
      </c>
      <c r="F39" s="296">
        <f ca="1">IF(AND(F11=Assumptions!$H$9+1,E14="Disposition"),E39*(1+F7),SUMIF('Monthly Cash Flow Solution'!$P$11:$EQ$11,F11,'Monthly Cash Flow Solution'!$P$64:$EQ$64))</f>
        <v>1373.0286249999999</v>
      </c>
      <c r="G39" s="296">
        <f ca="1">IF(AND(G11=Assumptions!$H$9+1,F14="Disposition"),F39*(1+G7),SUMIF('Monthly Cash Flow Solution'!$P$11:$EQ$11,G11,'Monthly Cash Flow Solution'!$P$64:$EQ$64))</f>
        <v>1973.889322</v>
      </c>
      <c r="H39" s="296">
        <f ca="1">IF(AND(H11=Assumptions!$H$9+1,G14="Disposition"),G39*(1+H7),SUMIF('Monthly Cash Flow Solution'!$P$11:$EQ$11,H11,'Monthly Cash Flow Solution'!$P$64:$EQ$64))</f>
        <v>2231.4578067000011</v>
      </c>
      <c r="I39" s="296">
        <f ca="1">IF(AND(I11=Assumptions!$H$9+1,H14="Disposition"),H39*(1+I7),SUMIF('Monthly Cash Flow Solution'!$P$11:$EQ$11,I11,'Monthly Cash Flow Solution'!$P$64:$EQ$64))</f>
        <v>2298.4015409009999</v>
      </c>
      <c r="J39" s="296">
        <f ca="1">IF(AND(J11=Assumptions!$H$9+1,I14="Disposition"),I39*(1+J7),SUMIF('Monthly Cash Flow Solution'!$P$11:$EQ$11,J11,'Monthly Cash Flow Solution'!$P$64:$EQ$64))</f>
        <v>2367.3535871280296</v>
      </c>
      <c r="K39" s="296">
        <f ca="1">IF(AND(K11=Assumptions!$H$9+1,J14="Disposition"),J39*(1+K7),SUMIF('Monthly Cash Flow Solution'!$P$11:$EQ$11,K11,'Monthly Cash Flow Solution'!$P$64:$EQ$64))</f>
        <v>2438.3741947418707</v>
      </c>
      <c r="L39" s="296">
        <f ca="1">IF(AND(L11=Assumptions!$H$9+1,K14="Disposition"),K39*(1+L7),SUMIF('Monthly Cash Flow Solution'!$P$11:$EQ$11,L11,'Monthly Cash Flow Solution'!$P$64:$EQ$64))</f>
        <v>2511.5254205841279</v>
      </c>
      <c r="M39" s="296">
        <f ca="1">IF(AND(M11=Assumptions!$H$9+1,L14="Disposition"),L39*(1+M7),SUMIF('Monthly Cash Flow Solution'!$P$11:$EQ$11,M11,'Monthly Cash Flow Solution'!$P$64:$EQ$64))</f>
        <v>2586.871183201652</v>
      </c>
      <c r="N39" s="296">
        <f ca="1">IF(AND(N11=Assumptions!$H$9+1,M14="Disposition"),M39*(1+N7),SUMIF('Monthly Cash Flow Solution'!$P$11:$EQ$11,N11,'Monthly Cash Flow Solution'!$P$64:$EQ$64))</f>
        <v>0</v>
      </c>
      <c r="O39" s="296">
        <f ca="1">IF(AND(O11=Assumptions!$H$9+1,N14="Disposition"),N39*(1+O7),SUMIF('Monthly Cash Flow Solution'!$P$11:$EQ$11,O11,'Monthly Cash Flow Solution'!$P$64:$EQ$64))</f>
        <v>0</v>
      </c>
      <c r="P39" s="296">
        <f>IF(AND(P11=Assumptions!$H$9+1,O14="Disposition"),O39*(1+P7),SUMIF('Monthly Cash Flow Solution'!$P$11:$EQ$11,P11,'Monthly Cash Flow Solution'!$P$64:$EQ$64))</f>
        <v>0</v>
      </c>
      <c r="R39" s="315"/>
      <c r="S39" s="441"/>
      <c r="T39" s="442"/>
      <c r="U39" s="315"/>
    </row>
    <row r="40" spans="2:21">
      <c r="B40" s="167" t="s">
        <v>109</v>
      </c>
      <c r="C40" s="592">
        <v>0</v>
      </c>
      <c r="D40" s="326"/>
      <c r="E40" s="296">
        <f ca="1">IF(AND(E11=Assumptions!$H$9+1,C14="Disposition"),C40*(1+E7),SUMIF('Monthly Cash Flow Solution'!$P$11:$EQ$11,E11,'Monthly Cash Flow Solution'!$P$65:$EQ$65))</f>
        <v>0</v>
      </c>
      <c r="F40" s="296">
        <f ca="1">IF(AND(F11=Assumptions!$H$9+1,E14="Disposition"),E40*(1+F7),SUMIF('Monthly Cash Flow Solution'!$P$11:$EQ$11,F11,'Monthly Cash Flow Solution'!$P$65:$EQ$65))</f>
        <v>0</v>
      </c>
      <c r="G40" s="296">
        <f ca="1">IF(AND(G11=Assumptions!$H$9+1,F14="Disposition"),F40*(1+G7),SUMIF('Monthly Cash Flow Solution'!$P$11:$EQ$11,G11,'Monthly Cash Flow Solution'!$P$65:$EQ$65))</f>
        <v>0</v>
      </c>
      <c r="H40" s="296">
        <f ca="1">IF(AND(H11=Assumptions!$H$9+1,G14="Disposition"),G40*(1+H7),SUMIF('Monthly Cash Flow Solution'!$P$11:$EQ$11,H11,'Monthly Cash Flow Solution'!$P$65:$EQ$65))</f>
        <v>0</v>
      </c>
      <c r="I40" s="296">
        <f ca="1">IF(AND(I11=Assumptions!$H$9+1,H14="Disposition"),H40*(1+I7),SUMIF('Monthly Cash Flow Solution'!$P$11:$EQ$11,I11,'Monthly Cash Flow Solution'!$P$65:$EQ$65))</f>
        <v>0</v>
      </c>
      <c r="J40" s="296">
        <f ca="1">IF(AND(J11=Assumptions!$H$9+1,I14="Disposition"),I40*(1+J7),SUMIF('Monthly Cash Flow Solution'!$P$11:$EQ$11,J11,'Monthly Cash Flow Solution'!$P$65:$EQ$65))</f>
        <v>0</v>
      </c>
      <c r="K40" s="296">
        <f ca="1">IF(AND(K11=Assumptions!$H$9+1,J14="Disposition"),J40*(1+K7),SUMIF('Monthly Cash Flow Solution'!$P$11:$EQ$11,K11,'Monthly Cash Flow Solution'!$P$65:$EQ$65))</f>
        <v>0</v>
      </c>
      <c r="L40" s="296">
        <f ca="1">IF(AND(L11=Assumptions!$H$9+1,K14="Disposition"),K40*(1+L7),SUMIF('Monthly Cash Flow Solution'!$P$11:$EQ$11,L11,'Monthly Cash Flow Solution'!$P$65:$EQ$65))</f>
        <v>0</v>
      </c>
      <c r="M40" s="296">
        <f ca="1">IF(AND(M11=Assumptions!$H$9+1,L14="Disposition"),L40*(1+M7),SUMIF('Monthly Cash Flow Solution'!$P$11:$EQ$11,M11,'Monthly Cash Flow Solution'!$P$65:$EQ$65))</f>
        <v>0</v>
      </c>
      <c r="N40" s="296">
        <f>IF(AND(N11=Assumptions!$H$9+1,M14="Disposition"),M40*(1+N7),SUMIF('Monthly Cash Flow Solution'!$P$11:$EQ$11,N11,'Monthly Cash Flow Solution'!$P$65:$EQ$65))</f>
        <v>0</v>
      </c>
      <c r="O40" s="296">
        <f>IF(AND(O11=Assumptions!$H$9+1,N14="Disposition"),N40*(1+O7),SUMIF('Monthly Cash Flow Solution'!$P$11:$EQ$11,O11,'Monthly Cash Flow Solution'!$P$65:$EQ$65))</f>
        <v>0</v>
      </c>
      <c r="P40" s="296">
        <f>IF(AND(P11=Assumptions!$H$9+1,O14="Disposition"),O40*(1+P7),SUMIF('Monthly Cash Flow Solution'!$P$11:$EQ$11,P11,'Monthly Cash Flow Solution'!$P$65:$EQ$65))</f>
        <v>0</v>
      </c>
      <c r="R40" s="438"/>
      <c r="S40" s="439"/>
      <c r="T40" s="440"/>
      <c r="U40" s="438"/>
    </row>
    <row r="41" spans="2:21">
      <c r="B41" s="167" t="s">
        <v>106</v>
      </c>
      <c r="C41" s="592">
        <v>0</v>
      </c>
      <c r="D41" s="326"/>
      <c r="E41" s="296">
        <f ca="1">IF(AND(E11=Assumptions!$H$9+1,C14="Disposition"),C41*(1+E7),SUMIF('Monthly Cash Flow Solution'!$P$11:$EQ$11,E11,'Monthly Cash Flow Solution'!$P$66:$EQ$66))</f>
        <v>0</v>
      </c>
      <c r="F41" s="296">
        <f ca="1">IF(AND(F11=Assumptions!$H$9+1,E14="Disposition"),E41*(1+F7),SUMIF('Monthly Cash Flow Solution'!$P$11:$EQ$11,F11,'Monthly Cash Flow Solution'!$P$66:$EQ$66))</f>
        <v>0</v>
      </c>
      <c r="G41" s="296">
        <f ca="1">IF(AND(G11=Assumptions!$H$9+1,F14="Disposition"),F41*(1+G7),SUMIF('Monthly Cash Flow Solution'!$P$11:$EQ$11,G11,'Monthly Cash Flow Solution'!$P$66:$EQ$66))</f>
        <v>0</v>
      </c>
      <c r="H41" s="296">
        <f ca="1">IF(AND(H11=Assumptions!$H$9+1,G14="Disposition"),G41*(1+H7),SUMIF('Monthly Cash Flow Solution'!$P$11:$EQ$11,H11,'Monthly Cash Flow Solution'!$P$66:$EQ$66))</f>
        <v>0</v>
      </c>
      <c r="I41" s="296">
        <f ca="1">IF(AND(I11=Assumptions!$H$9+1,H14="Disposition"),H41*(1+I7),SUMIF('Monthly Cash Flow Solution'!$P$11:$EQ$11,I11,'Monthly Cash Flow Solution'!$P$66:$EQ$66))</f>
        <v>0</v>
      </c>
      <c r="J41" s="296">
        <f ca="1">IF(AND(J11=Assumptions!$H$9+1,I14="Disposition"),I41*(1+J7),SUMIF('Monthly Cash Flow Solution'!$P$11:$EQ$11,J11,'Monthly Cash Flow Solution'!$P$66:$EQ$66))</f>
        <v>0</v>
      </c>
      <c r="K41" s="296">
        <f ca="1">IF(AND(K11=Assumptions!$H$9+1,J14="Disposition"),J41*(1+K7),SUMIF('Monthly Cash Flow Solution'!$P$11:$EQ$11,K11,'Monthly Cash Flow Solution'!$P$66:$EQ$66))</f>
        <v>0</v>
      </c>
      <c r="L41" s="296">
        <f ca="1">IF(AND(L11=Assumptions!$H$9+1,K14="Disposition"),K41*(1+L7),SUMIF('Monthly Cash Flow Solution'!$P$11:$EQ$11,L11,'Monthly Cash Flow Solution'!$P$66:$EQ$66))</f>
        <v>0</v>
      </c>
      <c r="M41" s="296">
        <f ca="1">IF(AND(M11=Assumptions!$H$9+1,L14="Disposition"),L41*(1+M7),SUMIF('Monthly Cash Flow Solution'!$P$11:$EQ$11,M11,'Monthly Cash Flow Solution'!$P$66:$EQ$66))</f>
        <v>0</v>
      </c>
      <c r="N41" s="296">
        <f>IF(AND(N11=Assumptions!$H$9+1,M14="Disposition"),M41*(1+N7),SUMIF('Monthly Cash Flow Solution'!$P$11:$EQ$11,N11,'Monthly Cash Flow Solution'!$P$66:$EQ$66))</f>
        <v>0</v>
      </c>
      <c r="O41" s="296">
        <f>IF(AND(O11=Assumptions!$H$9+1,N14="Disposition"),N41*(1+O7),SUMIF('Monthly Cash Flow Solution'!$P$11:$EQ$11,O11,'Monthly Cash Flow Solution'!$P$66:$EQ$66))</f>
        <v>0</v>
      </c>
      <c r="P41" s="296">
        <f>IF(AND(P11=Assumptions!$H$9+1,O14="Disposition"),O41*(1+P7),SUMIF('Monthly Cash Flow Solution'!$P$11:$EQ$11,P11,'Monthly Cash Flow Solution'!$P$66:$EQ$66))</f>
        <v>0</v>
      </c>
      <c r="R41" s="315"/>
      <c r="S41" s="441"/>
      <c r="T41" s="442"/>
      <c r="U41" s="442"/>
    </row>
    <row r="42" spans="2:21">
      <c r="B42" s="167" t="s">
        <v>107</v>
      </c>
      <c r="C42" s="592">
        <v>0</v>
      </c>
      <c r="D42" s="326"/>
      <c r="E42" s="296">
        <f ca="1">IF(AND(E11=Assumptions!$H$9+1,C14="Disposition"),C42*(1+E7),SUMIF('Monthly Cash Flow Solution'!$P$11:$EQ$11,E11,'Monthly Cash Flow Solution'!$P$67:$EQ$67))</f>
        <v>0</v>
      </c>
      <c r="F42" s="296">
        <f ca="1">IF(AND(F11=Assumptions!$H$9+1,E14="Disposition"),E42*(1+F7),SUMIF('Monthly Cash Flow Solution'!$P$11:$EQ$11,F11,'Monthly Cash Flow Solution'!$P$67:$EQ$67))</f>
        <v>0</v>
      </c>
      <c r="G42" s="296">
        <f ca="1">IF(AND(G11=Assumptions!$H$9+1,F14="Disposition"),F42*(1+G7),SUMIF('Monthly Cash Flow Solution'!$P$11:$EQ$11,G11,'Monthly Cash Flow Solution'!$P$67:$EQ$67))</f>
        <v>0</v>
      </c>
      <c r="H42" s="296">
        <f ca="1">IF(AND(H11=Assumptions!$H$9+1,G14="Disposition"),G42*(1+H7),SUMIF('Monthly Cash Flow Solution'!$P$11:$EQ$11,H11,'Monthly Cash Flow Solution'!$P$67:$EQ$67))</f>
        <v>0</v>
      </c>
      <c r="I42" s="296">
        <f ca="1">IF(AND(I11=Assumptions!$H$9+1,H14="Disposition"),H42*(1+I7),SUMIF('Monthly Cash Flow Solution'!$P$11:$EQ$11,I11,'Monthly Cash Flow Solution'!$P$67:$EQ$67))</f>
        <v>0</v>
      </c>
      <c r="J42" s="296">
        <f ca="1">IF(AND(J11=Assumptions!$H$9+1,I14="Disposition"),I42*(1+J7),SUMIF('Monthly Cash Flow Solution'!$P$11:$EQ$11,J11,'Monthly Cash Flow Solution'!$P$67:$EQ$67))</f>
        <v>0</v>
      </c>
      <c r="K42" s="296">
        <f ca="1">IF(AND(K11=Assumptions!$H$9+1,J14="Disposition"),J42*(1+K7),SUMIF('Monthly Cash Flow Solution'!$P$11:$EQ$11,K11,'Monthly Cash Flow Solution'!$P$67:$EQ$67))</f>
        <v>0</v>
      </c>
      <c r="L42" s="296">
        <f ca="1">IF(AND(L11=Assumptions!$H$9+1,K14="Disposition"),K42*(1+L7),SUMIF('Monthly Cash Flow Solution'!$P$11:$EQ$11,L11,'Monthly Cash Flow Solution'!$P$67:$EQ$67))</f>
        <v>0</v>
      </c>
      <c r="M42" s="296">
        <f ca="1">IF(AND(M11=Assumptions!$H$9+1,L14="Disposition"),L42*(1+M7),SUMIF('Monthly Cash Flow Solution'!$P$11:$EQ$11,M11,'Monthly Cash Flow Solution'!$P$67:$EQ$67))</f>
        <v>0</v>
      </c>
      <c r="N42" s="296">
        <f>IF(AND(N11=Assumptions!$H$9+1,M14="Disposition"),M42*(1+N7),SUMIF('Monthly Cash Flow Solution'!$P$11:$EQ$11,N11,'Monthly Cash Flow Solution'!$P$67:$EQ$67))</f>
        <v>0</v>
      </c>
      <c r="O42" s="296">
        <f>IF(AND(O11=Assumptions!$H$9+1,N14="Disposition"),N42*(1+O7),SUMIF('Monthly Cash Flow Solution'!$P$11:$EQ$11,O11,'Monthly Cash Flow Solution'!$P$67:$EQ$67))</f>
        <v>0</v>
      </c>
      <c r="P42" s="296">
        <f>IF(AND(P11=Assumptions!$H$9+1,O14="Disposition"),O42*(1+P7),SUMIF('Monthly Cash Flow Solution'!$P$11:$EQ$11,P11,'Monthly Cash Flow Solution'!$P$67:$EQ$67))</f>
        <v>0</v>
      </c>
      <c r="R42" s="315"/>
      <c r="S42" s="441"/>
      <c r="T42" s="442"/>
      <c r="U42" s="315"/>
    </row>
    <row r="43" spans="2:21">
      <c r="B43" s="167" t="s">
        <v>108</v>
      </c>
      <c r="C43" s="592">
        <v>0</v>
      </c>
      <c r="D43" s="326"/>
      <c r="E43" s="296">
        <f ca="1">IF(AND(E11=Assumptions!$H$9+1,C14="Disposition"),C43*(1+E7),SUMIF('Monthly Cash Flow Solution'!$P$11:$EQ$11,E11,'Monthly Cash Flow Solution'!$P$68:$EQ$68))</f>
        <v>0</v>
      </c>
      <c r="F43" s="296">
        <f ca="1">IF(AND(F11=Assumptions!$H$9+1,E14="Disposition"),E43*(1+F7),SUMIF('Monthly Cash Flow Solution'!$P$11:$EQ$11,F11,'Monthly Cash Flow Solution'!$P$68:$EQ$68))</f>
        <v>0</v>
      </c>
      <c r="G43" s="296">
        <f ca="1">IF(AND(G11=Assumptions!$H$9+1,F14="Disposition"),F43*(1+G7),SUMIF('Monthly Cash Flow Solution'!$P$11:$EQ$11,G11,'Monthly Cash Flow Solution'!$P$68:$EQ$68))</f>
        <v>0</v>
      </c>
      <c r="H43" s="296">
        <f ca="1">IF(AND(H11=Assumptions!$H$9+1,G14="Disposition"),G43*(1+H7),SUMIF('Monthly Cash Flow Solution'!$P$11:$EQ$11,H11,'Monthly Cash Flow Solution'!$P$68:$EQ$68))</f>
        <v>0</v>
      </c>
      <c r="I43" s="296">
        <f ca="1">IF(AND(I11=Assumptions!$H$9+1,H14="Disposition"),H43*(1+I7),SUMIF('Monthly Cash Flow Solution'!$P$11:$EQ$11,I11,'Monthly Cash Flow Solution'!$P$68:$EQ$68))</f>
        <v>0</v>
      </c>
      <c r="J43" s="296">
        <f ca="1">IF(AND(J11=Assumptions!$H$9+1,I14="Disposition"),I43*(1+J7),SUMIF('Monthly Cash Flow Solution'!$P$11:$EQ$11,J11,'Monthly Cash Flow Solution'!$P$68:$EQ$68))</f>
        <v>0</v>
      </c>
      <c r="K43" s="296">
        <f ca="1">IF(AND(K11=Assumptions!$H$9+1,J14="Disposition"),J43*(1+K7),SUMIF('Monthly Cash Flow Solution'!$P$11:$EQ$11,K11,'Monthly Cash Flow Solution'!$P$68:$EQ$68))</f>
        <v>0</v>
      </c>
      <c r="L43" s="296">
        <f ca="1">IF(AND(L11=Assumptions!$H$9+1,K14="Disposition"),K43*(1+L7),SUMIF('Monthly Cash Flow Solution'!$P$11:$EQ$11,L11,'Monthly Cash Flow Solution'!$P$68:$EQ$68))</f>
        <v>0</v>
      </c>
      <c r="M43" s="296">
        <f ca="1">IF(AND(M11=Assumptions!$H$9+1,L14="Disposition"),L43*(1+M7),SUMIF('Monthly Cash Flow Solution'!$P$11:$EQ$11,M11,'Monthly Cash Flow Solution'!$P$68:$EQ$68))</f>
        <v>0</v>
      </c>
      <c r="N43" s="296">
        <f>IF(AND(N11=Assumptions!$H$9+1,M14="Disposition"),M43*(1+N7),SUMIF('Monthly Cash Flow Solution'!$P$11:$EQ$11,N11,'Monthly Cash Flow Solution'!$P$68:$EQ$68))</f>
        <v>0</v>
      </c>
      <c r="O43" s="296">
        <f>IF(AND(O11=Assumptions!$H$9+1,N14="Disposition"),N43*(1+O7),SUMIF('Monthly Cash Flow Solution'!$P$11:$EQ$11,O11,'Monthly Cash Flow Solution'!$P$68:$EQ$68))</f>
        <v>0</v>
      </c>
      <c r="P43" s="296">
        <f>IF(AND(P11=Assumptions!$H$9+1,O14="Disposition"),O43*(1+P7),SUMIF('Monthly Cash Flow Solution'!$P$11:$EQ$11,P11,'Monthly Cash Flow Solution'!$P$68:$EQ$68))</f>
        <v>0</v>
      </c>
      <c r="R43" s="315"/>
      <c r="S43" s="441"/>
      <c r="T43" s="442"/>
      <c r="U43" s="315"/>
    </row>
    <row r="44" spans="2:21">
      <c r="B44" s="167" t="s">
        <v>110</v>
      </c>
      <c r="C44" s="592">
        <v>0</v>
      </c>
      <c r="D44" s="326"/>
      <c r="E44" s="296">
        <f ca="1">IF(AND(E11=Assumptions!$H$9+1,C14="Disposition"),C44*(1+E7),SUMIF('Monthly Cash Flow Solution'!$P$11:$EQ$11,E11,'Monthly Cash Flow Solution'!$P$69:$EQ$69))</f>
        <v>0</v>
      </c>
      <c r="F44" s="296">
        <f ca="1">IF(AND(F11=Assumptions!$H$9+1,E14="Disposition"),E44*(1+F7),SUMIF('Monthly Cash Flow Solution'!$P$11:$EQ$11,F11,'Monthly Cash Flow Solution'!$P$69:$EQ$69))</f>
        <v>0</v>
      </c>
      <c r="G44" s="296">
        <f ca="1">IF(AND(G11=Assumptions!$H$9+1,F14="Disposition"),F44*(1+G7),SUMIF('Monthly Cash Flow Solution'!$P$11:$EQ$11,G11,'Monthly Cash Flow Solution'!$P$69:$EQ$69))</f>
        <v>0</v>
      </c>
      <c r="H44" s="296">
        <f ca="1">IF(AND(H11=Assumptions!$H$9+1,G14="Disposition"),G44*(1+H7),SUMIF('Monthly Cash Flow Solution'!$P$11:$EQ$11,H11,'Monthly Cash Flow Solution'!$P$69:$EQ$69))</f>
        <v>0</v>
      </c>
      <c r="I44" s="296">
        <f ca="1">IF(AND(I11=Assumptions!$H$9+1,H14="Disposition"),H44*(1+I7),SUMIF('Monthly Cash Flow Solution'!$P$11:$EQ$11,I11,'Monthly Cash Flow Solution'!$P$69:$EQ$69))</f>
        <v>0</v>
      </c>
      <c r="J44" s="296">
        <f ca="1">IF(AND(J11=Assumptions!$H$9+1,I14="Disposition"),I44*(1+J7),SUMIF('Monthly Cash Flow Solution'!$P$11:$EQ$11,J11,'Monthly Cash Flow Solution'!$P$69:$EQ$69))</f>
        <v>0</v>
      </c>
      <c r="K44" s="296">
        <f ca="1">IF(AND(K11=Assumptions!$H$9+1,J14="Disposition"),J44*(1+K7),SUMIF('Monthly Cash Flow Solution'!$P$11:$EQ$11,K11,'Monthly Cash Flow Solution'!$P$69:$EQ$69))</f>
        <v>0</v>
      </c>
      <c r="L44" s="296">
        <f ca="1">IF(AND(L11=Assumptions!$H$9+1,K14="Disposition"),K44*(1+L7),SUMIF('Monthly Cash Flow Solution'!$P$11:$EQ$11,L11,'Monthly Cash Flow Solution'!$P$69:$EQ$69))</f>
        <v>0</v>
      </c>
      <c r="M44" s="296">
        <f ca="1">IF(AND(M11=Assumptions!$H$9+1,L14="Disposition"),L44*(1+M7),SUMIF('Monthly Cash Flow Solution'!$P$11:$EQ$11,M11,'Monthly Cash Flow Solution'!$P$69:$EQ$69))</f>
        <v>0</v>
      </c>
      <c r="N44" s="296">
        <f>IF(AND(N11=Assumptions!$H$9+1,M14="Disposition"),M44*(1+N7),SUMIF('Monthly Cash Flow Solution'!$P$11:$EQ$11,N11,'Monthly Cash Flow Solution'!$P$69:$EQ$69))</f>
        <v>0</v>
      </c>
      <c r="O44" s="296">
        <f>IF(AND(O11=Assumptions!$H$9+1,N14="Disposition"),N44*(1+O7),SUMIF('Monthly Cash Flow Solution'!$P$11:$EQ$11,O11,'Monthly Cash Flow Solution'!$P$69:$EQ$69))</f>
        <v>0</v>
      </c>
      <c r="P44" s="296">
        <f>IF(AND(P11=Assumptions!$H$9+1,O14="Disposition"),O44*(1+P7),SUMIF('Monthly Cash Flow Solution'!$P$11:$EQ$11,P11,'Monthly Cash Flow Solution'!$P$69:$EQ$69))</f>
        <v>0</v>
      </c>
      <c r="R44" s="315"/>
      <c r="S44" s="441"/>
      <c r="T44" s="442"/>
      <c r="U44" s="315"/>
    </row>
    <row r="45" spans="2:21">
      <c r="B45" s="167" t="s">
        <v>41</v>
      </c>
      <c r="C45" s="592">
        <v>-9821</v>
      </c>
      <c r="D45" s="326"/>
      <c r="E45" s="296">
        <f ca="1">IF(AND(E11=Assumptions!$H$9+1,C14="Disposition"),C45*(1+E7),SUMIF('Monthly Cash Flow Solution'!$P$11:$EQ$11,E11,'Monthly Cash Flow Solution'!$P$70:$EQ$70))</f>
        <v>-9821</v>
      </c>
      <c r="F45" s="296">
        <f ca="1">IF(AND(F11=Assumptions!$H$9+1,E14="Disposition"),E45*(1+F7),SUMIF('Monthly Cash Flow Solution'!$P$11:$EQ$11,F11,'Monthly Cash Flow Solution'!$P$70:$EQ$70))</f>
        <v>-10115.629999999997</v>
      </c>
      <c r="G45" s="296">
        <f ca="1">IF(AND(G11=Assumptions!$H$9+1,F14="Disposition"),F45*(1+G7),SUMIF('Monthly Cash Flow Solution'!$P$11:$EQ$11,G11,'Monthly Cash Flow Solution'!$P$70:$EQ$70))</f>
        <v>-10419.098899999999</v>
      </c>
      <c r="H45" s="296">
        <f ca="1">IF(AND(H11=Assumptions!$H$9+1,G14="Disposition"),G45*(1+H7),SUMIF('Monthly Cash Flow Solution'!$P$11:$EQ$11,H11,'Monthly Cash Flow Solution'!$P$70:$EQ$70))</f>
        <v>-10731.671867000003</v>
      </c>
      <c r="I45" s="296">
        <f ca="1">IF(AND(I11=Assumptions!$H$9+1,H14="Disposition"),H45*(1+I7),SUMIF('Monthly Cash Flow Solution'!$P$11:$EQ$11,I11,'Monthly Cash Flow Solution'!$P$70:$EQ$70))</f>
        <v>-11053.622023010001</v>
      </c>
      <c r="J45" s="296">
        <f ca="1">IF(AND(J11=Assumptions!$H$9+1,I14="Disposition"),I45*(1+J7),SUMIF('Monthly Cash Flow Solution'!$P$11:$EQ$11,J11,'Monthly Cash Flow Solution'!$P$70:$EQ$70))</f>
        <v>-11385.230683700298</v>
      </c>
      <c r="K45" s="296">
        <f ca="1">IF(AND(K11=Assumptions!$H$9+1,J14="Disposition"),J45*(1+K7),SUMIF('Monthly Cash Flow Solution'!$P$11:$EQ$11,K11,'Monthly Cash Flow Solution'!$P$70:$EQ$70))</f>
        <v>-11726.787604211311</v>
      </c>
      <c r="L45" s="296">
        <f ca="1">IF(AND(L11=Assumptions!$H$9+1,K14="Disposition"),K45*(1+L7),SUMIF('Monthly Cash Flow Solution'!$P$11:$EQ$11,L11,'Monthly Cash Flow Solution'!$P$70:$EQ$70))</f>
        <v>-12078.591232337647</v>
      </c>
      <c r="M45" s="296">
        <f ca="1">IF(AND(M11=Assumptions!$H$9+1,L14="Disposition"),L45*(1+M7),SUMIF('Monthly Cash Flow Solution'!$P$11:$EQ$11,M11,'Monthly Cash Flow Solution'!$P$70:$EQ$70))</f>
        <v>-12440.948969307776</v>
      </c>
      <c r="N45" s="296">
        <f>IF(AND(N11=Assumptions!$H$9+1,M14="Disposition"),M45*(1+N7),SUMIF('Monthly Cash Flow Solution'!$P$11:$EQ$11,N11,'Monthly Cash Flow Solution'!$P$70:$EQ$70))</f>
        <v>0</v>
      </c>
      <c r="O45" s="296">
        <f>IF(AND(O11=Assumptions!$H$9+1,N14="Disposition"),N45*(1+O7),SUMIF('Monthly Cash Flow Solution'!$P$11:$EQ$11,O11,'Monthly Cash Flow Solution'!$P$70:$EQ$70))</f>
        <v>0</v>
      </c>
      <c r="P45" s="296">
        <f>IF(AND(P11=Assumptions!$H$9+1,O14="Disposition"),O45*(1+P7),SUMIF('Monthly Cash Flow Solution'!$P$11:$EQ$11,P11,'Monthly Cash Flow Solution'!$P$70:$EQ$70))</f>
        <v>0</v>
      </c>
      <c r="R45" s="438"/>
      <c r="S45" s="439"/>
      <c r="T45" s="440"/>
      <c r="U45" s="438"/>
    </row>
    <row r="46" spans="2:21">
      <c r="B46" s="274" t="s">
        <v>114</v>
      </c>
      <c r="C46" s="592">
        <v>0</v>
      </c>
      <c r="D46" s="326"/>
      <c r="E46" s="296">
        <f ca="1">IF(AND(E11=Assumptions!$H$9+1,C14="Disposition"),C46*(1+E7),SUMIF('Monthly Cash Flow Solution'!$P$11:$EQ$11,E11,'Monthly Cash Flow Solution'!$P$71:$EQ$71))</f>
        <v>900.25833333333344</v>
      </c>
      <c r="F46" s="296">
        <f ca="1">IF(AND(F11=Assumptions!$H$9+1,E14="Disposition"),E46*(1+F7),SUMIF('Monthly Cash Flow Solution'!$P$11:$EQ$11,F11,'Monthly Cash Flow Solution'!$P$71:$EQ$71))</f>
        <v>3301.6292361111109</v>
      </c>
      <c r="G46" s="296">
        <f ca="1">IF(AND(G11=Assumptions!$H$9+1,F14="Disposition"),F46*(1+G7),SUMIF('Monthly Cash Flow Solution'!$P$11:$EQ$11,G11,'Monthly Cash Flow Solution'!$P$71:$EQ$71))</f>
        <v>4746.4783877777772</v>
      </c>
      <c r="H46" s="296">
        <f ca="1">IF(AND(H11=Assumptions!$H$9+1,G14="Disposition"),G46*(1+H7),SUMIF('Monthly Cash Flow Solution'!$P$11:$EQ$11,H11,'Monthly Cash Flow Solution'!$P$71:$EQ$71))</f>
        <v>5365.8359335000014</v>
      </c>
      <c r="I46" s="296">
        <f ca="1">IF(AND(I11=Assumptions!$H$9+1,H14="Disposition"),H46*(1+I7),SUMIF('Monthly Cash Flow Solution'!$P$11:$EQ$11,I11,'Monthly Cash Flow Solution'!$P$71:$EQ$71))</f>
        <v>5526.8110115050004</v>
      </c>
      <c r="J46" s="296">
        <f ca="1">IF(AND(J11=Assumptions!$H$9+1,I14="Disposition"),I46*(1+J7),SUMIF('Monthly Cash Flow Solution'!$P$11:$EQ$11,J11,'Monthly Cash Flow Solution'!$P$71:$EQ$71))</f>
        <v>5692.615341850149</v>
      </c>
      <c r="K46" s="296">
        <f ca="1">IF(AND(K11=Assumptions!$H$9+1,J14="Disposition"),J46*(1+K7),SUMIF('Monthly Cash Flow Solution'!$P$11:$EQ$11,K11,'Monthly Cash Flow Solution'!$P$71:$EQ$71))</f>
        <v>5863.3938021056556</v>
      </c>
      <c r="L46" s="296">
        <f ca="1">IF(AND(L11=Assumptions!$H$9+1,K14="Disposition"),K46*(1+L7),SUMIF('Monthly Cash Flow Solution'!$P$11:$EQ$11,L11,'Monthly Cash Flow Solution'!$P$71:$EQ$71))</f>
        <v>6039.2956161688235</v>
      </c>
      <c r="M46" s="296">
        <f ca="1">IF(AND(M11=Assumptions!$H$9+1,L14="Disposition"),L46*(1+M7),SUMIF('Monthly Cash Flow Solution'!$P$11:$EQ$11,M11,'Monthly Cash Flow Solution'!$P$71:$EQ$71))</f>
        <v>6220.4744846538879</v>
      </c>
      <c r="N46" s="296">
        <f ca="1">IF(AND(N11=Assumptions!$H$9+1,M14="Disposition"),M46*(1+N7),SUMIF('Monthly Cash Flow Solution'!$P$11:$EQ$11,N11,'Monthly Cash Flow Solution'!$P$71:$EQ$71))</f>
        <v>0</v>
      </c>
      <c r="O46" s="296">
        <f ca="1">IF(AND(O11=Assumptions!$H$9+1,N14="Disposition"),N46*(1+O7),SUMIF('Monthly Cash Flow Solution'!$P$11:$EQ$11,O11,'Monthly Cash Flow Solution'!$P$71:$EQ$71))</f>
        <v>0</v>
      </c>
      <c r="P46" s="296">
        <f>IF(AND(P11=Assumptions!$H$9+1,O14="Disposition"),O46*(1+P7),SUMIF('Monthly Cash Flow Solution'!$P$11:$EQ$11,P11,'Monthly Cash Flow Solution'!$P$71:$EQ$71))</f>
        <v>0</v>
      </c>
      <c r="R46" s="438"/>
      <c r="S46" s="439"/>
      <c r="T46" s="440"/>
      <c r="U46" s="438"/>
    </row>
    <row r="47" spans="2:21">
      <c r="B47" s="167" t="s">
        <v>5</v>
      </c>
      <c r="C47" s="592">
        <v>-17748</v>
      </c>
      <c r="D47" s="326"/>
      <c r="E47" s="296">
        <f ca="1">IF(AND(E11=Assumptions!$H$9+1,C14="Disposition"),C47*(1+E7),SUMIF('Monthly Cash Flow Solution'!$P$11:$EQ$11,E11,'Monthly Cash Flow Solution'!$P$72:$EQ$72))</f>
        <v>-17748</v>
      </c>
      <c r="F47" s="296">
        <f ca="1">IF(AND(F11=Assumptions!$H$9+1,E14="Disposition"),E47*(1+F7),SUMIF('Monthly Cash Flow Solution'!$P$11:$EQ$11,F11,'Monthly Cash Flow Solution'!$P$72:$EQ$72))</f>
        <v>-18280.440000000002</v>
      </c>
      <c r="G47" s="296">
        <f ca="1">IF(AND(G11=Assumptions!$H$9+1,F14="Disposition"),F47*(1+G7),SUMIF('Monthly Cash Flow Solution'!$P$11:$EQ$11,G11,'Monthly Cash Flow Solution'!$P$72:$EQ$72))</f>
        <v>-18828.853199999998</v>
      </c>
      <c r="H47" s="296">
        <f ca="1">IF(AND(H11=Assumptions!$H$9+1,G14="Disposition"),G47*(1+H7),SUMIF('Monthly Cash Flow Solution'!$P$11:$EQ$11,H11,'Monthly Cash Flow Solution'!$P$72:$EQ$72))</f>
        <v>-19393.718796000001</v>
      </c>
      <c r="I47" s="296">
        <f ca="1">IF(AND(I11=Assumptions!$H$9+1,H14="Disposition"),H47*(1+I7),SUMIF('Monthly Cash Flow Solution'!$P$11:$EQ$11,I11,'Monthly Cash Flow Solution'!$P$72:$EQ$72))</f>
        <v>-19975.530359880006</v>
      </c>
      <c r="J47" s="296">
        <f ca="1">IF(AND(J11=Assumptions!$H$9+1,I14="Disposition"),I47*(1+J7),SUMIF('Monthly Cash Flow Solution'!$P$11:$EQ$11,J11,'Monthly Cash Flow Solution'!$P$72:$EQ$72))</f>
        <v>-20574.796270676397</v>
      </c>
      <c r="K47" s="296">
        <f ca="1">IF(AND(K11=Assumptions!$H$9+1,J14="Disposition"),J47*(1+K7),SUMIF('Monthly Cash Flow Solution'!$P$11:$EQ$11,K11,'Monthly Cash Flow Solution'!$P$72:$EQ$72))</f>
        <v>-21192.040158796692</v>
      </c>
      <c r="L47" s="296">
        <f ca="1">IF(AND(L11=Assumptions!$H$9+1,K14="Disposition"),K47*(1+L7),SUMIF('Monthly Cash Flow Solution'!$P$11:$EQ$11,L11,'Monthly Cash Flow Solution'!$P$72:$EQ$72))</f>
        <v>-21827.801363560593</v>
      </c>
      <c r="M47" s="296">
        <f ca="1">IF(AND(M11=Assumptions!$H$9+1,L14="Disposition"),L47*(1+M7),SUMIF('Monthly Cash Flow Solution'!$P$11:$EQ$11,M11,'Monthly Cash Flow Solution'!$P$72:$EQ$72))</f>
        <v>-22482.635404467412</v>
      </c>
      <c r="N47" s="296">
        <f>IF(AND(N11=Assumptions!$H$9+1,M14="Disposition"),M47*(1+N7),SUMIF('Monthly Cash Flow Solution'!$P$11:$EQ$11,N11,'Monthly Cash Flow Solution'!$P$72:$EQ$72))</f>
        <v>0</v>
      </c>
      <c r="O47" s="296">
        <f>IF(AND(O11=Assumptions!$H$9+1,N14="Disposition"),N47*(1+O7),SUMIF('Monthly Cash Flow Solution'!$P$11:$EQ$11,O11,'Monthly Cash Flow Solution'!$P$72:$EQ$72))</f>
        <v>0</v>
      </c>
      <c r="P47" s="296">
        <f>IF(AND(P11=Assumptions!$H$9+1,O14="Disposition"),O47*(1+P7),SUMIF('Monthly Cash Flow Solution'!$P$11:$EQ$11,P11,'Monthly Cash Flow Solution'!$P$72:$EQ$72))</f>
        <v>0</v>
      </c>
      <c r="R47" s="315"/>
      <c r="S47" s="441"/>
      <c r="T47" s="442"/>
      <c r="U47" s="315"/>
    </row>
    <row r="48" spans="2:21">
      <c r="B48" s="167" t="s">
        <v>45</v>
      </c>
      <c r="C48" s="592">
        <v>0</v>
      </c>
      <c r="D48" s="326"/>
      <c r="E48" s="296">
        <f ca="1">IF(AND(E11=Assumptions!$H$9+1,C14="Disposition"),C48*(1+E7),SUMIF('Monthly Cash Flow Solution'!$P$11:$EQ$11,E11,'Monthly Cash Flow Solution'!$P$73:$EQ$73))</f>
        <v>0</v>
      </c>
      <c r="F48" s="296">
        <f ca="1">IF(AND(F11=Assumptions!$H$9+1,E14="Disposition"),E48*(1+F7),SUMIF('Monthly Cash Flow Solution'!$P$11:$EQ$11,F11,'Monthly Cash Flow Solution'!$P$73:$EQ$73))</f>
        <v>0</v>
      </c>
      <c r="G48" s="296">
        <f ca="1">IF(AND(G11=Assumptions!$H$9+1,F14="Disposition"),F48*(1+G7),SUMIF('Monthly Cash Flow Solution'!$P$11:$EQ$11,G11,'Monthly Cash Flow Solution'!$P$73:$EQ$73))</f>
        <v>0</v>
      </c>
      <c r="H48" s="296">
        <f ca="1">IF(AND(H11=Assumptions!$H$9+1,G14="Disposition"),G48*(1+H7),SUMIF('Monthly Cash Flow Solution'!$P$11:$EQ$11,H11,'Monthly Cash Flow Solution'!$P$73:$EQ$73))</f>
        <v>0</v>
      </c>
      <c r="I48" s="296">
        <f ca="1">IF(AND(I11=Assumptions!$H$9+1,H14="Disposition"),H48*(1+I7),SUMIF('Monthly Cash Flow Solution'!$P$11:$EQ$11,I11,'Monthly Cash Flow Solution'!$P$73:$EQ$73))</f>
        <v>0</v>
      </c>
      <c r="J48" s="296">
        <f ca="1">IF(AND(J11=Assumptions!$H$9+1,I14="Disposition"),I48*(1+J7),SUMIF('Monthly Cash Flow Solution'!$P$11:$EQ$11,J11,'Monthly Cash Flow Solution'!$P$73:$EQ$73))</f>
        <v>0</v>
      </c>
      <c r="K48" s="296">
        <f ca="1">IF(AND(K11=Assumptions!$H$9+1,J14="Disposition"),J48*(1+K7),SUMIF('Monthly Cash Flow Solution'!$P$11:$EQ$11,K11,'Monthly Cash Flow Solution'!$P$73:$EQ$73))</f>
        <v>0</v>
      </c>
      <c r="L48" s="296">
        <f ca="1">IF(AND(L11=Assumptions!$H$9+1,K14="Disposition"),K48*(1+L7),SUMIF('Monthly Cash Flow Solution'!$P$11:$EQ$11,L11,'Monthly Cash Flow Solution'!$P$73:$EQ$73))</f>
        <v>0</v>
      </c>
      <c r="M48" s="296">
        <f ca="1">IF(AND(M11=Assumptions!$H$9+1,L14="Disposition"),L48*(1+M7),SUMIF('Monthly Cash Flow Solution'!$P$11:$EQ$11,M11,'Monthly Cash Flow Solution'!$P$73:$EQ$73))</f>
        <v>0</v>
      </c>
      <c r="N48" s="296">
        <f>IF(AND(N11=Assumptions!$H$9+1,M14="Disposition"),M48*(1+N7),SUMIF('Monthly Cash Flow Solution'!$P$11:$EQ$11,N11,'Monthly Cash Flow Solution'!$P$73:$EQ$73))</f>
        <v>0</v>
      </c>
      <c r="O48" s="296">
        <f>IF(AND(O11=Assumptions!$H$9+1,N14="Disposition"),N48*(1+O7),SUMIF('Monthly Cash Flow Solution'!$P$11:$EQ$11,O11,'Monthly Cash Flow Solution'!$P$73:$EQ$73))</f>
        <v>0</v>
      </c>
      <c r="P48" s="296">
        <f>IF(AND(P11=Assumptions!$H$9+1,O14="Disposition"),O48*(1+P7),SUMIF('Monthly Cash Flow Solution'!$P$11:$EQ$11,P11,'Monthly Cash Flow Solution'!$P$73:$EQ$73))</f>
        <v>0</v>
      </c>
      <c r="S48" s="401"/>
      <c r="T48" s="403"/>
    </row>
    <row r="49" spans="2:20">
      <c r="B49" s="167" t="s">
        <v>111</v>
      </c>
      <c r="C49" s="592">
        <v>-23604</v>
      </c>
      <c r="D49" s="326"/>
      <c r="E49" s="326">
        <f ca="1">IF(AND(E11=Assumptions!$H$9+1,C14="Disposition"),C49*(1+E7),SUMIF('Monthly Cash Flow Solution'!$P$11:$EQ$11,E11,'Monthly Cash Flow Solution'!$P$74:$EQ$74))</f>
        <v>-23604</v>
      </c>
      <c r="F49" s="326">
        <f ca="1">IF(AND(F11=Assumptions!$H$9+1,E14="Disposition"),E49*(1+F7),SUMIF('Monthly Cash Flow Solution'!$P$11:$EQ$11,F11,'Monthly Cash Flow Solution'!$P$74:$EQ$74))</f>
        <v>-24312.119999999995</v>
      </c>
      <c r="G49" s="326">
        <f ca="1">IF(AND(G11=Assumptions!$H$9+1,F14="Disposition"),F49*(1+G7),SUMIF('Monthly Cash Flow Solution'!$P$11:$EQ$11,G11,'Monthly Cash Flow Solution'!$P$74:$EQ$74))</f>
        <v>-25041.483600000003</v>
      </c>
      <c r="H49" s="326">
        <f ca="1">IF(AND(H11=Assumptions!$H$9+1,G14="Disposition"),G49*(1+H7),SUMIF('Monthly Cash Flow Solution'!$P$11:$EQ$11,H11,'Monthly Cash Flow Solution'!$P$74:$EQ$74))</f>
        <v>-25792.728107999999</v>
      </c>
      <c r="I49" s="326">
        <f ca="1">IF(AND(I11=Assumptions!$H$9+1,H14="Disposition"),H49*(1+I7),SUMIF('Monthly Cash Flow Solution'!$P$11:$EQ$11,I11,'Monthly Cash Flow Solution'!$P$74:$EQ$74))</f>
        <v>-26566.509951240001</v>
      </c>
      <c r="J49" s="326">
        <f ca="1">IF(AND(J11=Assumptions!$H$9+1,I14="Disposition"),I49*(1+J7),SUMIF('Monthly Cash Flow Solution'!$P$11:$EQ$11,J11,'Monthly Cash Flow Solution'!$P$74:$EQ$74))</f>
        <v>-27363.505249777187</v>
      </c>
      <c r="K49" s="326">
        <f ca="1">IF(AND(K11=Assumptions!$H$9+1,J14="Disposition"),J49*(1+K7),SUMIF('Monthly Cash Flow Solution'!$P$11:$EQ$11,K11,'Monthly Cash Flow Solution'!$P$74:$EQ$74))</f>
        <v>-28184.410407270512</v>
      </c>
      <c r="L49" s="326">
        <f ca="1">IF(AND(L11=Assumptions!$H$9+1,K14="Disposition"),K49*(1+L7),SUMIF('Monthly Cash Flow Solution'!$P$11:$EQ$11,L11,'Monthly Cash Flow Solution'!$P$74:$EQ$74))</f>
        <v>-29029.942719488627</v>
      </c>
      <c r="M49" s="326">
        <f ca="1">IF(AND(M11=Assumptions!$H$9+1,L14="Disposition"),L49*(1+M7),SUMIF('Monthly Cash Flow Solution'!$P$11:$EQ$11,M11,'Monthly Cash Flow Solution'!$P$74:$EQ$74))</f>
        <v>-29900.841001073288</v>
      </c>
      <c r="N49" s="326">
        <f>IF(AND(N11=Assumptions!$H$9+1,M14="Disposition"),M49*(1+N7),SUMIF('Monthly Cash Flow Solution'!$P$11:$EQ$11,N11,'Monthly Cash Flow Solution'!$P$74:$EQ$74))</f>
        <v>0</v>
      </c>
      <c r="O49" s="326">
        <f>IF(AND(O11=Assumptions!$H$9+1,N14="Disposition"),N49*(1+O7),SUMIF('Monthly Cash Flow Solution'!$P$11:$EQ$11,O11,'Monthly Cash Flow Solution'!$P$74:$EQ$74))</f>
        <v>0</v>
      </c>
      <c r="P49" s="326">
        <f>IF(AND(P11=Assumptions!$H$9+1,O14="Disposition"),O49*(1+P7),SUMIF('Monthly Cash Flow Solution'!$P$11:$EQ$11,P11,'Monthly Cash Flow Solution'!$P$74:$EQ$74))</f>
        <v>0</v>
      </c>
      <c r="S49" s="401"/>
      <c r="T49" s="403"/>
    </row>
    <row r="50" spans="2:20">
      <c r="B50" s="167" t="s">
        <v>17</v>
      </c>
      <c r="C50" s="592">
        <v>-15000</v>
      </c>
      <c r="D50" s="326"/>
      <c r="E50" s="296">
        <f ca="1">IF(AND(E11=Assumptions!$H$9+1,C14="Disposition"),C50*(1+E7),SUMIF('Monthly Cash Flow Solution'!$P$11:$EQ$11,E11,'Monthly Cash Flow Solution'!$P$75:$EQ$75))</f>
        <v>-15000</v>
      </c>
      <c r="F50" s="296">
        <f ca="1">IF(AND(F11=Assumptions!$H$9+1,E14="Disposition"),E50*(1+F7),SUMIF('Monthly Cash Flow Solution'!$P$11:$EQ$11,F11,'Monthly Cash Flow Solution'!$P$75:$EQ$75))</f>
        <v>-15450</v>
      </c>
      <c r="G50" s="296">
        <f ca="1">IF(AND(G11=Assumptions!$H$9+1,F14="Disposition"),F50*(1+G7),SUMIF('Monthly Cash Flow Solution'!$P$11:$EQ$11,G11,'Monthly Cash Flow Solution'!$P$75:$EQ$75))</f>
        <v>-15913.5</v>
      </c>
      <c r="H50" s="296">
        <f ca="1">IF(AND(H11=Assumptions!$H$9+1,G14="Disposition"),G50*(1+H7),SUMIF('Monthly Cash Flow Solution'!$P$11:$EQ$11,H11,'Monthly Cash Flow Solution'!$P$75:$EQ$75))</f>
        <v>-16390.905000000002</v>
      </c>
      <c r="I50" s="296">
        <f ca="1">IF(AND(I11=Assumptions!$H$9+1,H14="Disposition"),H50*(1+I7),SUMIF('Monthly Cash Flow Solution'!$P$11:$EQ$11,I11,'Monthly Cash Flow Solution'!$P$75:$EQ$75))</f>
        <v>-16882.632149999994</v>
      </c>
      <c r="J50" s="296">
        <f ca="1">IF(AND(J11=Assumptions!$H$9+1,I14="Disposition"),I50*(1+J7),SUMIF('Monthly Cash Flow Solution'!$P$11:$EQ$11,J11,'Monthly Cash Flow Solution'!$P$75:$EQ$75))</f>
        <v>-17389.1111145</v>
      </c>
      <c r="K50" s="296">
        <f ca="1">IF(AND(K11=Assumptions!$H$9+1,J14="Disposition"),J50*(1+K7),SUMIF('Monthly Cash Flow Solution'!$P$11:$EQ$11,K11,'Monthly Cash Flow Solution'!$P$75:$EQ$75))</f>
        <v>-17910.784447934999</v>
      </c>
      <c r="L50" s="296">
        <f ca="1">IF(AND(L11=Assumptions!$H$9+1,K14="Disposition"),K50*(1+L7),SUMIF('Monthly Cash Flow Solution'!$P$11:$EQ$11,L11,'Monthly Cash Flow Solution'!$P$75:$EQ$75))</f>
        <v>-18448.107981373054</v>
      </c>
      <c r="M50" s="296">
        <f ca="1">IF(AND(M11=Assumptions!$H$9+1,L14="Disposition"),L50*(1+M7),SUMIF('Monthly Cash Flow Solution'!$P$11:$EQ$11,M11,'Monthly Cash Flow Solution'!$P$75:$EQ$75))</f>
        <v>-19001.551220814246</v>
      </c>
      <c r="N50" s="296">
        <f>IF(AND(N11=Assumptions!$H$9+1,M14="Disposition"),M50*(1+N7),SUMIF('Monthly Cash Flow Solution'!$P$11:$EQ$11,N11,'Monthly Cash Flow Solution'!$P$75:$EQ$75))</f>
        <v>0</v>
      </c>
      <c r="O50" s="296">
        <f>IF(AND(O11=Assumptions!$H$9+1,N14="Disposition"),N50*(1+O7),SUMIF('Monthly Cash Flow Solution'!$P$11:$EQ$11,O11,'Monthly Cash Flow Solution'!$P$75:$EQ$75))</f>
        <v>0</v>
      </c>
      <c r="P50" s="296">
        <f>IF(AND(P11=Assumptions!$H$9+1,O14="Disposition"),O50*(1+P7),SUMIF('Monthly Cash Flow Solution'!$P$11:$EQ$11,P11,'Monthly Cash Flow Solution'!$P$75:$EQ$75))</f>
        <v>0</v>
      </c>
      <c r="S50" s="401"/>
      <c r="T50" s="403"/>
    </row>
    <row r="51" spans="2:20">
      <c r="B51" s="167" t="s">
        <v>42</v>
      </c>
      <c r="C51" s="592">
        <v>0</v>
      </c>
      <c r="D51" s="326"/>
      <c r="E51" s="296">
        <f ca="1">IF(AND(E11=Assumptions!$H$9+1,C14="Disposition"),C51*(1+E7),SUMIF('Monthly Cash Flow Solution'!$P$11:$EQ$11,E11,'Monthly Cash Flow Solution'!$P$76:$EQ$76))</f>
        <v>0</v>
      </c>
      <c r="F51" s="296">
        <f ca="1">IF(AND(F11=Assumptions!$H$9+1,E14="Disposition"),E51*(1+F7),SUMIF('Monthly Cash Flow Solution'!$P$11:$EQ$11,F11,'Monthly Cash Flow Solution'!$P$76:$EQ$76))</f>
        <v>0</v>
      </c>
      <c r="G51" s="296">
        <f ca="1">IF(AND(G11=Assumptions!$H$9+1,F14="Disposition"),F51*(1+G7),SUMIF('Monthly Cash Flow Solution'!$P$11:$EQ$11,G11,'Monthly Cash Flow Solution'!$P$76:$EQ$76))</f>
        <v>0</v>
      </c>
      <c r="H51" s="296">
        <f ca="1">IF(AND(H11=Assumptions!$H$9+1,G14="Disposition"),G51*(1+H7),SUMIF('Monthly Cash Flow Solution'!$P$11:$EQ$11,H11,'Monthly Cash Flow Solution'!$P$76:$EQ$76))</f>
        <v>0</v>
      </c>
      <c r="I51" s="296">
        <f ca="1">IF(AND(I11=Assumptions!$H$9+1,H14="Disposition"),H51*(1+I7),SUMIF('Monthly Cash Flow Solution'!$P$11:$EQ$11,I11,'Monthly Cash Flow Solution'!$P$76:$EQ$76))</f>
        <v>0</v>
      </c>
      <c r="J51" s="296">
        <f ca="1">IF(AND(J11=Assumptions!$H$9+1,I14="Disposition"),I51*(1+J7),SUMIF('Monthly Cash Flow Solution'!$P$11:$EQ$11,J11,'Monthly Cash Flow Solution'!$P$76:$EQ$76))</f>
        <v>0</v>
      </c>
      <c r="K51" s="296">
        <f ca="1">IF(AND(K11=Assumptions!$H$9+1,J14="Disposition"),J51*(1+K7),SUMIF('Monthly Cash Flow Solution'!$P$11:$EQ$11,K11,'Monthly Cash Flow Solution'!$P$76:$EQ$76))</f>
        <v>0</v>
      </c>
      <c r="L51" s="296">
        <f ca="1">IF(AND(L11=Assumptions!$H$9+1,K14="Disposition"),K51*(1+L7),SUMIF('Monthly Cash Flow Solution'!$P$11:$EQ$11,L11,'Monthly Cash Flow Solution'!$P$76:$EQ$76))</f>
        <v>0</v>
      </c>
      <c r="M51" s="296">
        <f ca="1">IF(AND(M11=Assumptions!$H$9+1,L14="Disposition"),L51*(1+M7),SUMIF('Monthly Cash Flow Solution'!$P$11:$EQ$11,M11,'Monthly Cash Flow Solution'!$P$76:$EQ$76))</f>
        <v>0</v>
      </c>
      <c r="N51" s="296">
        <f>IF(AND(N11=Assumptions!$H$9+1,M14="Disposition"),M51*(1+N7),SUMIF('Monthly Cash Flow Solution'!$P$11:$EQ$11,N11,'Monthly Cash Flow Solution'!$P$76:$EQ$76))</f>
        <v>0</v>
      </c>
      <c r="O51" s="296">
        <f>IF(AND(O11=Assumptions!$H$9+1,N14="Disposition"),N51*(1+O7),SUMIF('Monthly Cash Flow Solution'!$P$11:$EQ$11,O11,'Monthly Cash Flow Solution'!$P$76:$EQ$76))</f>
        <v>0</v>
      </c>
      <c r="P51" s="296">
        <f>IF(AND(P11=Assumptions!$H$9+1,O14="Disposition"),O51*(1+P7),SUMIF('Monthly Cash Flow Solution'!$P$11:$EQ$11,P11,'Monthly Cash Flow Solution'!$P$76:$EQ$76))</f>
        <v>0</v>
      </c>
      <c r="S51" s="401"/>
      <c r="T51" s="403"/>
    </row>
    <row r="52" spans="2:20" ht="6" customHeight="1">
      <c r="B52" s="168"/>
      <c r="C52" s="593"/>
      <c r="D52" s="659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S52" s="401"/>
      <c r="T52" s="403"/>
    </row>
    <row r="53" spans="2:20" ht="12.75" customHeight="1">
      <c r="B53" s="166" t="s">
        <v>212</v>
      </c>
      <c r="C53" s="599">
        <f t="shared" ref="C53:P53" si="10">SUM(C38:C51)</f>
        <v>-86594</v>
      </c>
      <c r="D53" s="663"/>
      <c r="E53" s="298">
        <f t="shared" ca="1" si="10"/>
        <v>-85319.356666666659</v>
      </c>
      <c r="F53" s="298">
        <f t="shared" ca="1" si="10"/>
        <v>-84517.162138888889</v>
      </c>
      <c r="G53" s="298">
        <f t="shared" ca="1" si="10"/>
        <v>-85147.206890222224</v>
      </c>
      <c r="H53" s="298">
        <f t="shared" ca="1" si="10"/>
        <v>-87026.308097800007</v>
      </c>
      <c r="I53" s="298">
        <f t="shared" ca="1" si="10"/>
        <v>-89637.097340733992</v>
      </c>
      <c r="J53" s="298">
        <f t="shared" ca="1" si="10"/>
        <v>-92326.21026095601</v>
      </c>
      <c r="K53" s="298">
        <f t="shared" ca="1" si="10"/>
        <v>-95095.9965687847</v>
      </c>
      <c r="L53" s="298">
        <f t="shared" ca="1" si="10"/>
        <v>-97948.87646584824</v>
      </c>
      <c r="M53" s="298">
        <f t="shared" ca="1" si="10"/>
        <v>-100887.34275982369</v>
      </c>
      <c r="N53" s="298">
        <f t="shared" ca="1" si="10"/>
        <v>0</v>
      </c>
      <c r="O53" s="298">
        <f t="shared" ca="1" si="10"/>
        <v>0</v>
      </c>
      <c r="P53" s="298">
        <f t="shared" si="10"/>
        <v>0</v>
      </c>
      <c r="S53" s="401"/>
      <c r="T53" s="403"/>
    </row>
    <row r="54" spans="2:20" ht="12.75" customHeight="1">
      <c r="B54" s="169"/>
      <c r="C54" s="600"/>
      <c r="D54" s="664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S54" s="401"/>
      <c r="T54" s="403"/>
    </row>
    <row r="55" spans="2:20" ht="17.25" customHeight="1" thickBot="1">
      <c r="B55" s="166" t="s">
        <v>19</v>
      </c>
      <c r="C55" s="601">
        <f>C35+C53</f>
        <v>189070</v>
      </c>
      <c r="D55" s="665"/>
      <c r="E55" s="299">
        <f t="shared" ref="E55:P55" ca="1" si="11">E35+E53</f>
        <v>179714.17333333337</v>
      </c>
      <c r="F55" s="299">
        <f t="shared" ca="1" si="11"/>
        <v>198690.62335605122</v>
      </c>
      <c r="G55" s="299">
        <f t="shared" ca="1" si="11"/>
        <v>246984.49141334812</v>
      </c>
      <c r="H55" s="299">
        <f t="shared" ca="1" si="11"/>
        <v>272830.0547689618</v>
      </c>
      <c r="I55" s="299">
        <f t="shared" ca="1" si="11"/>
        <v>279935.38732343039</v>
      </c>
      <c r="J55" s="299">
        <f t="shared" ca="1" si="11"/>
        <v>288333.44894313335</v>
      </c>
      <c r="K55" s="299">
        <f t="shared" ca="1" si="11"/>
        <v>296983.45241142716</v>
      </c>
      <c r="L55" s="299">
        <f t="shared" ca="1" si="11"/>
        <v>305892.95598377002</v>
      </c>
      <c r="M55" s="299">
        <f t="shared" ca="1" si="11"/>
        <v>315069.74466328323</v>
      </c>
      <c r="N55" s="299">
        <f t="shared" ca="1" si="11"/>
        <v>0</v>
      </c>
      <c r="O55" s="299">
        <f t="shared" ca="1" si="11"/>
        <v>0</v>
      </c>
      <c r="P55" s="299">
        <f t="shared" si="11"/>
        <v>0</v>
      </c>
      <c r="S55" s="401"/>
      <c r="T55" s="403"/>
    </row>
    <row r="56" spans="2:20" ht="16.5" thickTop="1">
      <c r="B56" s="166"/>
      <c r="C56" s="611"/>
      <c r="D56" s="283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S56" s="401"/>
      <c r="T56" s="403"/>
    </row>
    <row r="57" spans="2:20">
      <c r="B57" s="300" t="s">
        <v>43</v>
      </c>
      <c r="C57" s="612">
        <v>0</v>
      </c>
      <c r="D57" s="326"/>
      <c r="E57" s="326">
        <f>IF(E11&gt;Assumptions!$H$9+1,0,1)*SUMIF('Monthly Cash Flow Solution'!$P$11:$EQ$11,E11,'Monthly Cash Flow Solution'!$P$82:$EQ$82)</f>
        <v>0</v>
      </c>
      <c r="F57" s="326">
        <f>IF(F11&gt;Assumptions!$H$9+1,0,1)*SUMIF('Monthly Cash Flow Solution'!$P$11:$EQ$11,F11,'Monthly Cash Flow Solution'!$P$82:$EQ$82)</f>
        <v>0</v>
      </c>
      <c r="G57" s="326">
        <f>IF(G11&gt;Assumptions!$H$9+1,0,1)*SUMIF('Monthly Cash Flow Solution'!$P$11:$EQ$11,G11,'Monthly Cash Flow Solution'!$P$82:$EQ$82)</f>
        <v>0</v>
      </c>
      <c r="H57" s="326">
        <f>IF(H11&gt;Assumptions!$H$9+1,0,1)*SUMIF('Monthly Cash Flow Solution'!$P$11:$EQ$11,H11,'Monthly Cash Flow Solution'!$P$82:$EQ$82)</f>
        <v>0</v>
      </c>
      <c r="I57" s="326">
        <f>IF(I11&gt;Assumptions!$H$9+1,0,1)*SUMIF('Monthly Cash Flow Solution'!$P$11:$EQ$11,I11,'Monthly Cash Flow Solution'!$P$82:$EQ$82)</f>
        <v>0</v>
      </c>
      <c r="J57" s="326">
        <f>IF(J11&gt;Assumptions!$H$9+1,0,1)*SUMIF('Monthly Cash Flow Solution'!$P$11:$EQ$11,J11,'Monthly Cash Flow Solution'!$P$82:$EQ$82)</f>
        <v>0</v>
      </c>
      <c r="K57" s="326">
        <f>IF(K11&gt;Assumptions!$H$9+1,0,1)*SUMIF('Monthly Cash Flow Solution'!$P$11:$EQ$11,K11,'Monthly Cash Flow Solution'!$P$82:$EQ$82)</f>
        <v>0</v>
      </c>
      <c r="L57" s="326">
        <f>IF(L11&gt;Assumptions!$H$9+1,0,1)*SUMIF('Monthly Cash Flow Solution'!$P$11:$EQ$11,L11,'Monthly Cash Flow Solution'!$P$82:$EQ$82)</f>
        <v>0</v>
      </c>
      <c r="M57" s="326">
        <f>IF(M11&gt;Assumptions!$H$9+1,0,1)*SUMIF('Monthly Cash Flow Solution'!$P$11:$EQ$11,M11,'Monthly Cash Flow Solution'!$P$82:$EQ$82)</f>
        <v>0</v>
      </c>
      <c r="N57" s="326">
        <f>IF(N11&gt;Assumptions!$H$9+1,0,1)*SUMIF('Monthly Cash Flow Solution'!$P$11:$EQ$11,N11,'Monthly Cash Flow Solution'!$P$82:$EQ$82)</f>
        <v>0</v>
      </c>
      <c r="O57" s="326">
        <f>IF(O11&gt;Assumptions!$H$9+1,0,1)*SUMIF('Monthly Cash Flow Solution'!$P$11:$EQ$11,O11,'Monthly Cash Flow Solution'!$P$82:$EQ$82)</f>
        <v>0</v>
      </c>
      <c r="P57" s="326">
        <f>IF(P11&gt;Assumptions!$H$9+1,0,1)*SUMIF('Monthly Cash Flow Solution'!$P$11:$EQ$11,P11,'Monthly Cash Flow Solution'!$P$82:$EQ$82)</f>
        <v>0</v>
      </c>
    </row>
    <row r="58" spans="2:20">
      <c r="B58" s="300" t="s">
        <v>325</v>
      </c>
      <c r="C58" s="612"/>
      <c r="D58" s="326"/>
      <c r="E58" s="326">
        <f>IF(E11&gt;Assumptions!$H$9+1,0,1)*SUMIF('Monthly Cash Flow Solution'!$P$11:$EQ$11,E11,'Monthly Cash Flow Solution'!$P$83:$EQ$83)</f>
        <v>0</v>
      </c>
      <c r="F58" s="326">
        <f>IF(F11&gt;Assumptions!$H$9+1,0,1)*SUMIF('Monthly Cash Flow Solution'!$P$11:$EQ$11,F11,'Monthly Cash Flow Solution'!$P$83:$EQ$83)</f>
        <v>0</v>
      </c>
      <c r="G58" s="326">
        <f>IF(G11&gt;Assumptions!$H$9+1,0,1)*SUMIF('Monthly Cash Flow Solution'!$P$11:$EQ$11,G11,'Monthly Cash Flow Solution'!$P$83:$EQ$83)</f>
        <v>0</v>
      </c>
      <c r="H58" s="326">
        <f>IF(H11&gt;Assumptions!$H$9+1,0,1)*SUMIF('Monthly Cash Flow Solution'!$P$11:$EQ$11,H11,'Monthly Cash Flow Solution'!$P$83:$EQ$83)</f>
        <v>0</v>
      </c>
      <c r="I58" s="326">
        <f>IF(I11&gt;Assumptions!$H$9+1,0,1)*SUMIF('Monthly Cash Flow Solution'!$P$11:$EQ$11,I11,'Monthly Cash Flow Solution'!$P$83:$EQ$83)</f>
        <v>0</v>
      </c>
      <c r="J58" s="326">
        <f>IF(J11&gt;Assumptions!$H$9+1,0,1)*SUMIF('Monthly Cash Flow Solution'!$P$11:$EQ$11,J11,'Monthly Cash Flow Solution'!$P$83:$EQ$83)</f>
        <v>0</v>
      </c>
      <c r="K58" s="326">
        <f>IF(K11&gt;Assumptions!$H$9+1,0,1)*SUMIF('Monthly Cash Flow Solution'!$P$11:$EQ$11,K11,'Monthly Cash Flow Solution'!$P$83:$EQ$83)</f>
        <v>0</v>
      </c>
      <c r="L58" s="326">
        <f>IF(L11&gt;Assumptions!$H$9+1,0,1)*SUMIF('Monthly Cash Flow Solution'!$P$11:$EQ$11,L11,'Monthly Cash Flow Solution'!$P$83:$EQ$83)</f>
        <v>0</v>
      </c>
      <c r="M58" s="326">
        <f>IF(M11&gt;Assumptions!$H$9+1,0,1)*SUMIF('Monthly Cash Flow Solution'!$P$11:$EQ$11,M11,'Monthly Cash Flow Solution'!$P$83:$EQ$83)</f>
        <v>0</v>
      </c>
      <c r="N58" s="326">
        <f>IF(N11&gt;Assumptions!$H$9+1,0,1)*SUMIF('Monthly Cash Flow Solution'!$P$11:$EQ$11,N11,'Monthly Cash Flow Solution'!$P$83:$EQ$83)</f>
        <v>0</v>
      </c>
      <c r="O58" s="326">
        <f>IF(O11&gt;Assumptions!$H$9+1,0,1)*SUMIF('Monthly Cash Flow Solution'!$P$11:$EQ$11,O11,'Monthly Cash Flow Solution'!$P$83:$EQ$83)</f>
        <v>0</v>
      </c>
      <c r="P58" s="326">
        <f>IF(P11&gt;Assumptions!$H$9+1,0,1)*SUMIF('Monthly Cash Flow Solution'!$P$11:$EQ$11,P11,'Monthly Cash Flow Solution'!$P$83:$EQ$83)</f>
        <v>0</v>
      </c>
    </row>
    <row r="59" spans="2:20">
      <c r="B59" s="300" t="s">
        <v>145</v>
      </c>
      <c r="C59" s="612">
        <v>0</v>
      </c>
      <c r="D59" s="326"/>
      <c r="E59" s="326">
        <f>IF(E11&gt;Assumptions!$H$9+1,0,1)*SUMIF('Monthly Cash Flow Solution'!$P$11:$EQ$11,E11,'Monthly Cash Flow Solution'!$P$84:$EQ$84)</f>
        <v>-75000</v>
      </c>
      <c r="F59" s="326">
        <f>IF(F11&gt;Assumptions!$H$9+1,0,1)*SUMIF('Monthly Cash Flow Solution'!$P$11:$EQ$11,F11,'Monthly Cash Flow Solution'!$P$84:$EQ$84)</f>
        <v>-115875</v>
      </c>
      <c r="G59" s="326">
        <f>IF(G11&gt;Assumptions!$H$9+1,0,1)*SUMIF('Monthly Cash Flow Solution'!$P$11:$EQ$11,G11,'Monthly Cash Flow Solution'!$P$84:$EQ$84)</f>
        <v>-39783.75</v>
      </c>
      <c r="H59" s="326">
        <f>IF(H11&gt;Assumptions!$H$9+1,0,1)*SUMIF('Monthly Cash Flow Solution'!$P$11:$EQ$11,H11,'Monthly Cash Flow Solution'!$P$84:$EQ$84)</f>
        <v>0</v>
      </c>
      <c r="I59" s="326">
        <f>IF(I11&gt;Assumptions!$H$9+1,0,1)*SUMIF('Monthly Cash Flow Solution'!$P$11:$EQ$11,I11,'Monthly Cash Flow Solution'!$P$84:$EQ$84)</f>
        <v>0</v>
      </c>
      <c r="J59" s="326">
        <f>IF(J11&gt;Assumptions!$H$9+1,0,1)*SUMIF('Monthly Cash Flow Solution'!$P$11:$EQ$11,J11,'Monthly Cash Flow Solution'!$P$84:$EQ$84)</f>
        <v>0</v>
      </c>
      <c r="K59" s="326">
        <f>IF(K11&gt;Assumptions!$H$9+1,0,1)*SUMIF('Monthly Cash Flow Solution'!$P$11:$EQ$11,K11,'Monthly Cash Flow Solution'!$P$84:$EQ$84)</f>
        <v>0</v>
      </c>
      <c r="L59" s="326">
        <f>IF(L11&gt;Assumptions!$H$9+1,0,1)*SUMIF('Monthly Cash Flow Solution'!$P$11:$EQ$11,L11,'Monthly Cash Flow Solution'!$P$84:$EQ$84)</f>
        <v>0</v>
      </c>
      <c r="M59" s="326">
        <f>IF(M11&gt;Assumptions!$H$9+1,0,1)*SUMIF('Monthly Cash Flow Solution'!$P$11:$EQ$11,M11,'Monthly Cash Flow Solution'!$P$84:$EQ$84)</f>
        <v>0</v>
      </c>
      <c r="N59" s="326">
        <f>IF(N11&gt;Assumptions!$H$9+1,0,1)*SUMIF('Monthly Cash Flow Solution'!$P$11:$EQ$11,N11,'Monthly Cash Flow Solution'!$P$84:$EQ$84)</f>
        <v>0</v>
      </c>
      <c r="O59" s="326">
        <f>IF(O11&gt;Assumptions!$H$9+1,0,1)*SUMIF('Monthly Cash Flow Solution'!$P$11:$EQ$11,O11,'Monthly Cash Flow Solution'!$P$84:$EQ$84)</f>
        <v>0</v>
      </c>
      <c r="P59" s="326">
        <f>IF(P11&gt;Assumptions!$H$9+1,0,1)*SUMIF('Monthly Cash Flow Solution'!$P$11:$EQ$11,P11,'Monthly Cash Flow Solution'!$P$84:$EQ$84)</f>
        <v>0</v>
      </c>
    </row>
    <row r="60" spans="2:20">
      <c r="B60" s="300" t="s">
        <v>46</v>
      </c>
      <c r="C60" s="612">
        <v>0</v>
      </c>
      <c r="D60" s="326"/>
      <c r="E60" s="296">
        <f ca="1">IF(AND(E11=Assumptions!$H$9+1,C14="Disposition"),C60*(1+E7),SUMIF('Monthly Cash Flow Solution'!$P$11:$EQ$11,E11,'Monthly Cash Flow Solution'!$P$85:$EQ$85))</f>
        <v>-2650.3353000000002</v>
      </c>
      <c r="F60" s="296">
        <f ca="1">IF(AND(F11=Assumptions!$H$9+1,E14="Disposition"),E60*(1+F7),SUMIF('Monthly Cash Flow Solution'!$P$11:$EQ$11,F11,'Monthly Cash Flow Solution'!$P$85:$EQ$85))</f>
        <v>-2832.0778549494007</v>
      </c>
      <c r="G60" s="296">
        <f ca="1">IF(AND(G11=Assumptions!$H$9+1,F14="Disposition"),F60*(1+G7),SUMIF('Monthly Cash Flow Solution'!$P$11:$EQ$11,G11,'Monthly Cash Flow Solution'!$P$85:$EQ$85))</f>
        <v>-3321.3169830357028</v>
      </c>
      <c r="H60" s="296">
        <f ca="1">IF(AND(H11=Assumptions!$H$9+1,G14="Disposition"),G60*(1+H7),SUMIF('Monthly Cash Flow Solution'!$P$11:$EQ$11,H11,'Monthly Cash Flow Solution'!$P$85:$EQ$85))</f>
        <v>-3598.5636286676181</v>
      </c>
      <c r="I60" s="296">
        <f ca="1">IF(AND(I11=Assumptions!$H$9+1,H14="Disposition"),H60*(1+I7),SUMIF('Monthly Cash Flow Solution'!$P$11:$EQ$11,I11,'Monthly Cash Flow Solution'!$P$85:$EQ$85))</f>
        <v>-3695.7248466416427</v>
      </c>
      <c r="J60" s="296">
        <f ca="1">IF(AND(J11=Assumptions!$H$9+1,I14="Disposition"),I60*(1+J7),SUMIF('Monthly Cash Flow Solution'!$P$11:$EQ$11,J11,'Monthly Cash Flow Solution'!$P$85:$EQ$85))</f>
        <v>-3806.5965920408926</v>
      </c>
      <c r="K60" s="296">
        <f ca="1">IF(AND(K11=Assumptions!$H$9+1,J14="Disposition"),J60*(1+K7),SUMIF('Monthly Cash Flow Solution'!$P$11:$EQ$11,K11,'Monthly Cash Flow Solution'!$P$85:$EQ$85))</f>
        <v>-3920.7944898021192</v>
      </c>
      <c r="L60" s="296">
        <f ca="1">IF(AND(L11=Assumptions!$H$9+1,K14="Disposition"),K60*(1+L7),SUMIF('Monthly Cash Flow Solution'!$P$11:$EQ$11,L11,'Monthly Cash Flow Solution'!$P$85:$EQ$85))</f>
        <v>-4038.4183244961837</v>
      </c>
      <c r="M60" s="296">
        <f ca="1">IF(AND(M11=Assumptions!$H$9+1,L14="Disposition"),L60*(1+M7),SUMIF('Monthly Cash Flow Solution'!$P$11:$EQ$11,M11,'Monthly Cash Flow Solution'!$P$85:$EQ$85))</f>
        <v>-4159.570874231069</v>
      </c>
      <c r="N60" s="296">
        <f>IF(AND(N11=Assumptions!$H$9+1,M14="Disposition"),M60*(1+N7),SUMIF('Monthly Cash Flow Solution'!$P$11:$EQ$11,N11,'Monthly Cash Flow Solution'!$P$85:$EQ$85))</f>
        <v>0</v>
      </c>
      <c r="O60" s="296">
        <f>IF(AND(O11=Assumptions!$H$9+1,N14="Disposition"),N60*(1+O7),SUMIF('Monthly Cash Flow Solution'!$P$11:$EQ$11,O11,'Monthly Cash Flow Solution'!$P$85:$EQ$85))</f>
        <v>0</v>
      </c>
      <c r="P60" s="296">
        <f>IF(AND(P11=Assumptions!$H$9+1,O14="Disposition"),O60*(1+P7),SUMIF('Monthly Cash Flow Solution'!$P$11:$EQ$11,P11,'Monthly Cash Flow Solution'!$P$85:$EQ$85))</f>
        <v>0</v>
      </c>
    </row>
    <row r="61" spans="2:20">
      <c r="B61" s="166"/>
      <c r="C61" s="283"/>
      <c r="D61" s="283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</row>
    <row r="62" spans="2:20">
      <c r="B62" s="166" t="s">
        <v>35</v>
      </c>
      <c r="C62" s="283"/>
      <c r="D62" s="296">
        <f>IF(D11&gt;Assumptions!$H$9,0,SUM(D55:D60)-'Monthly Cash Flow Solution'!O87)</f>
        <v>0</v>
      </c>
      <c r="E62" s="296">
        <f ca="1">IF(E11&gt;Assumptions!$H$9,0,SUM(E55:E60))</f>
        <v>102063.83803333336</v>
      </c>
      <c r="F62" s="296">
        <f ca="1">IF(F11&gt;Assumptions!$H$9,0,SUM(F55:F60))</f>
        <v>79983.54550110182</v>
      </c>
      <c r="G62" s="296">
        <f ca="1">IF(G11&gt;Assumptions!$H$9,0,SUM(G55:G60))</f>
        <v>203879.42443031241</v>
      </c>
      <c r="H62" s="296">
        <f ca="1">IF(H11&gt;Assumptions!$H$9,0,SUM(H55:H60))</f>
        <v>269231.49114029418</v>
      </c>
      <c r="I62" s="296">
        <f ca="1">IF(I11&gt;Assumptions!$H$9,0,SUM(I55:I60))</f>
        <v>276239.66247678874</v>
      </c>
      <c r="J62" s="296">
        <f ca="1">IF(J11&gt;Assumptions!$H$9,0,SUM(J55:J60))</f>
        <v>284526.85235109244</v>
      </c>
      <c r="K62" s="296">
        <f ca="1">IF(K11&gt;Assumptions!$H$9,0,SUM(K55:K60))</f>
        <v>293062.65792162507</v>
      </c>
      <c r="L62" s="296">
        <f ca="1">IF(L11&gt;Assumptions!$H$9,0,SUM(L55:L60))</f>
        <v>301854.53765927383</v>
      </c>
      <c r="M62" s="296">
        <f>IF(M11&gt;Assumptions!$H$9,0,SUM(M55:M60))</f>
        <v>0</v>
      </c>
      <c r="N62" s="296">
        <f>IF(N11&gt;Assumptions!$H$9,0,SUM(N55:N60))</f>
        <v>0</v>
      </c>
      <c r="O62" s="296">
        <f>IF(O11&gt;Assumptions!$H$9,0,SUM(O55:O60))</f>
        <v>0</v>
      </c>
      <c r="P62" s="296">
        <f>IF(P11&gt;Assumptions!$H$9,0,SUM(P55:P60))</f>
        <v>0</v>
      </c>
    </row>
    <row r="63" spans="2:20">
      <c r="B63" s="166"/>
      <c r="C63" s="283"/>
      <c r="D63" s="283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</row>
    <row r="64" spans="2:20">
      <c r="B64" s="166" t="s">
        <v>213</v>
      </c>
      <c r="C64" s="283"/>
      <c r="D64" s="283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</row>
    <row r="65" spans="2:16">
      <c r="B65" s="166" t="s">
        <v>178</v>
      </c>
      <c r="C65" s="283"/>
      <c r="D65" s="296">
        <f>IF(D11=0,-Assumptions!$P$37,0)</f>
        <v>-2894896.8</v>
      </c>
      <c r="E65" s="296">
        <f>IF(E11=0,-Assumptions!$P$37,0)</f>
        <v>0</v>
      </c>
      <c r="F65" s="296">
        <f>IF(F11=0,-Assumptions!$P$37,0)</f>
        <v>0</v>
      </c>
      <c r="G65" s="296">
        <f>IF(G11=0,-Assumptions!$P$37,0)</f>
        <v>0</v>
      </c>
      <c r="H65" s="296">
        <f>IF(H11=0,-Assumptions!$P$37,0)</f>
        <v>0</v>
      </c>
      <c r="I65" s="296">
        <f>IF(I11=0,-Assumptions!$P$37,0)</f>
        <v>0</v>
      </c>
      <c r="J65" s="296">
        <f>IF(J11=0,-Assumptions!$P$37,0)</f>
        <v>0</v>
      </c>
      <c r="K65" s="296">
        <f>IF(K11=0,-Assumptions!$P$37,0)</f>
        <v>0</v>
      </c>
      <c r="L65" s="296">
        <f>IF(L11=0,-Assumptions!$P$37,0)</f>
        <v>0</v>
      </c>
      <c r="M65" s="296">
        <f>IF(M11=0,-Assumptions!$P$37,0)</f>
        <v>0</v>
      </c>
      <c r="N65" s="296">
        <f>IF(N11=0,-Assumptions!$P$37,0)</f>
        <v>0</v>
      </c>
      <c r="O65" s="296">
        <f>IF(O11=0,-Assumptions!$P$37,0)</f>
        <v>0</v>
      </c>
      <c r="P65" s="296">
        <f>IF(P11=0,-Assumptions!$P$37,0)</f>
        <v>0</v>
      </c>
    </row>
    <row r="66" spans="2:16">
      <c r="B66" s="166" t="s">
        <v>216</v>
      </c>
      <c r="C66" s="283"/>
      <c r="D66" s="296">
        <f>IF(D14="Disposition",D55/Assumptions!$N$67*(1-Assumptions!$P$67),0)</f>
        <v>0</v>
      </c>
      <c r="E66" s="296">
        <f>IF(E14="Disposition",F55/Assumptions!$N$67*(1-Assumptions!$P$67),0)</f>
        <v>0</v>
      </c>
      <c r="F66" s="296">
        <f>IF(F14="Disposition",G55/Assumptions!$N$67*(1-Assumptions!$P$67),0)</f>
        <v>0</v>
      </c>
      <c r="G66" s="296">
        <f>IF(G14="Disposition",H55/Assumptions!$N$67*(1-Assumptions!$P$67),0)</f>
        <v>0</v>
      </c>
      <c r="H66" s="296">
        <f>IF(H14="Disposition",I55/Assumptions!$N$67*(1-Assumptions!$P$67),0)</f>
        <v>0</v>
      </c>
      <c r="I66" s="296">
        <f>IF(I14="Disposition",J55/Assumptions!$N$67*(1-Assumptions!$P$67),0)</f>
        <v>0</v>
      </c>
      <c r="J66" s="296">
        <f>IF(J14="Disposition",K55/Assumptions!$N$67*(1-Assumptions!$P$67),0)</f>
        <v>0</v>
      </c>
      <c r="K66" s="296">
        <f>IF(K14="Disposition",L55/Assumptions!$N$67*(1-Assumptions!$P$67),0)</f>
        <v>0</v>
      </c>
      <c r="L66" s="296">
        <f ca="1">IF(L14="Disposition",M55/Assumptions!$N$67*(1-Assumptions!$P$67),0)</f>
        <v>4410976.4252859643</v>
      </c>
      <c r="M66" s="296">
        <f>IF(M14="Disposition",N55/Assumptions!$N$67*(1-Assumptions!$P$67),0)</f>
        <v>0</v>
      </c>
      <c r="N66" s="296">
        <f>IF(N14="Disposition",O55/Assumptions!$N$67*(1-Assumptions!$P$67),0)</f>
        <v>0</v>
      </c>
      <c r="O66" s="296">
        <f>IF(O14="Disposition",P55/Assumptions!$N$67*(1-Assumptions!$P$67),0)</f>
        <v>0</v>
      </c>
      <c r="P66" s="296">
        <f>IF(P14="Disposition",Q55/Assumptions!$N$67*(1-Assumptions!$P$67),0)</f>
        <v>0</v>
      </c>
    </row>
    <row r="67" spans="2:16">
      <c r="B67" s="166"/>
      <c r="C67" s="283"/>
      <c r="D67" s="283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</row>
    <row r="68" spans="2:16">
      <c r="B68" s="166" t="s">
        <v>203</v>
      </c>
      <c r="C68" s="851" t="s">
        <v>10</v>
      </c>
      <c r="D68" s="519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</row>
    <row r="69" spans="2:16">
      <c r="B69" s="437" t="s">
        <v>196</v>
      </c>
      <c r="C69" s="852">
        <f>SUM(D69:P69)</f>
        <v>-535914.46920177422</v>
      </c>
      <c r="D69" s="296">
        <f>IF(D11&gt;Assumptions!$H$9+1,0,1)*(SUMIF('Monthly Cash Flow Solution'!$O$11:$EQ$11,D11,'Monthly Cash Flow Solution'!$O$95:$EQ$95))</f>
        <v>0</v>
      </c>
      <c r="E69" s="296">
        <f>IF(E11&gt;Assumptions!$H$9+1,0,1)*(SUMIF('Monthly Cash Flow Solution'!$O$11:$EQ$11,E11,'Monthly Cash Flow Solution'!$O$95:$EQ$95))</f>
        <v>-136829.22617917639</v>
      </c>
      <c r="F69" s="296">
        <f>IF(F11&gt;Assumptions!$H$9+1,0,1)*(SUMIF('Monthly Cash Flow Solution'!$P$11:$EQ$11,F11,'Monthly Cash Flow Solution'!$P$95:$EQ$95))</f>
        <v>-136829.22617917639</v>
      </c>
      <c r="G69" s="296">
        <f>IF(G11&gt;Assumptions!$H$9+1,0,1)*(SUMIF('Monthly Cash Flow Solution'!$P$11:$EQ$11,G11,'Monthly Cash Flow Solution'!$P$95:$EQ$95))</f>
        <v>-136829.22617917639</v>
      </c>
      <c r="H69" s="296">
        <f>IF(H11&gt;Assumptions!$H$9+1,0,1)*(SUMIF('Monthly Cash Flow Solution'!$P$11:$EQ$11,H11,'Monthly Cash Flow Solution'!$P$95:$EQ$95))</f>
        <v>-125426.79066424503</v>
      </c>
      <c r="I69" s="296">
        <f>IF(I11&gt;Assumptions!$H$9+1,0,1)*(SUMIF('Monthly Cash Flow Solution'!$P$11:$EQ$11,I11,'Monthly Cash Flow Solution'!$P$95:$EQ$95))</f>
        <v>0</v>
      </c>
      <c r="J69" s="296">
        <f>IF(J11&gt;Assumptions!$H$9+1,0,1)*(SUMIF('Monthly Cash Flow Solution'!$P$11:$EQ$11,J11,'Monthly Cash Flow Solution'!$P$95:$EQ$95))</f>
        <v>0</v>
      </c>
      <c r="K69" s="296">
        <f>IF(K11&gt;Assumptions!$H$9+1,0,1)*(SUMIF('Monthly Cash Flow Solution'!$P$11:$EQ$11,K11,'Monthly Cash Flow Solution'!$P$95:$EQ$95))</f>
        <v>0</v>
      </c>
      <c r="L69" s="296">
        <f>IF(L11&gt;Assumptions!$H$9+1,0,1)*(SUMIF('Monthly Cash Flow Solution'!$P$11:$EQ$11,L11,'Monthly Cash Flow Solution'!$P$95:$EQ$95))</f>
        <v>0</v>
      </c>
      <c r="M69" s="296">
        <f>IF(M11&gt;Assumptions!$H$9+1,0,1)*(SUMIF('Monthly Cash Flow Solution'!$P$11:$EQ$11,M11,'Monthly Cash Flow Solution'!$P$95:$EQ$95))</f>
        <v>0</v>
      </c>
      <c r="N69" s="296">
        <f>IF(N11&gt;Assumptions!$H$9+1,0,1)*(SUMIF('Monthly Cash Flow Solution'!$P$11:$EQ$11,N11,'Monthly Cash Flow Solution'!$P$95:$EQ$95))</f>
        <v>0</v>
      </c>
      <c r="O69" s="296">
        <f>IF(O11&gt;Assumptions!$H$9+1,0,1)*(SUMIF('Monthly Cash Flow Solution'!$P$11:$EQ$11,O11,'Monthly Cash Flow Solution'!$P$95:$EQ$95))</f>
        <v>0</v>
      </c>
      <c r="P69" s="296">
        <f>IF(P11&gt;Assumptions!$H$9+1,0,1)*(SUMIF('Monthly Cash Flow Solution'!$P$11:$EQ$11,P11,'Monthly Cash Flow Solution'!$P$95:$EQ$95))</f>
        <v>0</v>
      </c>
    </row>
    <row r="70" spans="2:16">
      <c r="B70" s="437" t="s">
        <v>215</v>
      </c>
      <c r="C70" s="852">
        <f ca="1">SUM(D70:P70)</f>
        <v>-780159.45048735267</v>
      </c>
      <c r="D70" s="296">
        <f>IF(D11&gt;Assumptions!$H$9+1,0,1)*(SUMIF('Monthly Cash Flow Solution'!$P$11:$EQ$11,D11,'Monthly Cash Flow Solution'!$P$96:$EQ$96))</f>
        <v>0</v>
      </c>
      <c r="E70" s="296">
        <f>IF(E11&gt;Assumptions!$H$9+1,0,1)*(SUMIF('Monthly Cash Flow Solution'!$P$11:$EQ$11,E11,'Monthly Cash Flow Solution'!$P$96:$EQ$96))</f>
        <v>0</v>
      </c>
      <c r="F70" s="296">
        <f>IF(F11&gt;Assumptions!$H$9+1,0,1)*(SUMIF('Monthly Cash Flow Solution'!$P$11:$EQ$11,F11,'Monthly Cash Flow Solution'!$P$96:$EQ$96))</f>
        <v>0</v>
      </c>
      <c r="G70" s="296">
        <f>IF(G11&gt;Assumptions!$H$9+1,0,1)*(SUMIF('Monthly Cash Flow Solution'!$P$11:$EQ$11,G11,'Monthly Cash Flow Solution'!$P$96:$EQ$96))</f>
        <v>0</v>
      </c>
      <c r="H70" s="296">
        <f ca="1">IF(H11&gt;Assumptions!$H$9+1,0,1)*(SUMIF('Monthly Cash Flow Solution'!$P$11:$EQ$11,H11,'Monthly Cash Flow Solution'!$P$96:$EQ$96))</f>
        <v>-15921.621438517401</v>
      </c>
      <c r="I70" s="296">
        <f ca="1">IF(I11&gt;Assumptions!$H$9+1,0,1)*(SUMIF('Monthly Cash Flow Solution'!$P$11:$EQ$11,I11,'Monthly Cash Flow Solution'!$P$96:$EQ$96))</f>
        <v>-191059.45726220883</v>
      </c>
      <c r="J70" s="296">
        <f ca="1">IF(J11&gt;Assumptions!$H$9+1,0,1)*(SUMIF('Monthly Cash Flow Solution'!$P$11:$EQ$11,J11,'Monthly Cash Flow Solution'!$P$96:$EQ$96))</f>
        <v>-191059.45726220883</v>
      </c>
      <c r="K70" s="296">
        <f ca="1">IF(K11&gt;Assumptions!$H$9+1,0,1)*(SUMIF('Monthly Cash Flow Solution'!$P$11:$EQ$11,K11,'Monthly Cash Flow Solution'!$P$96:$EQ$96))</f>
        <v>-191059.45726220883</v>
      </c>
      <c r="L70" s="296">
        <f ca="1">IF(L11&gt;Assumptions!$H$9+1,0,1)*(SUMIF('Monthly Cash Flow Solution'!$P$11:$EQ$11,L11,'Monthly Cash Flow Solution'!$P$96:$EQ$96))</f>
        <v>-191059.45726220883</v>
      </c>
      <c r="M70" s="296">
        <f>IF(M11&gt;Assumptions!$H$9+1,0,1)*(SUMIF('Monthly Cash Flow Solution'!$P$11:$EQ$11,M11,'Monthly Cash Flow Solution'!$P$96:$EQ$96))</f>
        <v>0</v>
      </c>
      <c r="N70" s="296">
        <f>IF(N11&gt;Assumptions!$H$9+1,0,1)*(SUMIF('Monthly Cash Flow Solution'!$P$11:$EQ$11,N11,'Monthly Cash Flow Solution'!$P$96:$EQ$96))</f>
        <v>0</v>
      </c>
      <c r="O70" s="296">
        <f>IF(O11&gt;Assumptions!$H$9+1,0,1)*(SUMIF('Monthly Cash Flow Solution'!$P$11:$EQ$11,O11,'Monthly Cash Flow Solution'!$P$96:$EQ$96))</f>
        <v>0</v>
      </c>
      <c r="P70" s="296">
        <f>IF(P11&gt;Assumptions!$H$9+1,0,1)*(SUMIF('Monthly Cash Flow Solution'!$P$11:$EQ$11,P11,'Monthly Cash Flow Solution'!$P$96:$EQ$96))</f>
        <v>0</v>
      </c>
    </row>
    <row r="71" spans="2:16">
      <c r="B71" s="166"/>
      <c r="C71" s="851" t="s">
        <v>10</v>
      </c>
      <c r="D71" s="519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</row>
    <row r="72" spans="2:16">
      <c r="B72" s="166" t="s">
        <v>202</v>
      </c>
      <c r="C72" s="852">
        <f ca="1">SUM(D72:P72)</f>
        <v>2010847.7151106591</v>
      </c>
      <c r="D72" s="296">
        <f>SUM(D62:D70)</f>
        <v>-2894896.8</v>
      </c>
      <c r="E72" s="296">
        <f ca="1">SUM(E62:E70)</f>
        <v>-34765.388145843026</v>
      </c>
      <c r="F72" s="296">
        <f t="shared" ref="F72:P72" ca="1" si="12">SUM(F62:F70)</f>
        <v>-56845.680678074568</v>
      </c>
      <c r="G72" s="296">
        <f t="shared" ca="1" si="12"/>
        <v>67050.198251136026</v>
      </c>
      <c r="H72" s="296">
        <f t="shared" ca="1" si="12"/>
        <v>127883.07903753176</v>
      </c>
      <c r="I72" s="296">
        <f t="shared" ca="1" si="12"/>
        <v>85180.20521457991</v>
      </c>
      <c r="J72" s="296">
        <f t="shared" ca="1" si="12"/>
        <v>93467.395088883612</v>
      </c>
      <c r="K72" s="296">
        <f t="shared" ca="1" si="12"/>
        <v>102003.20065941624</v>
      </c>
      <c r="L72" s="296">
        <f t="shared" ca="1" si="12"/>
        <v>4521771.5056830291</v>
      </c>
      <c r="M72" s="296">
        <f t="shared" si="12"/>
        <v>0</v>
      </c>
      <c r="N72" s="296">
        <f t="shared" si="12"/>
        <v>0</v>
      </c>
      <c r="O72" s="296">
        <f t="shared" si="12"/>
        <v>0</v>
      </c>
      <c r="P72" s="296">
        <f t="shared" si="12"/>
        <v>0</v>
      </c>
    </row>
    <row r="73" spans="2:16">
      <c r="B73" s="166"/>
      <c r="C73" s="853"/>
      <c r="D73" s="28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</row>
    <row r="74" spans="2:16">
      <c r="B74" s="166" t="s">
        <v>69</v>
      </c>
      <c r="C74" s="851" t="s">
        <v>10</v>
      </c>
      <c r="D74" s="519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</row>
    <row r="75" spans="2:16">
      <c r="B75" s="236" t="s">
        <v>198</v>
      </c>
      <c r="C75" s="852">
        <f t="shared" ref="C75:C81" ca="1" si="13">SUM(D75:P75)</f>
        <v>-112272.78305451786</v>
      </c>
      <c r="D75" s="326">
        <f>IF(D11&gt;Assumptions!$H$9+1,0,1)*SUMIF('Monthly Cash Flow Solution'!$O$11:$EQ$11,D11,'Monthly Cash Flow Solution'!$O$101:$EQ$101)</f>
        <v>-87553.680000000008</v>
      </c>
      <c r="E75" s="326">
        <f ca="1">IF(E11&gt;Assumptions!$H$9+1,0,1)*SUMIF('Monthly Cash Flow Solution'!$O$11:$EQ$11,E11,'Monthly Cash Flow Solution'!$O$101:$EQ$101)</f>
        <v>-7550.1591048614355</v>
      </c>
      <c r="F75" s="326">
        <f ca="1">IF(F11&gt;Assumptions!$H$9+1,0,1)*SUMIF('Monthly Cash Flow Solution'!$O$11:$EQ$11,F11,'Monthly Cash Flow Solution'!$O$101:$EQ$101)</f>
        <v>-11636.166384706194</v>
      </c>
      <c r="G75" s="326">
        <f ca="1">IF(G11&gt;Assumptions!$H$9+1,0,1)*SUMIF('Monthly Cash Flow Solution'!$O$11:$EQ$11,G11,'Monthly Cash Flow Solution'!$O$101:$EQ$101)</f>
        <v>-2804.4770172605881</v>
      </c>
      <c r="H75" s="326">
        <f ca="1">IF(H11&gt;Assumptions!$H$9+1,0,1)*SUMIF('Monthly Cash Flow Solution'!$O$11:$EQ$11,H11,'Monthly Cash Flow Solution'!$O$101:$EQ$101)</f>
        <v>-2728.3005476896178</v>
      </c>
      <c r="I75" s="326">
        <f ca="1">IF(I11&gt;Assumptions!$H$9+1,0,1)*SUMIF('Monthly Cash Flow Solution'!$O$11:$EQ$11,I11,'Monthly Cash Flow Solution'!$O$101:$EQ$101)</f>
        <v>0</v>
      </c>
      <c r="J75" s="326">
        <f ca="1">IF(J11&gt;Assumptions!$H$9+1,0,1)*SUMIF('Monthly Cash Flow Solution'!$O$11:$EQ$11,J11,'Monthly Cash Flow Solution'!$O$101:$EQ$101)</f>
        <v>0</v>
      </c>
      <c r="K75" s="326">
        <f ca="1">IF(K11&gt;Assumptions!$H$9+1,0,1)*SUMIF('Monthly Cash Flow Solution'!$O$11:$EQ$11,K11,'Monthly Cash Flow Solution'!$O$101:$EQ$101)</f>
        <v>0</v>
      </c>
      <c r="L75" s="326">
        <f ca="1">IF(L11&gt;Assumptions!$H$9+1,0,1)*SUMIF('Monthly Cash Flow Solution'!$O$11:$EQ$11,L11,'Monthly Cash Flow Solution'!$O$101:$EQ$101)</f>
        <v>0</v>
      </c>
      <c r="M75" s="326">
        <f ca="1">IF(M11&gt;Assumptions!$H$9+1,0,1)*SUMIF('Monthly Cash Flow Solution'!$O$11:$EQ$11,M11,'Monthly Cash Flow Solution'!$O$101:$EQ$101)</f>
        <v>0</v>
      </c>
      <c r="N75" s="326">
        <f>IF(N11&gt;Assumptions!$H$9+1,0,1)*SUMIF('Monthly Cash Flow Solution'!$O$11:$EQ$11,N11,'Monthly Cash Flow Solution'!$O$101:$EQ$101)</f>
        <v>0</v>
      </c>
      <c r="O75" s="326">
        <f>IF(O11&gt;Assumptions!$H$9+1,0,1)*SUMIF('Monthly Cash Flow Solution'!$O$11:$EQ$11,O11,'Monthly Cash Flow Solution'!$O$101:$EQ$101)</f>
        <v>0</v>
      </c>
      <c r="P75" s="326">
        <f>IF(P11&gt;Assumptions!$H$9+1,0,1)*SUMIF('Monthly Cash Flow Solution'!$O$11:$EQ$11,P11,'Monthly Cash Flow Solution'!$O$101:$EQ$101)</f>
        <v>0</v>
      </c>
    </row>
    <row r="76" spans="2:16">
      <c r="B76" s="236" t="s">
        <v>199</v>
      </c>
      <c r="C76" s="852">
        <f t="shared" ca="1" si="13"/>
        <v>-1010455.0474906606</v>
      </c>
      <c r="D76" s="326">
        <f>IF(D11&gt;Assumptions!$H$9+1,0,1)*SUMIF('Monthly Cash Flow Solution'!$O$11:$EQ$11,D11,'Monthly Cash Flow Solution'!$O$102:$EQ$102)</f>
        <v>-787983.12000000011</v>
      </c>
      <c r="E76" s="326">
        <f ca="1">IF(E11&gt;Assumptions!$H$9+1,0,1)*SUMIF('Monthly Cash Flow Solution'!$O$11:$EQ$11,E11,'Monthly Cash Flow Solution'!$O$102:$EQ$102)</f>
        <v>-67951.431943752905</v>
      </c>
      <c r="F76" s="326">
        <f ca="1">IF(F11&gt;Assumptions!$H$9+1,0,1)*SUMIF('Monthly Cash Flow Solution'!$O$11:$EQ$11,F11,'Monthly Cash Flow Solution'!$O$102:$EQ$102)</f>
        <v>-104725.49746235574</v>
      </c>
      <c r="G76" s="326">
        <f ca="1">IF(G11&gt;Assumptions!$H$9+1,0,1)*SUMIF('Monthly Cash Flow Solution'!$O$11:$EQ$11,G11,'Monthly Cash Flow Solution'!$O$102:$EQ$102)</f>
        <v>-25240.293155345291</v>
      </c>
      <c r="H76" s="326">
        <f ca="1">IF(H11&gt;Assumptions!$H$9+1,0,1)*SUMIF('Monthly Cash Flow Solution'!$O$11:$EQ$11,H11,'Monthly Cash Flow Solution'!$O$102:$EQ$102)</f>
        <v>-24554.70492920656</v>
      </c>
      <c r="I76" s="326">
        <f ca="1">IF(I11&gt;Assumptions!$H$9+1,0,1)*SUMIF('Monthly Cash Flow Solution'!$O$11:$EQ$11,I11,'Monthly Cash Flow Solution'!$O$102:$EQ$102)</f>
        <v>0</v>
      </c>
      <c r="J76" s="326">
        <f ca="1">IF(J11&gt;Assumptions!$H$9+1,0,1)*SUMIF('Monthly Cash Flow Solution'!$O$11:$EQ$11,J11,'Monthly Cash Flow Solution'!$O$102:$EQ$102)</f>
        <v>0</v>
      </c>
      <c r="K76" s="326">
        <f ca="1">IF(K11&gt;Assumptions!$H$9+1,0,1)*SUMIF('Monthly Cash Flow Solution'!$O$11:$EQ$11,K11,'Monthly Cash Flow Solution'!$O$102:$EQ$102)</f>
        <v>0</v>
      </c>
      <c r="L76" s="326">
        <f ca="1">IF(L11&gt;Assumptions!$H$9+1,0,1)*SUMIF('Monthly Cash Flow Solution'!$O$11:$EQ$11,L11,'Monthly Cash Flow Solution'!$O$102:$EQ$102)</f>
        <v>0</v>
      </c>
      <c r="M76" s="326">
        <f ca="1">IF(M11&gt;Assumptions!$H$9+1,0,1)*SUMIF('Monthly Cash Flow Solution'!$O$11:$EQ$11,M11,'Monthly Cash Flow Solution'!$O$102:$EQ$102)</f>
        <v>0</v>
      </c>
      <c r="N76" s="326">
        <f>IF(N11&gt;Assumptions!$H$9+1,0,1)*SUMIF('Monthly Cash Flow Solution'!$O$11:$EQ$11,N11,'Monthly Cash Flow Solution'!$O$102:$EQ$102)</f>
        <v>0</v>
      </c>
      <c r="O76" s="326">
        <f>IF(O11&gt;Assumptions!$H$9+1,0,1)*SUMIF('Monthly Cash Flow Solution'!$O$11:$EQ$11,O11,'Monthly Cash Flow Solution'!$O$102:$EQ$102)</f>
        <v>0</v>
      </c>
      <c r="P76" s="326">
        <f>IF(P11&gt;Assumptions!$H$9+1,0,1)*SUMIF('Monthly Cash Flow Solution'!$O$11:$EQ$11,P11,'Monthly Cash Flow Solution'!$O$102:$EQ$102)</f>
        <v>0</v>
      </c>
    </row>
    <row r="77" spans="2:16">
      <c r="B77" s="117" t="s">
        <v>195</v>
      </c>
      <c r="C77" s="852">
        <f t="shared" si="13"/>
        <v>2019359.9999999998</v>
      </c>
      <c r="D77" s="326">
        <f>IF(D11&gt;Assumptions!$H$9+1,0,1)*SUMIF('Monthly Cash Flow Solution'!$O$11:$EQ$11,D11,'Monthly Cash Flow Solution'!$O$103:$EQ$103)</f>
        <v>2019359.9999999998</v>
      </c>
      <c r="E77" s="326">
        <f>IF(E11&gt;Assumptions!$H$9+1,0,1)*SUMIF('Monthly Cash Flow Solution'!$O$11:$EQ$11,E11,'Monthly Cash Flow Solution'!$O$103:$EQ$103)</f>
        <v>0</v>
      </c>
      <c r="F77" s="326">
        <f>IF(F11&gt;Assumptions!$H$9+1,0,1)*SUMIF('Monthly Cash Flow Solution'!$O$11:$EQ$11,F11,'Monthly Cash Flow Solution'!$O$103:$EQ$103)</f>
        <v>0</v>
      </c>
      <c r="G77" s="326">
        <f>IF(G11&gt;Assumptions!$H$9+1,0,1)*SUMIF('Monthly Cash Flow Solution'!$O$11:$EQ$11,G11,'Monthly Cash Flow Solution'!$O$103:$EQ$103)</f>
        <v>0</v>
      </c>
      <c r="H77" s="326">
        <f>IF(H11&gt;Assumptions!$H$9+1,0,1)*SUMIF('Monthly Cash Flow Solution'!$O$11:$EQ$11,H11,'Monthly Cash Flow Solution'!$O$103:$EQ$103)</f>
        <v>0</v>
      </c>
      <c r="I77" s="326">
        <f>IF(I11&gt;Assumptions!$H$9+1,0,1)*SUMIF('Monthly Cash Flow Solution'!$O$11:$EQ$11,I11,'Monthly Cash Flow Solution'!$O$103:$EQ$103)</f>
        <v>0</v>
      </c>
      <c r="J77" s="326">
        <f>IF(J11&gt;Assumptions!$H$9+1,0,1)*SUMIF('Monthly Cash Flow Solution'!$O$11:$EQ$11,J11,'Monthly Cash Flow Solution'!$O$103:$EQ$103)</f>
        <v>0</v>
      </c>
      <c r="K77" s="326">
        <f>IF(K11&gt;Assumptions!$H$9+1,0,1)*SUMIF('Monthly Cash Flow Solution'!$O$11:$EQ$11,K11,'Monthly Cash Flow Solution'!$O$103:$EQ$103)</f>
        <v>0</v>
      </c>
      <c r="L77" s="326">
        <f>IF(L11&gt;Assumptions!$H$9+1,0,1)*SUMIF('Monthly Cash Flow Solution'!$O$11:$EQ$11,L11,'Monthly Cash Flow Solution'!$O$103:$EQ$103)</f>
        <v>0</v>
      </c>
      <c r="M77" s="326">
        <f>IF(M11&gt;Assumptions!$H$9+1,0,1)*SUMIF('Monthly Cash Flow Solution'!$O$11:$EQ$11,M11,'Monthly Cash Flow Solution'!$O$103:$EQ$103)</f>
        <v>0</v>
      </c>
      <c r="N77" s="326">
        <f>IF(N11&gt;Assumptions!$H$9+1,0,1)*SUMIF('Monthly Cash Flow Solution'!$O$11:$EQ$11,N11,'Monthly Cash Flow Solution'!$O$103:$EQ$103)</f>
        <v>0</v>
      </c>
      <c r="O77" s="326">
        <f>IF(O11&gt;Assumptions!$H$9+1,0,1)*SUMIF('Monthly Cash Flow Solution'!$O$11:$EQ$11,O11,'Monthly Cash Flow Solution'!$O$103:$EQ$103)</f>
        <v>0</v>
      </c>
      <c r="P77" s="326">
        <f>IF(P11&gt;Assumptions!$H$9+1,0,1)*SUMIF('Monthly Cash Flow Solution'!$O$11:$EQ$11,P11,'Monthly Cash Flow Solution'!$O$103:$EQ$103)</f>
        <v>0</v>
      </c>
    </row>
    <row r="78" spans="2:16">
      <c r="B78" s="236" t="s">
        <v>197</v>
      </c>
      <c r="C78" s="852">
        <f t="shared" si="13"/>
        <v>-1899994.9187111054</v>
      </c>
      <c r="D78" s="326">
        <f>IF(D11&gt;Assumptions!$H$9+1,0,1)*SUMIF('Monthly Cash Flow Solution'!$O$11:$EQ$11,D11,'Monthly Cash Flow Solution'!$O$104:$EQ$104)</f>
        <v>0</v>
      </c>
      <c r="E78" s="326">
        <f>IF(E11&gt;Assumptions!$H$9+1,0,1)*SUMIF('Monthly Cash Flow Solution'!$O$11:$EQ$11,E11,'Monthly Cash Flow Solution'!$O$104:$EQ$104)</f>
        <v>0</v>
      </c>
      <c r="F78" s="326">
        <f>IF(F11&gt;Assumptions!$H$9+1,0,1)*SUMIF('Monthly Cash Flow Solution'!$O$11:$EQ$11,F11,'Monthly Cash Flow Solution'!$O$104:$EQ$104)</f>
        <v>0</v>
      </c>
      <c r="G78" s="326">
        <f>IF(G11&gt;Assumptions!$H$9+1,0,1)*SUMIF('Monthly Cash Flow Solution'!$O$11:$EQ$11,G11,'Monthly Cash Flow Solution'!$O$104:$EQ$104)</f>
        <v>0</v>
      </c>
      <c r="H78" s="326">
        <f>IF(H11&gt;Assumptions!$H$9+1,0,1)*SUMIF('Monthly Cash Flow Solution'!$O$11:$EQ$11,H11,'Monthly Cash Flow Solution'!$O$104:$EQ$104)</f>
        <v>-1899994.9187111054</v>
      </c>
      <c r="I78" s="326">
        <f>IF(I11&gt;Assumptions!$H$9+1,0,1)*SUMIF('Monthly Cash Flow Solution'!$O$11:$EQ$11,I11,'Monthly Cash Flow Solution'!$O$104:$EQ$104)</f>
        <v>0</v>
      </c>
      <c r="J78" s="326">
        <f>IF(J11&gt;Assumptions!$H$9+1,0,1)*SUMIF('Monthly Cash Flow Solution'!$O$11:$EQ$11,J11,'Monthly Cash Flow Solution'!$O$104:$EQ$104)</f>
        <v>0</v>
      </c>
      <c r="K78" s="326">
        <f>IF(K11&gt;Assumptions!$H$9+1,0,1)*SUMIF('Monthly Cash Flow Solution'!$O$11:$EQ$11,K11,'Monthly Cash Flow Solution'!$O$104:$EQ$104)</f>
        <v>0</v>
      </c>
      <c r="L78" s="326">
        <f>IF(L11&gt;Assumptions!$H$9+1,0,1)*SUMIF('Monthly Cash Flow Solution'!$O$11:$EQ$11,L11,'Monthly Cash Flow Solution'!$O$104:$EQ$104)</f>
        <v>0</v>
      </c>
      <c r="M78" s="326">
        <f>IF(M11&gt;Assumptions!$H$9+1,0,1)*SUMIF('Monthly Cash Flow Solution'!$O$11:$EQ$11,M11,'Monthly Cash Flow Solution'!$O$104:$EQ$104)</f>
        <v>0</v>
      </c>
      <c r="N78" s="326">
        <f>IF(N11&gt;Assumptions!$H$9+1,0,1)*SUMIF('Monthly Cash Flow Solution'!$O$11:$EQ$11,N11,'Monthly Cash Flow Solution'!$O$104:$EQ$104)</f>
        <v>0</v>
      </c>
      <c r="O78" s="326">
        <f>IF(O11&gt;Assumptions!$H$9+1,0,1)*SUMIF('Monthly Cash Flow Solution'!$O$11:$EQ$11,O11,'Monthly Cash Flow Solution'!$O$104:$EQ$104)</f>
        <v>0</v>
      </c>
      <c r="P78" s="326">
        <f>IF(P11&gt;Assumptions!$H$9+1,0,1)*SUMIF('Monthly Cash Flow Solution'!$O$11:$EQ$11,P11,'Monthly Cash Flow Solution'!$O$104:$EQ$104)</f>
        <v>0</v>
      </c>
    </row>
    <row r="79" spans="2:16">
      <c r="B79" s="117" t="s">
        <v>204</v>
      </c>
      <c r="C79" s="852">
        <f t="shared" ca="1" si="13"/>
        <v>2728300.5476896176</v>
      </c>
      <c r="D79" s="326">
        <f>IF(D11&gt;Assumptions!$H$9+1,0,1)*SUMIF('Monthly Cash Flow Solution'!$O$11:$EQ$11,D11,'Monthly Cash Flow Solution'!$O$105:$EQ$105)</f>
        <v>0</v>
      </c>
      <c r="E79" s="326">
        <f>IF(E11&gt;Assumptions!$H$9+1,0,1)*SUMIF('Monthly Cash Flow Solution'!$O$11:$EQ$11,E11,'Monthly Cash Flow Solution'!$O$105:$EQ$105)</f>
        <v>0</v>
      </c>
      <c r="F79" s="326">
        <f>IF(F11&gt;Assumptions!$H$9+1,0,1)*SUMIF('Monthly Cash Flow Solution'!$O$11:$EQ$11,F11,'Monthly Cash Flow Solution'!$O$105:$EQ$105)</f>
        <v>0</v>
      </c>
      <c r="G79" s="326">
        <f>IF(G11&gt;Assumptions!$H$9+1,0,1)*SUMIF('Monthly Cash Flow Solution'!$O$11:$EQ$11,G11,'Monthly Cash Flow Solution'!$O$105:$EQ$105)</f>
        <v>0</v>
      </c>
      <c r="H79" s="326">
        <f ca="1">IF(H11&gt;Assumptions!$H$9+1,0,1)*SUMIF('Monthly Cash Flow Solution'!$O$11:$EQ$11,H11,'Monthly Cash Flow Solution'!$O$105:$EQ$105)</f>
        <v>2728300.5476896176</v>
      </c>
      <c r="I79" s="326">
        <f>IF(I11&gt;Assumptions!$H$9+1,0,1)*SUMIF('Monthly Cash Flow Solution'!$O$11:$EQ$11,I11,'Monthly Cash Flow Solution'!$O$105:$EQ$105)</f>
        <v>0</v>
      </c>
      <c r="J79" s="326">
        <f>IF(J11&gt;Assumptions!$H$9+1,0,1)*SUMIF('Monthly Cash Flow Solution'!$O$11:$EQ$11,J11,'Monthly Cash Flow Solution'!$O$105:$EQ$105)</f>
        <v>0</v>
      </c>
      <c r="K79" s="326">
        <f>IF(K11&gt;Assumptions!$H$9+1,0,1)*SUMIF('Monthly Cash Flow Solution'!$O$11:$EQ$11,K11,'Monthly Cash Flow Solution'!$O$105:$EQ$105)</f>
        <v>0</v>
      </c>
      <c r="L79" s="326">
        <f>IF(L11&gt;Assumptions!$H$9+1,0,1)*SUMIF('Monthly Cash Flow Solution'!$O$11:$EQ$11,L11,'Monthly Cash Flow Solution'!$O$105:$EQ$105)</f>
        <v>0</v>
      </c>
      <c r="M79" s="326">
        <f>IF(M11&gt;Assumptions!$H$9+1,0,1)*SUMIF('Monthly Cash Flow Solution'!$O$11:$EQ$11,M11,'Monthly Cash Flow Solution'!$O$105:$EQ$105)</f>
        <v>0</v>
      </c>
      <c r="N79" s="326">
        <f>IF(N11&gt;Assumptions!$H$9+1,0,1)*SUMIF('Monthly Cash Flow Solution'!$O$11:$EQ$11,N11,'Monthly Cash Flow Solution'!$O$105:$EQ$105)</f>
        <v>0</v>
      </c>
      <c r="O79" s="326">
        <f>IF(O11&gt;Assumptions!$H$9+1,0,1)*SUMIF('Monthly Cash Flow Solution'!$O$11:$EQ$11,O11,'Monthly Cash Flow Solution'!$O$105:$EQ$105)</f>
        <v>0</v>
      </c>
      <c r="P79" s="326">
        <f>IF(P11&gt;Assumptions!$H$9+1,0,1)*SUMIF('Monthly Cash Flow Solution'!$O$11:$EQ$11,P11,'Monthly Cash Flow Solution'!$O$105:$EQ$105)</f>
        <v>0</v>
      </c>
    </row>
    <row r="80" spans="2:16">
      <c r="B80" s="125" t="s">
        <v>205</v>
      </c>
      <c r="C80" s="852">
        <f t="shared" ca="1" si="13"/>
        <v>-27283.005476896178</v>
      </c>
      <c r="D80" s="326">
        <f>IF(D11&gt;Assumptions!$H$9+1,0,1)*SUMIF('Monthly Cash Flow Solution'!$O$11:$EQ$11,D11,'Monthly Cash Flow Solution'!$O$106:$EQ$106)</f>
        <v>0</v>
      </c>
      <c r="E80" s="326">
        <f>IF(E11&gt;Assumptions!$H$9+1,0,1)*SUMIF('Monthly Cash Flow Solution'!$O$11:$EQ$11,E11,'Monthly Cash Flow Solution'!$O$106:$EQ$106)</f>
        <v>0</v>
      </c>
      <c r="F80" s="326">
        <f>IF(F11&gt;Assumptions!$H$9+1,0,1)*SUMIF('Monthly Cash Flow Solution'!$O$11:$EQ$11,F11,'Monthly Cash Flow Solution'!$O$106:$EQ$106)</f>
        <v>0</v>
      </c>
      <c r="G80" s="326">
        <f>IF(G11&gt;Assumptions!$H$9+1,0,1)*SUMIF('Monthly Cash Flow Solution'!$O$11:$EQ$11,G11,'Monthly Cash Flow Solution'!$O$106:$EQ$106)</f>
        <v>0</v>
      </c>
      <c r="H80" s="326">
        <f ca="1">IF(H11&gt;Assumptions!$H$9+1,0,1)*SUMIF('Monthly Cash Flow Solution'!$O$11:$EQ$11,H11,'Monthly Cash Flow Solution'!$O$106:$EQ$106)</f>
        <v>-27283.005476896178</v>
      </c>
      <c r="I80" s="326">
        <f>IF(I11&gt;Assumptions!$H$9+1,0,1)*SUMIF('Monthly Cash Flow Solution'!$O$11:$EQ$11,I11,'Monthly Cash Flow Solution'!$O$106:$EQ$106)</f>
        <v>0</v>
      </c>
      <c r="J80" s="326">
        <f>IF(J11&gt;Assumptions!$H$9+1,0,1)*SUMIF('Monthly Cash Flow Solution'!$O$11:$EQ$11,J11,'Monthly Cash Flow Solution'!$O$106:$EQ$106)</f>
        <v>0</v>
      </c>
      <c r="K80" s="326">
        <f>IF(K11&gt;Assumptions!$H$9+1,0,1)*SUMIF('Monthly Cash Flow Solution'!$O$11:$EQ$11,K11,'Monthly Cash Flow Solution'!$O$106:$EQ$106)</f>
        <v>0</v>
      </c>
      <c r="L80" s="326">
        <f>IF(L11&gt;Assumptions!$H$9+1,0,1)*SUMIF('Monthly Cash Flow Solution'!$O$11:$EQ$11,L11,'Monthly Cash Flow Solution'!$O$106:$EQ$106)</f>
        <v>0</v>
      </c>
      <c r="M80" s="326">
        <f>IF(M11&gt;Assumptions!$H$9+1,0,1)*SUMIF('Monthly Cash Flow Solution'!$O$11:$EQ$11,M11,'Monthly Cash Flow Solution'!$O$106:$EQ$106)</f>
        <v>0</v>
      </c>
      <c r="N80" s="326">
        <f>IF(N11&gt;Assumptions!$H$9+1,0,1)*SUMIF('Monthly Cash Flow Solution'!$O$11:$EQ$11,N11,'Monthly Cash Flow Solution'!$O$106:$EQ$106)</f>
        <v>0</v>
      </c>
      <c r="O80" s="326">
        <f>IF(O11&gt;Assumptions!$H$9+1,0,1)*SUMIF('Monthly Cash Flow Solution'!$O$11:$EQ$11,O11,'Monthly Cash Flow Solution'!$O$106:$EQ$106)</f>
        <v>0</v>
      </c>
      <c r="P80" s="326">
        <f>IF(P11&gt;Assumptions!$H$9+1,0,1)*SUMIF('Monthly Cash Flow Solution'!$O$11:$EQ$11,P11,'Monthly Cash Flow Solution'!$O$106:$EQ$106)</f>
        <v>0</v>
      </c>
    </row>
    <row r="81" spans="2:16">
      <c r="B81" s="584" t="s">
        <v>206</v>
      </c>
      <c r="C81" s="852">
        <f t="shared" ca="1" si="13"/>
        <v>-2574980.7877013744</v>
      </c>
      <c r="D81" s="326">
        <f>IF(D11&gt;Assumptions!$H$9+1,0,1)*SUMIF('Monthly Cash Flow Solution'!$O$11:$EQ$11,D11,'Monthly Cash Flow Solution'!$O$107:$EQ$107)</f>
        <v>0</v>
      </c>
      <c r="E81" s="326">
        <f>IF(E11&gt;Assumptions!$H$9+1,0,1)*SUMIF('Monthly Cash Flow Solution'!$O$11:$EQ$11,E11,'Monthly Cash Flow Solution'!$O$107:$EQ$107)</f>
        <v>0</v>
      </c>
      <c r="F81" s="326">
        <f>IF(F11&gt;Assumptions!$H$9+1,0,1)*SUMIF('Monthly Cash Flow Solution'!$O$11:$EQ$11,F11,'Monthly Cash Flow Solution'!$O$107:$EQ$107)</f>
        <v>0</v>
      </c>
      <c r="G81" s="326">
        <f>IF(G11&gt;Assumptions!$H$9+1,0,1)*SUMIF('Monthly Cash Flow Solution'!$O$11:$EQ$11,G11,'Monthly Cash Flow Solution'!$O$107:$EQ$107)</f>
        <v>0</v>
      </c>
      <c r="H81" s="326">
        <f>IF(H11&gt;Assumptions!$H$9+1,0,1)*SUMIF('Monthly Cash Flow Solution'!$O$11:$EQ$11,H11,'Monthly Cash Flow Solution'!$O$107:$EQ$107)</f>
        <v>0</v>
      </c>
      <c r="I81" s="326">
        <f>IF(I11&gt;Assumptions!$H$9+1,0,1)*SUMIF('Monthly Cash Flow Solution'!$O$11:$EQ$11,I11,'Monthly Cash Flow Solution'!$O$107:$EQ$107)</f>
        <v>0</v>
      </c>
      <c r="J81" s="326">
        <f>IF(J11&gt;Assumptions!$H$9+1,0,1)*SUMIF('Monthly Cash Flow Solution'!$O$11:$EQ$11,J11,'Monthly Cash Flow Solution'!$O$107:$EQ$107)</f>
        <v>0</v>
      </c>
      <c r="K81" s="326">
        <f>IF(K11&gt;Assumptions!$H$9+1,0,1)*SUMIF('Monthly Cash Flow Solution'!$O$11:$EQ$11,K11,'Monthly Cash Flow Solution'!$O$107:$EQ$107)</f>
        <v>0</v>
      </c>
      <c r="L81" s="326">
        <f ca="1">IF(L11&gt;Assumptions!$H$9+1,0,1)*SUMIF('Monthly Cash Flow Solution'!$O$11:$EQ$11,L11,'Monthly Cash Flow Solution'!$O$107:$EQ$107)</f>
        <v>-2574980.7877013744</v>
      </c>
      <c r="M81" s="326">
        <f>IF(M11&gt;Assumptions!$H$9+1,0,1)*SUMIF('Monthly Cash Flow Solution'!$O$11:$EQ$11,M11,'Monthly Cash Flow Solution'!$O$107:$EQ$107)</f>
        <v>0</v>
      </c>
      <c r="N81" s="326">
        <f>IF(N11&gt;Assumptions!$H$9+1,0,1)*SUMIF('Monthly Cash Flow Solution'!$O$11:$EQ$11,N11,'Monthly Cash Flow Solution'!$O$107:$EQ$107)</f>
        <v>0</v>
      </c>
      <c r="O81" s="326">
        <f>IF(O11&gt;Assumptions!$H$9+1,0,1)*SUMIF('Monthly Cash Flow Solution'!$O$11:$EQ$11,O11,'Monthly Cash Flow Solution'!$O$107:$EQ$107)</f>
        <v>0</v>
      </c>
      <c r="P81" s="326">
        <f>IF(P11&gt;Assumptions!$H$9+1,0,1)*SUMIF('Monthly Cash Flow Solution'!$O$11:$EQ$11,P11,'Monthly Cash Flow Solution'!$O$107:$EQ$107)</f>
        <v>0</v>
      </c>
    </row>
    <row r="82" spans="2:16">
      <c r="B82" s="166"/>
      <c r="C82" s="851"/>
      <c r="D82" s="519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</row>
    <row r="83" spans="2:16">
      <c r="B83" s="166" t="s">
        <v>66</v>
      </c>
      <c r="C83" s="852">
        <f ca="1">SUM(D83:P83)</f>
        <v>2283532.556387797</v>
      </c>
      <c r="D83" s="296">
        <f>SUM(D72,D77:D79,D81)</f>
        <v>-875536.8</v>
      </c>
      <c r="E83" s="296">
        <f t="shared" ref="E83:P83" ca="1" si="14">SUM(E72,E77:E79,E81)</f>
        <v>-34765.388145843026</v>
      </c>
      <c r="F83" s="296">
        <f t="shared" ca="1" si="14"/>
        <v>-56845.680678074568</v>
      </c>
      <c r="G83" s="296">
        <f t="shared" ca="1" si="14"/>
        <v>67050.198251136026</v>
      </c>
      <c r="H83" s="296">
        <f t="shared" ca="1" si="14"/>
        <v>956188.70801604399</v>
      </c>
      <c r="I83" s="296">
        <f t="shared" ca="1" si="14"/>
        <v>85180.20521457991</v>
      </c>
      <c r="J83" s="296">
        <f t="shared" ca="1" si="14"/>
        <v>93467.395088883612</v>
      </c>
      <c r="K83" s="296">
        <f t="shared" ca="1" si="14"/>
        <v>102003.20065941624</v>
      </c>
      <c r="L83" s="296">
        <f t="shared" ca="1" si="14"/>
        <v>1946790.7179816547</v>
      </c>
      <c r="M83" s="296">
        <f t="shared" si="14"/>
        <v>0</v>
      </c>
      <c r="N83" s="296">
        <f t="shared" si="14"/>
        <v>0</v>
      </c>
      <c r="O83" s="296">
        <f t="shared" si="14"/>
        <v>0</v>
      </c>
      <c r="P83" s="296">
        <f t="shared" si="14"/>
        <v>0</v>
      </c>
    </row>
    <row r="84" spans="2:16">
      <c r="B84" s="281"/>
      <c r="C84" s="296"/>
      <c r="D84" s="282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</row>
    <row r="85" spans="2:16">
      <c r="B85" s="145" t="s">
        <v>82</v>
      </c>
      <c r="C85" s="282"/>
      <c r="D85" s="436">
        <f>D55/Assumptions!$P$29</f>
        <v>0</v>
      </c>
      <c r="E85" s="436">
        <f ca="1">E55/Assumptions!$P$29</f>
        <v>6.4183633333333351E-2</v>
      </c>
      <c r="F85" s="436">
        <f ca="1">F55/Assumptions!$P$29</f>
        <v>7.096093691287543E-2</v>
      </c>
      <c r="G85" s="436">
        <f ca="1">G55/Assumptions!$P$29</f>
        <v>8.8208746933338619E-2</v>
      </c>
      <c r="H85" s="436">
        <f ca="1">H55/Assumptions!$P$29</f>
        <v>9.7439305274629212E-2</v>
      </c>
      <c r="I85" s="436">
        <f ca="1">I55/Assumptions!$P$29</f>
        <v>9.9976924044082288E-2</v>
      </c>
      <c r="J85" s="436">
        <f ca="1">J55/Assumptions!$P$29</f>
        <v>0.10297623176540477</v>
      </c>
      <c r="K85" s="436">
        <f ca="1">K55/Assumptions!$P$29</f>
        <v>0.10606551871836685</v>
      </c>
      <c r="L85" s="436">
        <f ca="1">L55/Assumptions!$P$29</f>
        <v>0.10924748427991786</v>
      </c>
      <c r="M85" s="436">
        <f ca="1">M55/Assumptions!$P$29</f>
        <v>0.11252490880831544</v>
      </c>
      <c r="N85" s="436">
        <f ca="1">N55/Assumptions!$P$29</f>
        <v>0</v>
      </c>
      <c r="O85" s="436">
        <f ca="1">O55/Assumptions!$P$29</f>
        <v>0</v>
      </c>
      <c r="P85" s="436">
        <f>P55/Assumptions!$P$29</f>
        <v>0</v>
      </c>
    </row>
    <row r="86" spans="2:16">
      <c r="B86" s="143" t="s">
        <v>210</v>
      </c>
      <c r="C86" s="282"/>
      <c r="D86" s="282"/>
      <c r="E86" s="436">
        <f ca="1">E83/Assumptions!$M$44</f>
        <v>-3.9707512175208425E-2</v>
      </c>
      <c r="F86" s="436">
        <f ca="1">F83/Assumptions!$M$44</f>
        <v>-6.4926660624744226E-2</v>
      </c>
      <c r="G86" s="436">
        <f ca="1">G83/Assumptions!$M$44</f>
        <v>7.6581816151115548E-2</v>
      </c>
      <c r="H86" s="436">
        <f ca="1">H83/Assumptions!$M$44</f>
        <v>1.092117096638364</v>
      </c>
      <c r="I86" s="436">
        <f ca="1">I83/Assumptions!$M$44</f>
        <v>9.7289120473953702E-2</v>
      </c>
      <c r="J86" s="436">
        <f ca="1">J83/Assumptions!$M$44</f>
        <v>0.10675438780972268</v>
      </c>
      <c r="K86" s="436">
        <f ca="1">K83/Assumptions!$M$44</f>
        <v>0.11650361316556453</v>
      </c>
      <c r="L86" s="436">
        <f ca="1">L83/Assumptions!$M$44</f>
        <v>2.2235395679332433</v>
      </c>
      <c r="M86" s="436">
        <f>M83/Assumptions!$M$44</f>
        <v>0</v>
      </c>
      <c r="N86" s="436">
        <f>N83/Assumptions!$M$44</f>
        <v>0</v>
      </c>
      <c r="O86" s="436">
        <f>O83/Assumptions!$M$44</f>
        <v>0</v>
      </c>
      <c r="P86" s="436">
        <f>P83/Assumptions!$M$44</f>
        <v>0</v>
      </c>
    </row>
    <row r="87" spans="2:16">
      <c r="B87" s="145" t="s">
        <v>207</v>
      </c>
      <c r="C87" s="282"/>
      <c r="D87" s="282"/>
      <c r="E87" s="254">
        <f ca="1">IF(ISERROR(-E55/E69),"NA",-E55/E69)</f>
        <v>1.3134194963435635</v>
      </c>
      <c r="F87" s="254">
        <f t="shared" ref="F87:P87" ca="1" si="15">IF(ISERROR(-F55/F69),"NA",-F55/F69)</f>
        <v>1.4521066069310953</v>
      </c>
      <c r="G87" s="254">
        <f t="shared" ca="1" si="15"/>
        <v>1.8050565534144336</v>
      </c>
      <c r="H87" s="254">
        <f t="shared" ca="1" si="15"/>
        <v>2.1752135514596764</v>
      </c>
      <c r="I87" s="254" t="str">
        <f t="shared" ca="1" si="15"/>
        <v>NA</v>
      </c>
      <c r="J87" s="254" t="str">
        <f t="shared" ca="1" si="15"/>
        <v>NA</v>
      </c>
      <c r="K87" s="254" t="str">
        <f t="shared" ca="1" si="15"/>
        <v>NA</v>
      </c>
      <c r="L87" s="254" t="str">
        <f t="shared" ca="1" si="15"/>
        <v>NA</v>
      </c>
      <c r="M87" s="254" t="str">
        <f t="shared" ca="1" si="15"/>
        <v>NA</v>
      </c>
      <c r="N87" s="254" t="str">
        <f t="shared" ca="1" si="15"/>
        <v>NA</v>
      </c>
      <c r="O87" s="254" t="str">
        <f t="shared" ca="1" si="15"/>
        <v>NA</v>
      </c>
      <c r="P87" s="254" t="str">
        <f t="shared" si="15"/>
        <v>NA</v>
      </c>
    </row>
    <row r="88" spans="2:16">
      <c r="B88" s="94" t="s">
        <v>208</v>
      </c>
      <c r="C88" s="405"/>
      <c r="D88" s="405"/>
      <c r="E88" s="254" t="str">
        <f ca="1">IF(ISERROR(-E55/E70),"NA",-E55/E70)</f>
        <v>NA</v>
      </c>
      <c r="F88" s="254" t="str">
        <f t="shared" ref="F88:P88" ca="1" si="16">IF(ISERROR(-F55/F70),"NA",-F55/F70)</f>
        <v>NA</v>
      </c>
      <c r="G88" s="254" t="str">
        <f t="shared" ca="1" si="16"/>
        <v>NA</v>
      </c>
      <c r="H88" s="254">
        <f t="shared" ca="1" si="16"/>
        <v>17.135820985476673</v>
      </c>
      <c r="I88" s="254">
        <f t="shared" ca="1" si="16"/>
        <v>1.4651741993553806</v>
      </c>
      <c r="J88" s="254">
        <f t="shared" ca="1" si="16"/>
        <v>1.5091294253360423</v>
      </c>
      <c r="K88" s="254">
        <f t="shared" ca="1" si="16"/>
        <v>1.5544033080961226</v>
      </c>
      <c r="L88" s="254">
        <f t="shared" ca="1" si="16"/>
        <v>1.6010354073390065</v>
      </c>
      <c r="M88" s="254" t="str">
        <f t="shared" ca="1" si="16"/>
        <v>NA</v>
      </c>
      <c r="N88" s="254" t="str">
        <f t="shared" ca="1" si="16"/>
        <v>NA</v>
      </c>
      <c r="O88" s="254" t="str">
        <f t="shared" ca="1" si="16"/>
        <v>NA</v>
      </c>
      <c r="P88" s="254" t="str">
        <f t="shared" si="16"/>
        <v>NA</v>
      </c>
    </row>
    <row r="89" spans="2:16" ht="12.75" customHeight="1">
      <c r="C89" s="405"/>
      <c r="D89" s="405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</row>
    <row r="90" spans="2:16" ht="12.75" customHeight="1">
      <c r="C90" s="406"/>
      <c r="D90" s="406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</row>
    <row r="91" spans="2:16" ht="12.75" customHeight="1">
      <c r="C91" s="406"/>
      <c r="D91" s="406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</row>
    <row r="92" spans="2:16">
      <c r="C92" s="315"/>
      <c r="D92" s="315"/>
    </row>
    <row r="93" spans="2:16">
      <c r="C93" s="315"/>
      <c r="D93" s="315"/>
    </row>
    <row r="94" spans="2:16">
      <c r="C94" s="315"/>
      <c r="D94" s="315"/>
    </row>
    <row r="95" spans="2:16">
      <c r="C95" s="315"/>
      <c r="D95" s="315"/>
    </row>
    <row r="96" spans="2:16">
      <c r="C96" s="315"/>
      <c r="D96" s="315"/>
    </row>
    <row r="97" spans="3:4">
      <c r="C97" s="315"/>
      <c r="D97" s="315"/>
    </row>
    <row r="98" spans="3:4">
      <c r="C98" s="315"/>
      <c r="D98" s="315"/>
    </row>
    <row r="99" spans="3:4">
      <c r="C99" s="315"/>
      <c r="D99" s="315"/>
    </row>
    <row r="100" spans="3:4">
      <c r="C100" s="315"/>
      <c r="D100" s="315"/>
    </row>
    <row r="101" spans="3:4">
      <c r="C101" s="315"/>
      <c r="D101" s="315"/>
    </row>
    <row r="102" spans="3:4">
      <c r="C102" s="315"/>
      <c r="D102" s="315"/>
    </row>
    <row r="103" spans="3:4">
      <c r="C103" s="315"/>
      <c r="D103" s="315"/>
    </row>
    <row r="104" spans="3:4">
      <c r="C104" s="315"/>
      <c r="D104" s="315"/>
    </row>
    <row r="105" spans="3:4">
      <c r="C105" s="315"/>
      <c r="D105" s="315"/>
    </row>
    <row r="106" spans="3:4">
      <c r="C106" s="315"/>
      <c r="D106" s="315"/>
    </row>
    <row r="107" spans="3:4">
      <c r="C107" s="315"/>
      <c r="D107" s="315"/>
    </row>
    <row r="108" spans="3:4">
      <c r="C108" s="315"/>
      <c r="D108" s="315"/>
    </row>
    <row r="109" spans="3:4">
      <c r="C109" s="315"/>
      <c r="D109" s="315"/>
    </row>
    <row r="110" spans="3:4">
      <c r="C110" s="315"/>
      <c r="D110" s="315"/>
    </row>
    <row r="111" spans="3:4">
      <c r="C111" s="315"/>
      <c r="D111" s="315"/>
    </row>
    <row r="112" spans="3:4">
      <c r="C112" s="315"/>
      <c r="D112" s="315"/>
    </row>
    <row r="113" spans="3:4">
      <c r="C113" s="315"/>
      <c r="D113" s="315"/>
    </row>
    <row r="114" spans="3:4">
      <c r="C114" s="315"/>
      <c r="D114" s="315"/>
    </row>
    <row r="115" spans="3:4">
      <c r="C115" s="315"/>
      <c r="D115" s="315"/>
    </row>
    <row r="116" spans="3:4">
      <c r="C116" s="315"/>
      <c r="D116" s="315"/>
    </row>
    <row r="117" spans="3:4">
      <c r="C117" s="315"/>
      <c r="D117" s="315"/>
    </row>
    <row r="118" spans="3:4">
      <c r="C118" s="315"/>
      <c r="D118" s="315"/>
    </row>
  </sheetData>
  <customSheetViews>
    <customSheetView guid="{AC6D0829-7D33-475A-BFC8-17DE97049707}" scale="90" showGridLines="0" fitToPage="1">
      <pageMargins left="0.25" right="0.25" top="0.5" bottom="0.49" header="0.5" footer="0.32"/>
      <printOptions horizontalCentered="1"/>
      <pageSetup scale="59" fitToHeight="2" orientation="landscape" r:id="rId1"/>
      <headerFooter alignWithMargins="0"/>
    </customSheetView>
  </customSheetViews>
  <mergeCells count="2">
    <mergeCell ref="B3:P3"/>
    <mergeCell ref="B4:P4"/>
  </mergeCells>
  <printOptions horizontalCentered="1"/>
  <pageMargins left="0.25" right="0.25" top="0.5" bottom="0.49" header="0.5" footer="0.32"/>
  <pageSetup scale="55" fitToHeight="2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AK390"/>
  <sheetViews>
    <sheetView zoomScaleNormal="100" workbookViewId="0"/>
  </sheetViews>
  <sheetFormatPr defaultColWidth="14.33203125" defaultRowHeight="18.75"/>
  <cols>
    <col min="1" max="1" width="14.33203125" style="522"/>
    <col min="2" max="2" width="25.6640625" style="522" customWidth="1"/>
    <col min="3" max="3" width="19.83203125" style="522" customWidth="1"/>
    <col min="4" max="4" width="19.6640625" style="522" customWidth="1"/>
    <col min="5" max="6" width="13.33203125" style="522" customWidth="1"/>
    <col min="7" max="7" width="20.1640625" style="522" customWidth="1"/>
    <col min="8" max="8" width="20" style="522" customWidth="1"/>
    <col min="9" max="37" width="14.33203125" style="522"/>
    <col min="38" max="16384" width="14.33203125" style="523"/>
  </cols>
  <sheetData>
    <row r="2" spans="2:8" ht="23.25">
      <c r="B2" s="578" t="s">
        <v>243</v>
      </c>
    </row>
    <row r="4" spans="2:8">
      <c r="B4" s="987" t="s">
        <v>227</v>
      </c>
      <c r="C4" s="988"/>
      <c r="E4" s="989" t="s">
        <v>228</v>
      </c>
      <c r="F4" s="989"/>
      <c r="G4" s="989"/>
      <c r="H4" s="989"/>
    </row>
    <row r="5" spans="2:8">
      <c r="B5" s="525" t="s">
        <v>229</v>
      </c>
      <c r="C5" s="526">
        <f>Assumptions!M40</f>
        <v>2019359.9999999998</v>
      </c>
      <c r="D5" s="527"/>
      <c r="E5" s="524" t="s">
        <v>51</v>
      </c>
      <c r="F5" s="524" t="s">
        <v>230</v>
      </c>
      <c r="G5" s="524" t="s">
        <v>231</v>
      </c>
      <c r="H5" s="524" t="s">
        <v>245</v>
      </c>
    </row>
    <row r="6" spans="2:8">
      <c r="B6" s="528" t="s">
        <v>232</v>
      </c>
      <c r="C6" s="529">
        <f>Assumptions!M41</f>
        <v>5.45E-2</v>
      </c>
      <c r="D6" s="530"/>
      <c r="E6" s="531">
        <v>1</v>
      </c>
      <c r="F6" s="532">
        <f>SUM(E29:E40)</f>
        <v>109376.09610957227</v>
      </c>
      <c r="G6" s="532">
        <f>SUM(F29:F40)</f>
        <v>27453.130069604176</v>
      </c>
      <c r="H6" s="533">
        <f t="shared" ref="H6:H25" si="0">VLOOKUP(E6*12,B$29:G$388,6,FALSE)</f>
        <v>1991906.8699303956</v>
      </c>
    </row>
    <row r="7" spans="2:8">
      <c r="B7" s="528" t="s">
        <v>233</v>
      </c>
      <c r="C7" s="579">
        <v>30</v>
      </c>
      <c r="D7" s="535"/>
      <c r="E7" s="536">
        <v>2</v>
      </c>
      <c r="F7" s="537">
        <f>SUM(E41:E52)</f>
        <v>107841.95518125026</v>
      </c>
      <c r="G7" s="537">
        <f>SUM(F41:F52)</f>
        <v>28987.270997926193</v>
      </c>
      <c r="H7" s="538">
        <f t="shared" si="0"/>
        <v>1962919.5989324695</v>
      </c>
    </row>
    <row r="8" spans="2:8">
      <c r="B8" s="528" t="s">
        <v>234</v>
      </c>
      <c r="C8" s="534">
        <f>Assumptions!P41</f>
        <v>30</v>
      </c>
      <c r="D8" s="539"/>
      <c r="E8" s="540">
        <v>3</v>
      </c>
      <c r="F8" s="541">
        <f>SUM(E53:E64)</f>
        <v>106222.08310380296</v>
      </c>
      <c r="G8" s="541">
        <f>SUM(F53:F64)</f>
        <v>30607.143075373478</v>
      </c>
      <c r="H8" s="542">
        <f t="shared" si="0"/>
        <v>1932312.455857096</v>
      </c>
    </row>
    <row r="9" spans="2:8">
      <c r="B9" s="543" t="s">
        <v>235</v>
      </c>
      <c r="C9" s="579">
        <v>0</v>
      </c>
      <c r="D9" s="539"/>
      <c r="E9" s="536">
        <v>4</v>
      </c>
      <c r="F9" s="537">
        <f>SUM(E65:E76)</f>
        <v>104511.68903318558</v>
      </c>
      <c r="G9" s="537">
        <f>SUM(F65:F76)</f>
        <v>32317.537145990842</v>
      </c>
      <c r="H9" s="538">
        <f t="shared" si="0"/>
        <v>1899994.9187111054</v>
      </c>
    </row>
    <row r="10" spans="2:8">
      <c r="B10" s="544" t="s">
        <v>244</v>
      </c>
      <c r="C10" s="582">
        <f>Assumptions!P40</f>
        <v>0.7</v>
      </c>
      <c r="D10" s="539"/>
      <c r="E10" s="540">
        <v>5</v>
      </c>
      <c r="F10" s="541">
        <f>SUM(E77:E88)</f>
        <v>102705.71440251404</v>
      </c>
      <c r="G10" s="541">
        <f>SUM(F77:F88)</f>
        <v>34123.511776662403</v>
      </c>
      <c r="H10" s="542">
        <f t="shared" si="0"/>
        <v>1865871.4069344429</v>
      </c>
    </row>
    <row r="11" spans="2:8">
      <c r="D11" s="539"/>
      <c r="E11" s="536">
        <v>6</v>
      </c>
      <c r="F11" s="537">
        <f>SUM(E89:E100)</f>
        <v>100798.81796112726</v>
      </c>
      <c r="G11" s="537">
        <f>SUM(F89:F100)</f>
        <v>36030.408218049168</v>
      </c>
      <c r="H11" s="538">
        <f t="shared" si="0"/>
        <v>1829840.9987163937</v>
      </c>
    </row>
    <row r="12" spans="2:8">
      <c r="B12" s="545"/>
      <c r="C12" s="580"/>
      <c r="D12" s="539"/>
      <c r="E12" s="540">
        <v>7</v>
      </c>
      <c r="F12" s="541">
        <f>SUM(E101:E112)</f>
        <v>98785.359977599932</v>
      </c>
      <c r="G12" s="541">
        <f>SUM(F101:F112)</f>
        <v>38043.866201576515</v>
      </c>
      <c r="H12" s="542">
        <f t="shared" si="0"/>
        <v>1791797.1325148174</v>
      </c>
    </row>
    <row r="13" spans="2:8">
      <c r="B13" s="545"/>
      <c r="C13" s="581"/>
      <c r="D13" s="539"/>
      <c r="E13" s="536">
        <v>8</v>
      </c>
      <c r="F13" s="537">
        <f>SUM(E113:E124)</f>
        <v>96659.385559984599</v>
      </c>
      <c r="G13" s="537">
        <f>SUM(F113:F124)</f>
        <v>40169.840619191869</v>
      </c>
      <c r="H13" s="538">
        <f t="shared" si="0"/>
        <v>1751627.2918956256</v>
      </c>
    </row>
    <row r="14" spans="2:8">
      <c r="D14" s="539"/>
      <c r="E14" s="540">
        <v>9</v>
      </c>
      <c r="F14" s="541">
        <f>SUM(E125:E136)</f>
        <v>94414.607043952754</v>
      </c>
      <c r="G14" s="541">
        <f>SUM(F125:F136)</f>
        <v>42414.619135223678</v>
      </c>
      <c r="H14" s="542">
        <f t="shared" si="0"/>
        <v>1709212.6727604019</v>
      </c>
    </row>
    <row r="15" spans="2:8">
      <c r="B15" s="545"/>
      <c r="C15" s="539"/>
      <c r="D15" s="539"/>
      <c r="E15" s="536">
        <v>10</v>
      </c>
      <c r="F15" s="537">
        <f>SUM(E137:E148)</f>
        <v>92044.385396746788</v>
      </c>
      <c r="G15" s="537">
        <f>SUM(F137:F148)</f>
        <v>44784.840782429637</v>
      </c>
      <c r="H15" s="538">
        <f t="shared" si="0"/>
        <v>1664427.8319779718</v>
      </c>
    </row>
    <row r="16" spans="2:8">
      <c r="B16" s="545"/>
      <c r="C16" s="539"/>
      <c r="D16" s="539"/>
      <c r="E16" s="540">
        <v>11</v>
      </c>
      <c r="F16" s="541">
        <f>SUM(E149:E160)</f>
        <v>89541.710581943757</v>
      </c>
      <c r="G16" s="541">
        <f>SUM(F149:F160)</f>
        <v>47287.515597232676</v>
      </c>
      <c r="H16" s="542">
        <f t="shared" si="0"/>
        <v>1617140.316380739</v>
      </c>
    </row>
    <row r="17" spans="2:8">
      <c r="B17" s="545"/>
      <c r="C17" s="539"/>
      <c r="D17" s="539"/>
      <c r="E17" s="536">
        <v>12</v>
      </c>
      <c r="F17" s="537">
        <f>SUM(E161:E172)</f>
        <v>86899.180826959564</v>
      </c>
      <c r="G17" s="537">
        <f>SUM(F161:F172)</f>
        <v>49930.045352216875</v>
      </c>
      <c r="H17" s="538">
        <f t="shared" si="0"/>
        <v>1567210.2710285222</v>
      </c>
    </row>
    <row r="18" spans="2:8">
      <c r="B18" s="545"/>
      <c r="C18" s="539"/>
      <c r="D18" s="539"/>
      <c r="E18" s="540">
        <v>13</v>
      </c>
      <c r="F18" s="541">
        <f>SUM(E173:E184)</f>
        <v>84108.980731975826</v>
      </c>
      <c r="G18" s="541">
        <f>SUM(F173:F184)</f>
        <v>52720.245447200621</v>
      </c>
      <c r="H18" s="542">
        <f t="shared" si="0"/>
        <v>1514490.0255813214</v>
      </c>
    </row>
    <row r="19" spans="2:8">
      <c r="B19" s="545"/>
      <c r="C19" s="539"/>
      <c r="D19" s="539"/>
      <c r="E19" s="536">
        <v>14</v>
      </c>
      <c r="F19" s="537">
        <f>SUM(E185:E196)</f>
        <v>81162.85815554572</v>
      </c>
      <c r="G19" s="537">
        <f>SUM(F185:F196)</f>
        <v>55666.368023630712</v>
      </c>
      <c r="H19" s="538">
        <f t="shared" si="0"/>
        <v>1458823.6575576912</v>
      </c>
    </row>
    <row r="20" spans="2:8">
      <c r="B20" s="545"/>
      <c r="C20" s="539"/>
      <c r="D20" s="539"/>
      <c r="E20" s="540">
        <v>15</v>
      </c>
      <c r="F20" s="541">
        <f>SUM(E197:E208)</f>
        <v>78052.099808516941</v>
      </c>
      <c r="G20" s="541">
        <f>SUM(F197:F208)</f>
        <v>58777.126370659491</v>
      </c>
      <c r="H20" s="542">
        <f t="shared" si="0"/>
        <v>1400046.5311870319</v>
      </c>
    </row>
    <row r="21" spans="2:8">
      <c r="B21" s="545"/>
      <c r="C21" s="539"/>
      <c r="D21" s="539"/>
      <c r="E21" s="536">
        <v>16</v>
      </c>
      <c r="F21" s="537">
        <f>SUM(E209:E220)</f>
        <v>74767.505484089736</v>
      </c>
      <c r="G21" s="537">
        <f>SUM(F209:F220)</f>
        <v>62061.720695086704</v>
      </c>
      <c r="H21" s="538">
        <f t="shared" si="0"/>
        <v>1337984.8104919451</v>
      </c>
    </row>
    <row r="22" spans="2:8">
      <c r="B22" s="545"/>
      <c r="C22" s="539"/>
      <c r="D22" s="539"/>
      <c r="E22" s="540">
        <v>17</v>
      </c>
      <c r="F22" s="541">
        <f>SUM(E221:E232)</f>
        <v>71299.360847794174</v>
      </c>
      <c r="G22" s="541">
        <f>SUM(F221:F232)</f>
        <v>65529.865331382258</v>
      </c>
      <c r="H22" s="542">
        <f t="shared" si="0"/>
        <v>1272454.9451605631</v>
      </c>
    </row>
    <row r="23" spans="2:8">
      <c r="B23" s="545"/>
      <c r="C23" s="539"/>
      <c r="D23" s="539"/>
      <c r="E23" s="536">
        <v>18</v>
      </c>
      <c r="F23" s="537">
        <f>SUM(E233:E244)</f>
        <v>67637.408706912014</v>
      </c>
      <c r="G23" s="537">
        <f>SUM(F233:F244)</f>
        <v>69191.817472264433</v>
      </c>
      <c r="H23" s="538">
        <f t="shared" si="0"/>
        <v>1203263.1276882989</v>
      </c>
    </row>
    <row r="24" spans="2:8">
      <c r="B24" s="545"/>
      <c r="C24" s="539"/>
      <c r="D24" s="539"/>
      <c r="E24" s="540">
        <v>19</v>
      </c>
      <c r="F24" s="541">
        <f>SUM(E245:E256)</f>
        <v>63770.818674370857</v>
      </c>
      <c r="G24" s="541">
        <f>SUM(F245:F256)</f>
        <v>73058.407504805567</v>
      </c>
      <c r="H24" s="542">
        <f t="shared" si="0"/>
        <v>1130204.7201834931</v>
      </c>
    </row>
    <row r="25" spans="2:8">
      <c r="B25" s="545"/>
      <c r="C25" s="539"/>
      <c r="D25" s="539"/>
      <c r="E25" s="546">
        <v>20</v>
      </c>
      <c r="F25" s="547">
        <f>SUM(E257:E268)</f>
        <v>59688.155137390553</v>
      </c>
      <c r="G25" s="547">
        <f>SUM(F257:F268)</f>
        <v>77141.071041785879</v>
      </c>
      <c r="H25" s="548">
        <f t="shared" si="0"/>
        <v>1053063.6491417075</v>
      </c>
    </row>
    <row r="26" spans="2:8">
      <c r="B26" s="545"/>
      <c r="C26" s="539"/>
      <c r="D26" s="539"/>
    </row>
    <row r="28" spans="2:8" ht="37.5">
      <c r="B28" s="549" t="s">
        <v>52</v>
      </c>
      <c r="C28" s="550" t="s">
        <v>237</v>
      </c>
      <c r="D28" s="550" t="s">
        <v>238</v>
      </c>
      <c r="E28" s="551" t="s">
        <v>230</v>
      </c>
      <c r="F28" s="551" t="s">
        <v>231</v>
      </c>
      <c r="G28" s="552" t="s">
        <v>239</v>
      </c>
    </row>
    <row r="29" spans="2:8">
      <c r="B29" s="553">
        <v>1</v>
      </c>
      <c r="C29" s="554">
        <f t="shared" ref="C29:C92" si="1">IF(C$9*12&gt;=B29,"I/O",B29-(C$9*12))</f>
        <v>1</v>
      </c>
      <c r="D29" s="555">
        <f>C$5</f>
        <v>2019359.9999999998</v>
      </c>
      <c r="E29" s="555">
        <f t="shared" ref="E29:E92" si="2">IF(C29="I/O",C$5*C$6/12,-IPMT(C$6/12,C29,C$8*12,C$5))</f>
        <v>9171.26</v>
      </c>
      <c r="F29" s="555">
        <f t="shared" ref="F29:F92" si="3">IF(C29&lt;&gt;"I/O",-PPMT(C$6/12,C29,C$8*12,C$5),0)</f>
        <v>2231.175514931369</v>
      </c>
      <c r="G29" s="556">
        <f t="shared" ref="G29:G92" si="4">D29-F29</f>
        <v>2017128.8244850684</v>
      </c>
    </row>
    <row r="30" spans="2:8">
      <c r="B30" s="557">
        <v>2</v>
      </c>
      <c r="C30" s="558">
        <f t="shared" si="1"/>
        <v>2</v>
      </c>
      <c r="D30" s="559">
        <f t="shared" ref="D30:D93" si="5">G29</f>
        <v>2017128.8244850684</v>
      </c>
      <c r="E30" s="559">
        <f t="shared" si="2"/>
        <v>9161.1267445363537</v>
      </c>
      <c r="F30" s="559">
        <f t="shared" si="3"/>
        <v>2241.3087703950155</v>
      </c>
      <c r="G30" s="560">
        <f t="shared" si="4"/>
        <v>2014887.5157146733</v>
      </c>
    </row>
    <row r="31" spans="2:8">
      <c r="B31" s="557">
        <v>3</v>
      </c>
      <c r="C31" s="558">
        <f t="shared" si="1"/>
        <v>3</v>
      </c>
      <c r="D31" s="559">
        <f t="shared" si="5"/>
        <v>2014887.5157146733</v>
      </c>
      <c r="E31" s="559">
        <f t="shared" si="2"/>
        <v>9150.9474672041433</v>
      </c>
      <c r="F31" s="559">
        <f t="shared" si="3"/>
        <v>2251.4880477272263</v>
      </c>
      <c r="G31" s="560">
        <f t="shared" si="4"/>
        <v>2012636.0276669462</v>
      </c>
    </row>
    <row r="32" spans="2:8">
      <c r="B32" s="557">
        <v>4</v>
      </c>
      <c r="C32" s="558">
        <f t="shared" si="1"/>
        <v>4</v>
      </c>
      <c r="D32" s="559">
        <f t="shared" si="5"/>
        <v>2012636.0276669462</v>
      </c>
      <c r="E32" s="559">
        <f t="shared" si="2"/>
        <v>9140.7219589873821</v>
      </c>
      <c r="F32" s="559">
        <f t="shared" si="3"/>
        <v>2261.7135559439871</v>
      </c>
      <c r="G32" s="560">
        <f t="shared" si="4"/>
        <v>2010374.3141110023</v>
      </c>
    </row>
    <row r="33" spans="2:8">
      <c r="B33" s="557">
        <v>5</v>
      </c>
      <c r="C33" s="558">
        <f t="shared" si="1"/>
        <v>5</v>
      </c>
      <c r="D33" s="559">
        <f t="shared" si="5"/>
        <v>2010374.3141110023</v>
      </c>
      <c r="E33" s="559">
        <f t="shared" si="2"/>
        <v>9130.4500099208035</v>
      </c>
      <c r="F33" s="559">
        <f t="shared" si="3"/>
        <v>2271.9855050105662</v>
      </c>
      <c r="G33" s="560">
        <f t="shared" si="4"/>
        <v>2008102.3286059918</v>
      </c>
    </row>
    <row r="34" spans="2:8">
      <c r="B34" s="557">
        <v>6</v>
      </c>
      <c r="C34" s="558">
        <f t="shared" si="1"/>
        <v>6</v>
      </c>
      <c r="D34" s="559">
        <f t="shared" si="5"/>
        <v>2008102.3286059918</v>
      </c>
      <c r="E34" s="559">
        <f t="shared" si="2"/>
        <v>9120.1314090855485</v>
      </c>
      <c r="F34" s="559">
        <f t="shared" si="3"/>
        <v>2282.3041058458221</v>
      </c>
      <c r="G34" s="560">
        <f t="shared" si="4"/>
        <v>2005820.024500146</v>
      </c>
    </row>
    <row r="35" spans="2:8">
      <c r="B35" s="557">
        <v>7</v>
      </c>
      <c r="C35" s="558">
        <f t="shared" si="1"/>
        <v>7</v>
      </c>
      <c r="D35" s="559">
        <f t="shared" si="5"/>
        <v>2005820.024500146</v>
      </c>
      <c r="E35" s="559">
        <f t="shared" si="2"/>
        <v>9109.765944604831</v>
      </c>
      <c r="F35" s="559">
        <f t="shared" si="3"/>
        <v>2292.6695703265391</v>
      </c>
      <c r="G35" s="560">
        <f t="shared" si="4"/>
        <v>2003527.3549298195</v>
      </c>
    </row>
    <row r="36" spans="2:8">
      <c r="B36" s="557">
        <v>8</v>
      </c>
      <c r="C36" s="558">
        <f t="shared" si="1"/>
        <v>8</v>
      </c>
      <c r="D36" s="559">
        <f t="shared" si="5"/>
        <v>2003527.3549298195</v>
      </c>
      <c r="E36" s="559">
        <f t="shared" si="2"/>
        <v>9099.3534036395977</v>
      </c>
      <c r="F36" s="559">
        <f t="shared" si="3"/>
        <v>2303.082111291772</v>
      </c>
      <c r="G36" s="560">
        <f t="shared" si="4"/>
        <v>2001224.2728185277</v>
      </c>
    </row>
    <row r="37" spans="2:8">
      <c r="B37" s="557">
        <v>9</v>
      </c>
      <c r="C37" s="558">
        <f t="shared" si="1"/>
        <v>9</v>
      </c>
      <c r="D37" s="559">
        <f t="shared" si="5"/>
        <v>2001224.2728185277</v>
      </c>
      <c r="E37" s="559">
        <f t="shared" si="2"/>
        <v>9088.8935723841478</v>
      </c>
      <c r="F37" s="559">
        <f t="shared" si="3"/>
        <v>2313.5419425472223</v>
      </c>
      <c r="G37" s="560">
        <f t="shared" si="4"/>
        <v>1998910.7308759803</v>
      </c>
    </row>
    <row r="38" spans="2:8">
      <c r="B38" s="557">
        <v>10</v>
      </c>
      <c r="C38" s="558">
        <f t="shared" si="1"/>
        <v>10</v>
      </c>
      <c r="D38" s="559">
        <f t="shared" si="5"/>
        <v>1998910.7308759803</v>
      </c>
      <c r="E38" s="559">
        <f t="shared" si="2"/>
        <v>9078.3862360617459</v>
      </c>
      <c r="F38" s="559">
        <f t="shared" si="3"/>
        <v>2324.0492788696238</v>
      </c>
      <c r="G38" s="560">
        <f t="shared" si="4"/>
        <v>1996586.6815971108</v>
      </c>
    </row>
    <row r="39" spans="2:8">
      <c r="B39" s="557">
        <v>11</v>
      </c>
      <c r="C39" s="558">
        <f t="shared" si="1"/>
        <v>11</v>
      </c>
      <c r="D39" s="559">
        <f t="shared" si="5"/>
        <v>1996586.6815971108</v>
      </c>
      <c r="E39" s="559">
        <f t="shared" si="2"/>
        <v>9067.8311789202126</v>
      </c>
      <c r="F39" s="559">
        <f t="shared" si="3"/>
        <v>2334.6043360111571</v>
      </c>
      <c r="G39" s="560">
        <f t="shared" si="4"/>
        <v>1994252.0772610996</v>
      </c>
      <c r="H39" s="561"/>
    </row>
    <row r="40" spans="2:8">
      <c r="B40" s="562">
        <v>12</v>
      </c>
      <c r="C40" s="563">
        <f t="shared" si="1"/>
        <v>12</v>
      </c>
      <c r="D40" s="564">
        <f t="shared" si="5"/>
        <v>1994252.0772610996</v>
      </c>
      <c r="E40" s="564">
        <f t="shared" si="2"/>
        <v>9057.2281842274951</v>
      </c>
      <c r="F40" s="564">
        <f t="shared" si="3"/>
        <v>2345.2073307038745</v>
      </c>
      <c r="G40" s="565">
        <f t="shared" si="4"/>
        <v>1991906.8699303956</v>
      </c>
      <c r="H40" s="561"/>
    </row>
    <row r="41" spans="2:8">
      <c r="B41" s="566">
        <v>13</v>
      </c>
      <c r="C41" s="567">
        <f t="shared" si="1"/>
        <v>13</v>
      </c>
      <c r="D41" s="568">
        <f t="shared" si="5"/>
        <v>1991906.8699303956</v>
      </c>
      <c r="E41" s="568">
        <f t="shared" si="2"/>
        <v>9046.5770342672167</v>
      </c>
      <c r="F41" s="568">
        <f t="shared" si="3"/>
        <v>2355.8584806641547</v>
      </c>
      <c r="G41" s="569">
        <f t="shared" si="4"/>
        <v>1989551.0114497314</v>
      </c>
    </row>
    <row r="42" spans="2:8">
      <c r="B42" s="566">
        <v>14</v>
      </c>
      <c r="C42" s="567">
        <f t="shared" si="1"/>
        <v>14</v>
      </c>
      <c r="D42" s="568">
        <f t="shared" si="5"/>
        <v>1989551.0114497314</v>
      </c>
      <c r="E42" s="568">
        <f t="shared" si="2"/>
        <v>9035.8775103341977</v>
      </c>
      <c r="F42" s="568">
        <f t="shared" si="3"/>
        <v>2366.558004597171</v>
      </c>
      <c r="G42" s="569">
        <f t="shared" si="4"/>
        <v>1987184.4534451342</v>
      </c>
    </row>
    <row r="43" spans="2:8">
      <c r="B43" s="566">
        <v>15</v>
      </c>
      <c r="C43" s="567">
        <f t="shared" si="1"/>
        <v>15</v>
      </c>
      <c r="D43" s="568">
        <f t="shared" si="5"/>
        <v>1987184.4534451342</v>
      </c>
      <c r="E43" s="568">
        <f t="shared" si="2"/>
        <v>9025.1293927299885</v>
      </c>
      <c r="F43" s="568">
        <f t="shared" si="3"/>
        <v>2377.3061222013825</v>
      </c>
      <c r="G43" s="569">
        <f t="shared" si="4"/>
        <v>1984807.1473229327</v>
      </c>
    </row>
    <row r="44" spans="2:8">
      <c r="B44" s="566">
        <v>16</v>
      </c>
      <c r="C44" s="567">
        <f t="shared" si="1"/>
        <v>16</v>
      </c>
      <c r="D44" s="568">
        <f t="shared" si="5"/>
        <v>1984807.1473229327</v>
      </c>
      <c r="E44" s="568">
        <f t="shared" si="2"/>
        <v>9014.3324607583218</v>
      </c>
      <c r="F44" s="568">
        <f t="shared" si="3"/>
        <v>2388.103054173047</v>
      </c>
      <c r="G44" s="569">
        <f t="shared" si="4"/>
        <v>1982419.0442687597</v>
      </c>
    </row>
    <row r="45" spans="2:8">
      <c r="B45" s="566">
        <v>17</v>
      </c>
      <c r="C45" s="567">
        <f t="shared" si="1"/>
        <v>17</v>
      </c>
      <c r="D45" s="568">
        <f t="shared" si="5"/>
        <v>1982419.0442687597</v>
      </c>
      <c r="E45" s="568">
        <f t="shared" si="2"/>
        <v>9003.4864927206199</v>
      </c>
      <c r="F45" s="568">
        <f t="shared" si="3"/>
        <v>2398.9490222107502</v>
      </c>
      <c r="G45" s="569">
        <f t="shared" si="4"/>
        <v>1980020.095246549</v>
      </c>
    </row>
    <row r="46" spans="2:8">
      <c r="B46" s="566">
        <v>18</v>
      </c>
      <c r="C46" s="567">
        <f t="shared" si="1"/>
        <v>18</v>
      </c>
      <c r="D46" s="568">
        <f t="shared" si="5"/>
        <v>1980020.095246549</v>
      </c>
      <c r="E46" s="568">
        <f t="shared" si="2"/>
        <v>8992.5912659114128</v>
      </c>
      <c r="F46" s="568">
        <f t="shared" si="3"/>
        <v>2409.8442490199568</v>
      </c>
      <c r="G46" s="569">
        <f t="shared" si="4"/>
        <v>1977610.2509975291</v>
      </c>
    </row>
    <row r="47" spans="2:8">
      <c r="B47" s="566">
        <v>19</v>
      </c>
      <c r="C47" s="567">
        <f t="shared" si="1"/>
        <v>19</v>
      </c>
      <c r="D47" s="568">
        <f t="shared" si="5"/>
        <v>1977610.2509975291</v>
      </c>
      <c r="E47" s="568">
        <f t="shared" si="2"/>
        <v>8981.6465566137813</v>
      </c>
      <c r="F47" s="568">
        <f t="shared" si="3"/>
        <v>2420.7889583175893</v>
      </c>
      <c r="G47" s="569">
        <f t="shared" si="4"/>
        <v>1975189.4620392115</v>
      </c>
    </row>
    <row r="48" spans="2:8">
      <c r="B48" s="566">
        <v>20</v>
      </c>
      <c r="C48" s="567">
        <f t="shared" si="1"/>
        <v>20</v>
      </c>
      <c r="D48" s="568">
        <f t="shared" si="5"/>
        <v>1975189.4620392115</v>
      </c>
      <c r="E48" s="568">
        <f t="shared" si="2"/>
        <v>8970.6521400947531</v>
      </c>
      <c r="F48" s="568">
        <f t="shared" si="3"/>
        <v>2431.7833748366152</v>
      </c>
      <c r="G48" s="569">
        <f t="shared" si="4"/>
        <v>1972757.6786643749</v>
      </c>
    </row>
    <row r="49" spans="2:8">
      <c r="B49" s="566">
        <v>21</v>
      </c>
      <c r="C49" s="567">
        <f t="shared" si="1"/>
        <v>21</v>
      </c>
      <c r="D49" s="568">
        <f t="shared" si="5"/>
        <v>1972757.6786643749</v>
      </c>
      <c r="E49" s="568">
        <f t="shared" si="2"/>
        <v>8959.6077906007049</v>
      </c>
      <c r="F49" s="568">
        <f t="shared" si="3"/>
        <v>2442.8277243306652</v>
      </c>
      <c r="G49" s="569">
        <f t="shared" si="4"/>
        <v>1970314.8509400443</v>
      </c>
    </row>
    <row r="50" spans="2:8">
      <c r="B50" s="566">
        <v>22</v>
      </c>
      <c r="C50" s="567">
        <f t="shared" si="1"/>
        <v>22</v>
      </c>
      <c r="D50" s="568">
        <f t="shared" si="5"/>
        <v>1970314.8509400443</v>
      </c>
      <c r="E50" s="568">
        <f t="shared" si="2"/>
        <v>8948.5132813527034</v>
      </c>
      <c r="F50" s="568">
        <f t="shared" si="3"/>
        <v>2453.9222335786671</v>
      </c>
      <c r="G50" s="569">
        <f t="shared" si="4"/>
        <v>1967860.9287064655</v>
      </c>
    </row>
    <row r="51" spans="2:8">
      <c r="B51" s="566">
        <v>23</v>
      </c>
      <c r="C51" s="567">
        <f t="shared" si="1"/>
        <v>23</v>
      </c>
      <c r="D51" s="568">
        <f t="shared" si="5"/>
        <v>1967860.9287064655</v>
      </c>
      <c r="E51" s="568">
        <f t="shared" si="2"/>
        <v>8937.3683845418673</v>
      </c>
      <c r="F51" s="568">
        <f t="shared" si="3"/>
        <v>2465.0671303895033</v>
      </c>
      <c r="G51" s="569">
        <f t="shared" si="4"/>
        <v>1965395.8615760761</v>
      </c>
    </row>
    <row r="52" spans="2:8">
      <c r="B52" s="570">
        <v>24</v>
      </c>
      <c r="C52" s="571">
        <f t="shared" si="1"/>
        <v>24</v>
      </c>
      <c r="D52" s="572">
        <f t="shared" si="5"/>
        <v>1965395.8615760761</v>
      </c>
      <c r="E52" s="572">
        <f t="shared" si="2"/>
        <v>8926.1728713246812</v>
      </c>
      <c r="F52" s="572">
        <f t="shared" si="3"/>
        <v>2476.2626436066889</v>
      </c>
      <c r="G52" s="573">
        <f t="shared" si="4"/>
        <v>1962919.5989324695</v>
      </c>
      <c r="H52" s="561"/>
    </row>
    <row r="53" spans="2:8">
      <c r="B53" s="553">
        <v>25</v>
      </c>
      <c r="C53" s="554">
        <f t="shared" si="1"/>
        <v>25</v>
      </c>
      <c r="D53" s="555">
        <f t="shared" si="5"/>
        <v>1962919.5989324695</v>
      </c>
      <c r="E53" s="555">
        <f t="shared" si="2"/>
        <v>8914.9265118183012</v>
      </c>
      <c r="F53" s="555">
        <f t="shared" si="3"/>
        <v>2487.5090031130694</v>
      </c>
      <c r="G53" s="556">
        <f t="shared" si="4"/>
        <v>1960432.0899293565</v>
      </c>
    </row>
    <row r="54" spans="2:8">
      <c r="B54" s="557">
        <v>26</v>
      </c>
      <c r="C54" s="558">
        <f t="shared" si="1"/>
        <v>26</v>
      </c>
      <c r="D54" s="559">
        <f t="shared" si="5"/>
        <v>1960432.0899293565</v>
      </c>
      <c r="E54" s="559">
        <f t="shared" si="2"/>
        <v>8903.6290750958287</v>
      </c>
      <c r="F54" s="559">
        <f t="shared" si="3"/>
        <v>2498.8064398355409</v>
      </c>
      <c r="G54" s="560">
        <f t="shared" si="4"/>
        <v>1957933.2834895209</v>
      </c>
    </row>
    <row r="55" spans="2:8">
      <c r="B55" s="557">
        <v>27</v>
      </c>
      <c r="C55" s="558">
        <f t="shared" si="1"/>
        <v>27</v>
      </c>
      <c r="D55" s="559">
        <f t="shared" si="5"/>
        <v>1957933.2834895209</v>
      </c>
      <c r="E55" s="559">
        <f t="shared" si="2"/>
        <v>8892.2803291815762</v>
      </c>
      <c r="F55" s="559">
        <f t="shared" si="3"/>
        <v>2510.1551857497939</v>
      </c>
      <c r="G55" s="560">
        <f t="shared" si="4"/>
        <v>1955423.1283037711</v>
      </c>
    </row>
    <row r="56" spans="2:8">
      <c r="B56" s="557">
        <v>28</v>
      </c>
      <c r="C56" s="558">
        <f t="shared" si="1"/>
        <v>28</v>
      </c>
      <c r="D56" s="559">
        <f t="shared" si="5"/>
        <v>1955423.1283037711</v>
      </c>
      <c r="E56" s="559">
        <f t="shared" si="2"/>
        <v>8880.8800410462954</v>
      </c>
      <c r="F56" s="559">
        <f t="shared" si="3"/>
        <v>2521.5554738850742</v>
      </c>
      <c r="G56" s="560">
        <f t="shared" si="4"/>
        <v>1952901.5728298861</v>
      </c>
    </row>
    <row r="57" spans="2:8">
      <c r="B57" s="557">
        <v>29</v>
      </c>
      <c r="C57" s="558">
        <f t="shared" si="1"/>
        <v>29</v>
      </c>
      <c r="D57" s="559">
        <f t="shared" si="5"/>
        <v>1952901.5728298861</v>
      </c>
      <c r="E57" s="559">
        <f t="shared" si="2"/>
        <v>8869.427976602401</v>
      </c>
      <c r="F57" s="559">
        <f t="shared" si="3"/>
        <v>2533.0075383289686</v>
      </c>
      <c r="G57" s="560">
        <f t="shared" si="4"/>
        <v>1950368.5652915572</v>
      </c>
    </row>
    <row r="58" spans="2:8">
      <c r="B58" s="557">
        <v>30</v>
      </c>
      <c r="C58" s="558">
        <f t="shared" si="1"/>
        <v>30</v>
      </c>
      <c r="D58" s="559">
        <f t="shared" si="5"/>
        <v>1950368.5652915572</v>
      </c>
      <c r="E58" s="559">
        <f t="shared" si="2"/>
        <v>8857.9239006991556</v>
      </c>
      <c r="F58" s="559">
        <f t="shared" si="3"/>
        <v>2544.5116142322136</v>
      </c>
      <c r="G58" s="560">
        <f t="shared" si="4"/>
        <v>1947824.0536773249</v>
      </c>
    </row>
    <row r="59" spans="2:8">
      <c r="B59" s="557">
        <v>31</v>
      </c>
      <c r="C59" s="558">
        <f t="shared" si="1"/>
        <v>31</v>
      </c>
      <c r="D59" s="559">
        <f t="shared" si="5"/>
        <v>1947824.0536773249</v>
      </c>
      <c r="E59" s="559">
        <f t="shared" si="2"/>
        <v>8846.3675771178514</v>
      </c>
      <c r="F59" s="559">
        <f t="shared" si="3"/>
        <v>2556.0679378135178</v>
      </c>
      <c r="G59" s="560">
        <f t="shared" si="4"/>
        <v>1945267.9857395114</v>
      </c>
    </row>
    <row r="60" spans="2:8">
      <c r="B60" s="557">
        <v>32</v>
      </c>
      <c r="C60" s="558">
        <f t="shared" si="1"/>
        <v>32</v>
      </c>
      <c r="D60" s="559">
        <f t="shared" si="5"/>
        <v>1945267.9857395114</v>
      </c>
      <c r="E60" s="559">
        <f t="shared" si="2"/>
        <v>8834.7587685669478</v>
      </c>
      <c r="F60" s="559">
        <f t="shared" si="3"/>
        <v>2567.676746364421</v>
      </c>
      <c r="G60" s="560">
        <f t="shared" si="4"/>
        <v>1942700.308993147</v>
      </c>
    </row>
    <row r="61" spans="2:8">
      <c r="B61" s="557">
        <v>33</v>
      </c>
      <c r="C61" s="558">
        <f t="shared" si="1"/>
        <v>33</v>
      </c>
      <c r="D61" s="559">
        <f t="shared" si="5"/>
        <v>1942700.308993147</v>
      </c>
      <c r="E61" s="559">
        <f t="shared" si="2"/>
        <v>8823.0972366772094</v>
      </c>
      <c r="F61" s="559">
        <f t="shared" si="3"/>
        <v>2579.3382782541594</v>
      </c>
      <c r="G61" s="560">
        <f t="shared" si="4"/>
        <v>1940120.9707148927</v>
      </c>
    </row>
    <row r="62" spans="2:8">
      <c r="B62" s="557">
        <v>34</v>
      </c>
      <c r="C62" s="558">
        <f t="shared" si="1"/>
        <v>34</v>
      </c>
      <c r="D62" s="559">
        <f t="shared" si="5"/>
        <v>1940120.9707148927</v>
      </c>
      <c r="E62" s="559">
        <f t="shared" si="2"/>
        <v>8811.3827419968075</v>
      </c>
      <c r="F62" s="559">
        <f t="shared" si="3"/>
        <v>2591.0527729345636</v>
      </c>
      <c r="G62" s="560">
        <f t="shared" si="4"/>
        <v>1937529.9179419582</v>
      </c>
    </row>
    <row r="63" spans="2:8">
      <c r="B63" s="557">
        <v>35</v>
      </c>
      <c r="C63" s="558">
        <f t="shared" si="1"/>
        <v>35</v>
      </c>
      <c r="D63" s="559">
        <f t="shared" si="5"/>
        <v>1937529.9179419582</v>
      </c>
      <c r="E63" s="559">
        <f t="shared" si="2"/>
        <v>8799.6150439863941</v>
      </c>
      <c r="F63" s="559">
        <f t="shared" si="3"/>
        <v>2602.8204709449751</v>
      </c>
      <c r="G63" s="560">
        <f t="shared" si="4"/>
        <v>1934927.0974710132</v>
      </c>
    </row>
    <row r="64" spans="2:8">
      <c r="B64" s="562">
        <v>36</v>
      </c>
      <c r="C64" s="563">
        <f t="shared" si="1"/>
        <v>36</v>
      </c>
      <c r="D64" s="564">
        <f t="shared" si="5"/>
        <v>1934927.0974710132</v>
      </c>
      <c r="E64" s="564">
        <f t="shared" si="2"/>
        <v>8787.7939010141872</v>
      </c>
      <c r="F64" s="564">
        <f t="shared" si="3"/>
        <v>2614.6416139171829</v>
      </c>
      <c r="G64" s="565">
        <f t="shared" si="4"/>
        <v>1932312.455857096</v>
      </c>
      <c r="H64" s="561"/>
    </row>
    <row r="65" spans="2:8">
      <c r="B65" s="574">
        <v>37</v>
      </c>
      <c r="C65" s="575">
        <f t="shared" si="1"/>
        <v>37</v>
      </c>
      <c r="D65" s="576">
        <f t="shared" si="5"/>
        <v>1932312.455857096</v>
      </c>
      <c r="E65" s="576">
        <f t="shared" si="2"/>
        <v>8775.9190703509794</v>
      </c>
      <c r="F65" s="576">
        <f t="shared" si="3"/>
        <v>2626.5164445803903</v>
      </c>
      <c r="G65" s="577">
        <f t="shared" si="4"/>
        <v>1929685.9394125156</v>
      </c>
    </row>
    <row r="66" spans="2:8">
      <c r="B66" s="566">
        <v>38</v>
      </c>
      <c r="C66" s="567">
        <f t="shared" si="1"/>
        <v>38</v>
      </c>
      <c r="D66" s="568">
        <f t="shared" si="5"/>
        <v>1929685.9394125156</v>
      </c>
      <c r="E66" s="568">
        <f t="shared" si="2"/>
        <v>8763.9903081651773</v>
      </c>
      <c r="F66" s="568">
        <f t="shared" si="3"/>
        <v>2638.4452067661923</v>
      </c>
      <c r="G66" s="569">
        <f t="shared" si="4"/>
        <v>1927047.4942057494</v>
      </c>
    </row>
    <row r="67" spans="2:8">
      <c r="B67" s="566">
        <v>39</v>
      </c>
      <c r="C67" s="567">
        <f t="shared" si="1"/>
        <v>39</v>
      </c>
      <c r="D67" s="568">
        <f t="shared" si="5"/>
        <v>1927047.4942057494</v>
      </c>
      <c r="E67" s="568">
        <f t="shared" si="2"/>
        <v>8752.0073695177816</v>
      </c>
      <c r="F67" s="568">
        <f t="shared" si="3"/>
        <v>2650.4281454135889</v>
      </c>
      <c r="G67" s="569">
        <f t="shared" si="4"/>
        <v>1924397.0660603358</v>
      </c>
    </row>
    <row r="68" spans="2:8">
      <c r="B68" s="566">
        <v>40</v>
      </c>
      <c r="C68" s="567">
        <f t="shared" si="1"/>
        <v>40</v>
      </c>
      <c r="D68" s="568">
        <f t="shared" si="5"/>
        <v>1924397.0660603358</v>
      </c>
      <c r="E68" s="568">
        <f t="shared" si="2"/>
        <v>8739.9700083573607</v>
      </c>
      <c r="F68" s="568">
        <f t="shared" si="3"/>
        <v>2662.4655065740094</v>
      </c>
      <c r="G68" s="569">
        <f t="shared" si="4"/>
        <v>1921734.6005537619</v>
      </c>
    </row>
    <row r="69" spans="2:8">
      <c r="B69" s="566">
        <v>41</v>
      </c>
      <c r="C69" s="567">
        <f t="shared" si="1"/>
        <v>41</v>
      </c>
      <c r="D69" s="568">
        <f t="shared" si="5"/>
        <v>1921734.6005537619</v>
      </c>
      <c r="E69" s="568">
        <f t="shared" si="2"/>
        <v>8727.8779775150033</v>
      </c>
      <c r="F69" s="568">
        <f t="shared" si="3"/>
        <v>2674.5575374163664</v>
      </c>
      <c r="G69" s="569">
        <f t="shared" si="4"/>
        <v>1919060.0430163455</v>
      </c>
    </row>
    <row r="70" spans="2:8">
      <c r="B70" s="566">
        <v>42</v>
      </c>
      <c r="C70" s="567">
        <f t="shared" si="1"/>
        <v>42</v>
      </c>
      <c r="D70" s="568">
        <f t="shared" si="5"/>
        <v>1919060.0430163455</v>
      </c>
      <c r="E70" s="568">
        <f t="shared" si="2"/>
        <v>8715.7310286992379</v>
      </c>
      <c r="F70" s="568">
        <f t="shared" si="3"/>
        <v>2686.7044862321322</v>
      </c>
      <c r="G70" s="569">
        <f t="shared" si="4"/>
        <v>1916373.3385301135</v>
      </c>
    </row>
    <row r="71" spans="2:8">
      <c r="B71" s="566">
        <v>43</v>
      </c>
      <c r="C71" s="567">
        <f t="shared" si="1"/>
        <v>43</v>
      </c>
      <c r="D71" s="568">
        <f t="shared" si="5"/>
        <v>1916373.3385301135</v>
      </c>
      <c r="E71" s="568">
        <f t="shared" si="2"/>
        <v>8703.5289124909341</v>
      </c>
      <c r="F71" s="568">
        <f t="shared" si="3"/>
        <v>2698.9066024404365</v>
      </c>
      <c r="G71" s="569">
        <f t="shared" si="4"/>
        <v>1913674.4319276731</v>
      </c>
    </row>
    <row r="72" spans="2:8">
      <c r="B72" s="566">
        <v>44</v>
      </c>
      <c r="C72" s="567">
        <f t="shared" si="1"/>
        <v>44</v>
      </c>
      <c r="D72" s="568">
        <f t="shared" si="5"/>
        <v>1913674.4319276731</v>
      </c>
      <c r="E72" s="568">
        <f t="shared" si="2"/>
        <v>8691.2713783381823</v>
      </c>
      <c r="F72" s="568">
        <f t="shared" si="3"/>
        <v>2711.1641365931873</v>
      </c>
      <c r="G72" s="569">
        <f t="shared" si="4"/>
        <v>1910963.2677910798</v>
      </c>
    </row>
    <row r="73" spans="2:8">
      <c r="B73" s="566">
        <v>45</v>
      </c>
      <c r="C73" s="567">
        <f t="shared" si="1"/>
        <v>45</v>
      </c>
      <c r="D73" s="568">
        <f t="shared" si="5"/>
        <v>1910963.2677910798</v>
      </c>
      <c r="E73" s="568">
        <f t="shared" si="2"/>
        <v>8678.958174551155</v>
      </c>
      <c r="F73" s="568">
        <f t="shared" si="3"/>
        <v>2723.4773403802151</v>
      </c>
      <c r="G73" s="569">
        <f t="shared" si="4"/>
        <v>1908239.7904506996</v>
      </c>
    </row>
    <row r="74" spans="2:8">
      <c r="B74" s="566">
        <v>46</v>
      </c>
      <c r="C74" s="567">
        <f t="shared" si="1"/>
        <v>46</v>
      </c>
      <c r="D74" s="568">
        <f t="shared" si="5"/>
        <v>1908239.7904506996</v>
      </c>
      <c r="E74" s="568">
        <f t="shared" si="2"/>
        <v>8666.589048296928</v>
      </c>
      <c r="F74" s="568">
        <f t="shared" si="3"/>
        <v>2735.8464666344412</v>
      </c>
      <c r="G74" s="569">
        <f t="shared" si="4"/>
        <v>1905503.9439840652</v>
      </c>
    </row>
    <row r="75" spans="2:8">
      <c r="B75" s="566">
        <v>47</v>
      </c>
      <c r="C75" s="567">
        <f t="shared" si="1"/>
        <v>47</v>
      </c>
      <c r="D75" s="568">
        <f t="shared" si="5"/>
        <v>1905503.9439840652</v>
      </c>
      <c r="E75" s="568">
        <f t="shared" si="2"/>
        <v>8654.1637455942982</v>
      </c>
      <c r="F75" s="568">
        <f t="shared" si="3"/>
        <v>2748.2717693370723</v>
      </c>
      <c r="G75" s="569">
        <f t="shared" si="4"/>
        <v>1902755.6722147281</v>
      </c>
    </row>
    <row r="76" spans="2:8">
      <c r="B76" s="570">
        <v>48</v>
      </c>
      <c r="C76" s="571">
        <f t="shared" si="1"/>
        <v>48</v>
      </c>
      <c r="D76" s="572">
        <f t="shared" si="5"/>
        <v>1902755.6722147281</v>
      </c>
      <c r="E76" s="572">
        <f t="shared" si="2"/>
        <v>8641.6820113085578</v>
      </c>
      <c r="F76" s="572">
        <f t="shared" si="3"/>
        <v>2760.7535036228114</v>
      </c>
      <c r="G76" s="573">
        <f t="shared" si="4"/>
        <v>1899994.9187111054</v>
      </c>
      <c r="H76" s="561"/>
    </row>
    <row r="77" spans="2:8">
      <c r="B77" s="553">
        <v>49</v>
      </c>
      <c r="C77" s="554">
        <f t="shared" si="1"/>
        <v>49</v>
      </c>
      <c r="D77" s="555">
        <f t="shared" si="5"/>
        <v>1899994.9187111054</v>
      </c>
      <c r="E77" s="555">
        <f t="shared" si="2"/>
        <v>8629.1435891462716</v>
      </c>
      <c r="F77" s="555">
        <f t="shared" si="3"/>
        <v>2773.2919257850986</v>
      </c>
      <c r="G77" s="556">
        <f t="shared" si="4"/>
        <v>1897221.6267853202</v>
      </c>
    </row>
    <row r="78" spans="2:8">
      <c r="B78" s="557">
        <v>50</v>
      </c>
      <c r="C78" s="558">
        <f t="shared" si="1"/>
        <v>50</v>
      </c>
      <c r="D78" s="559">
        <f t="shared" si="5"/>
        <v>1897221.6267853202</v>
      </c>
      <c r="E78" s="559">
        <f t="shared" si="2"/>
        <v>8616.5482216499968</v>
      </c>
      <c r="F78" s="559">
        <f t="shared" si="3"/>
        <v>2785.8872932813724</v>
      </c>
      <c r="G78" s="560">
        <f t="shared" si="4"/>
        <v>1894435.739492039</v>
      </c>
    </row>
    <row r="79" spans="2:8">
      <c r="B79" s="557">
        <v>51</v>
      </c>
      <c r="C79" s="558">
        <f t="shared" si="1"/>
        <v>51</v>
      </c>
      <c r="D79" s="559">
        <f t="shared" si="5"/>
        <v>1894435.739492039</v>
      </c>
      <c r="E79" s="559">
        <f t="shared" si="2"/>
        <v>8603.8956501930115</v>
      </c>
      <c r="F79" s="559">
        <f t="shared" si="3"/>
        <v>2798.539864738359</v>
      </c>
      <c r="G79" s="560">
        <f t="shared" si="4"/>
        <v>1891637.1996273005</v>
      </c>
    </row>
    <row r="80" spans="2:8">
      <c r="B80" s="557">
        <v>52</v>
      </c>
      <c r="C80" s="558">
        <f t="shared" si="1"/>
        <v>52</v>
      </c>
      <c r="D80" s="559">
        <f t="shared" si="5"/>
        <v>1891637.1996273005</v>
      </c>
      <c r="E80" s="559">
        <f t="shared" si="2"/>
        <v>8591.1856149739906</v>
      </c>
      <c r="F80" s="559">
        <f t="shared" si="3"/>
        <v>2811.2498999573791</v>
      </c>
      <c r="G80" s="560">
        <f t="shared" si="4"/>
        <v>1888825.9497273432</v>
      </c>
    </row>
    <row r="81" spans="2:8">
      <c r="B81" s="557">
        <v>53</v>
      </c>
      <c r="C81" s="558">
        <f t="shared" si="1"/>
        <v>53</v>
      </c>
      <c r="D81" s="559">
        <f t="shared" si="5"/>
        <v>1888825.9497273432</v>
      </c>
      <c r="E81" s="559">
        <f t="shared" si="2"/>
        <v>8578.4178550116849</v>
      </c>
      <c r="F81" s="559">
        <f t="shared" si="3"/>
        <v>2824.0176599196857</v>
      </c>
      <c r="G81" s="560">
        <f t="shared" si="4"/>
        <v>1886001.9320674236</v>
      </c>
    </row>
    <row r="82" spans="2:8">
      <c r="B82" s="557">
        <v>54</v>
      </c>
      <c r="C82" s="558">
        <f t="shared" si="1"/>
        <v>54</v>
      </c>
      <c r="D82" s="559">
        <f t="shared" si="5"/>
        <v>1886001.9320674236</v>
      </c>
      <c r="E82" s="559">
        <f t="shared" si="2"/>
        <v>8565.5921081395481</v>
      </c>
      <c r="F82" s="559">
        <f t="shared" si="3"/>
        <v>2836.8434067918206</v>
      </c>
      <c r="G82" s="560">
        <f t="shared" si="4"/>
        <v>1883165.0886606318</v>
      </c>
    </row>
    <row r="83" spans="2:8">
      <c r="B83" s="557">
        <v>55</v>
      </c>
      <c r="C83" s="558">
        <f t="shared" si="1"/>
        <v>55</v>
      </c>
      <c r="D83" s="559">
        <f t="shared" si="5"/>
        <v>1883165.0886606318</v>
      </c>
      <c r="E83" s="559">
        <f t="shared" si="2"/>
        <v>8552.7081110003692</v>
      </c>
      <c r="F83" s="559">
        <f t="shared" si="3"/>
        <v>2849.727403931</v>
      </c>
      <c r="G83" s="560">
        <f t="shared" si="4"/>
        <v>1880315.3612567007</v>
      </c>
    </row>
    <row r="84" spans="2:8">
      <c r="B84" s="557">
        <v>56</v>
      </c>
      <c r="C84" s="558">
        <f t="shared" si="1"/>
        <v>56</v>
      </c>
      <c r="D84" s="559">
        <f t="shared" si="5"/>
        <v>1880315.3612567007</v>
      </c>
      <c r="E84" s="559">
        <f t="shared" si="2"/>
        <v>8539.7655990408493</v>
      </c>
      <c r="F84" s="559">
        <f t="shared" si="3"/>
        <v>2862.6699158905208</v>
      </c>
      <c r="G84" s="560">
        <f t="shared" si="4"/>
        <v>1877452.6913408102</v>
      </c>
    </row>
    <row r="85" spans="2:8">
      <c r="B85" s="557">
        <v>57</v>
      </c>
      <c r="C85" s="558">
        <f t="shared" si="1"/>
        <v>57</v>
      </c>
      <c r="D85" s="559">
        <f t="shared" si="5"/>
        <v>1877452.6913408102</v>
      </c>
      <c r="E85" s="559">
        <f t="shared" si="2"/>
        <v>8526.7643065061802</v>
      </c>
      <c r="F85" s="559">
        <f t="shared" si="3"/>
        <v>2875.671208425189</v>
      </c>
      <c r="G85" s="560">
        <f t="shared" si="4"/>
        <v>1874577.020132385</v>
      </c>
    </row>
    <row r="86" spans="2:8">
      <c r="B86" s="557">
        <v>58</v>
      </c>
      <c r="C86" s="558">
        <f t="shared" si="1"/>
        <v>58</v>
      </c>
      <c r="D86" s="559">
        <f t="shared" si="5"/>
        <v>1874577.020132385</v>
      </c>
      <c r="E86" s="559">
        <f t="shared" si="2"/>
        <v>8513.703966434583</v>
      </c>
      <c r="F86" s="559">
        <f t="shared" si="3"/>
        <v>2888.7315484967867</v>
      </c>
      <c r="G86" s="560">
        <f t="shared" si="4"/>
        <v>1871688.2885838882</v>
      </c>
    </row>
    <row r="87" spans="2:8">
      <c r="B87" s="557">
        <v>59</v>
      </c>
      <c r="C87" s="558">
        <f t="shared" si="1"/>
        <v>59</v>
      </c>
      <c r="D87" s="559">
        <f t="shared" si="5"/>
        <v>1871688.2885838882</v>
      </c>
      <c r="E87" s="559">
        <f t="shared" si="2"/>
        <v>8500.5843106518259</v>
      </c>
      <c r="F87" s="559">
        <f t="shared" si="3"/>
        <v>2901.8512042795428</v>
      </c>
      <c r="G87" s="560">
        <f t="shared" si="4"/>
        <v>1868786.4373796086</v>
      </c>
    </row>
    <row r="88" spans="2:8">
      <c r="B88" s="562">
        <v>60</v>
      </c>
      <c r="C88" s="563">
        <f t="shared" si="1"/>
        <v>60</v>
      </c>
      <c r="D88" s="564">
        <f t="shared" si="5"/>
        <v>1868786.4373796086</v>
      </c>
      <c r="E88" s="564">
        <f t="shared" si="2"/>
        <v>8487.405069765724</v>
      </c>
      <c r="F88" s="564">
        <f t="shared" si="3"/>
        <v>2915.0304451656461</v>
      </c>
      <c r="G88" s="565">
        <f t="shared" si="4"/>
        <v>1865871.4069344429</v>
      </c>
      <c r="H88" s="561"/>
    </row>
    <row r="89" spans="2:8">
      <c r="B89" s="574">
        <v>61</v>
      </c>
      <c r="C89" s="575">
        <f t="shared" si="1"/>
        <v>61</v>
      </c>
      <c r="D89" s="576">
        <f t="shared" si="5"/>
        <v>1865871.4069344429</v>
      </c>
      <c r="E89" s="576">
        <f t="shared" si="2"/>
        <v>8474.165973160596</v>
      </c>
      <c r="F89" s="576">
        <f t="shared" si="3"/>
        <v>2928.2695417707737</v>
      </c>
      <c r="G89" s="577">
        <f t="shared" si="4"/>
        <v>1862943.1373926722</v>
      </c>
    </row>
    <row r="90" spans="2:8">
      <c r="B90" s="566">
        <v>62</v>
      </c>
      <c r="C90" s="567">
        <f t="shared" si="1"/>
        <v>62</v>
      </c>
      <c r="D90" s="568">
        <f t="shared" si="5"/>
        <v>1862943.1373926722</v>
      </c>
      <c r="E90" s="568">
        <f t="shared" si="2"/>
        <v>8460.8667489917207</v>
      </c>
      <c r="F90" s="568">
        <f t="shared" si="3"/>
        <v>2941.5687659396494</v>
      </c>
      <c r="G90" s="569">
        <f t="shared" si="4"/>
        <v>1860001.5686267326</v>
      </c>
    </row>
    <row r="91" spans="2:8">
      <c r="B91" s="566">
        <v>63</v>
      </c>
      <c r="C91" s="567">
        <f t="shared" si="1"/>
        <v>63</v>
      </c>
      <c r="D91" s="568">
        <f t="shared" si="5"/>
        <v>1860001.5686267326</v>
      </c>
      <c r="E91" s="568">
        <f t="shared" si="2"/>
        <v>8447.507124179745</v>
      </c>
      <c r="F91" s="568">
        <f t="shared" si="3"/>
        <v>2954.9283907516256</v>
      </c>
      <c r="G91" s="569">
        <f t="shared" si="4"/>
        <v>1857046.640235981</v>
      </c>
    </row>
    <row r="92" spans="2:8">
      <c r="B92" s="566">
        <v>64</v>
      </c>
      <c r="C92" s="567">
        <f t="shared" si="1"/>
        <v>64</v>
      </c>
      <c r="D92" s="568">
        <f t="shared" si="5"/>
        <v>1857046.640235981</v>
      </c>
      <c r="E92" s="568">
        <f t="shared" si="2"/>
        <v>8434.0868244050798</v>
      </c>
      <c r="F92" s="568">
        <f t="shared" si="3"/>
        <v>2968.3486905262889</v>
      </c>
      <c r="G92" s="569">
        <f t="shared" si="4"/>
        <v>1854078.2915454546</v>
      </c>
    </row>
    <row r="93" spans="2:8">
      <c r="B93" s="566">
        <v>65</v>
      </c>
      <c r="C93" s="567">
        <f t="shared" ref="C93:C156" si="6">IF(C$9*12&gt;=B93,"I/O",B93-(C$9*12))</f>
        <v>65</v>
      </c>
      <c r="D93" s="568">
        <f t="shared" si="5"/>
        <v>1854078.2915454546</v>
      </c>
      <c r="E93" s="568">
        <f t="shared" ref="E93:E156" si="7">IF(C93="I/O",C$5*C$6/12,-IPMT(C$6/12,C93,C$8*12,C$5))</f>
        <v>8420.6055741022756</v>
      </c>
      <c r="F93" s="568">
        <f t="shared" ref="F93:F156" si="8">IF(C93&lt;&gt;"I/O",-PPMT(C$6/12,C93,C$8*12,C$5),0)</f>
        <v>2981.8299408290959</v>
      </c>
      <c r="G93" s="569">
        <f t="shared" ref="G93:G156" si="9">D93-F93</f>
        <v>1851096.4616046255</v>
      </c>
    </row>
    <row r="94" spans="2:8">
      <c r="B94" s="566">
        <v>66</v>
      </c>
      <c r="C94" s="567">
        <f t="shared" si="6"/>
        <v>66</v>
      </c>
      <c r="D94" s="568">
        <f t="shared" ref="D94:D157" si="10">G93</f>
        <v>1851096.4616046255</v>
      </c>
      <c r="E94" s="568">
        <f t="shared" si="7"/>
        <v>8407.0630964543416</v>
      </c>
      <c r="F94" s="568">
        <f t="shared" si="8"/>
        <v>2995.3724184770281</v>
      </c>
      <c r="G94" s="569">
        <f t="shared" si="9"/>
        <v>1848101.0891861485</v>
      </c>
    </row>
    <row r="95" spans="2:8">
      <c r="B95" s="566">
        <v>67</v>
      </c>
      <c r="C95" s="567">
        <f t="shared" si="6"/>
        <v>67</v>
      </c>
      <c r="D95" s="568">
        <f t="shared" si="10"/>
        <v>1848101.0891861485</v>
      </c>
      <c r="E95" s="568">
        <f t="shared" si="7"/>
        <v>8393.4591133870908</v>
      </c>
      <c r="F95" s="568">
        <f t="shared" si="8"/>
        <v>3008.9764015442779</v>
      </c>
      <c r="G95" s="569">
        <f t="shared" si="9"/>
        <v>1845092.1127846043</v>
      </c>
    </row>
    <row r="96" spans="2:8">
      <c r="B96" s="566">
        <v>68</v>
      </c>
      <c r="C96" s="567">
        <f t="shared" si="6"/>
        <v>68</v>
      </c>
      <c r="D96" s="568">
        <f t="shared" si="10"/>
        <v>1845092.1127846043</v>
      </c>
      <c r="E96" s="568">
        <f t="shared" si="7"/>
        <v>8379.793345563412</v>
      </c>
      <c r="F96" s="568">
        <f t="shared" si="8"/>
        <v>3022.6421693679581</v>
      </c>
      <c r="G96" s="569">
        <f t="shared" si="9"/>
        <v>1842069.4706152363</v>
      </c>
    </row>
    <row r="97" spans="2:8">
      <c r="B97" s="566">
        <v>69</v>
      </c>
      <c r="C97" s="567">
        <f t="shared" si="6"/>
        <v>69</v>
      </c>
      <c r="D97" s="568">
        <f t="shared" si="10"/>
        <v>1842069.4706152363</v>
      </c>
      <c r="E97" s="568">
        <f t="shared" si="7"/>
        <v>8366.0655123775305</v>
      </c>
      <c r="F97" s="568">
        <f t="shared" si="8"/>
        <v>3036.3700025538374</v>
      </c>
      <c r="G97" s="569">
        <f t="shared" si="9"/>
        <v>1839033.1006126825</v>
      </c>
    </row>
    <row r="98" spans="2:8">
      <c r="B98" s="566">
        <v>70</v>
      </c>
      <c r="C98" s="567">
        <f t="shared" si="6"/>
        <v>70</v>
      </c>
      <c r="D98" s="568">
        <f t="shared" si="10"/>
        <v>1839033.1006126825</v>
      </c>
      <c r="E98" s="568">
        <f t="shared" si="7"/>
        <v>8352.2753319492676</v>
      </c>
      <c r="F98" s="568">
        <f t="shared" si="8"/>
        <v>3050.1601829821034</v>
      </c>
      <c r="G98" s="569">
        <f t="shared" si="9"/>
        <v>1835982.9404297003</v>
      </c>
    </row>
    <row r="99" spans="2:8">
      <c r="B99" s="566">
        <v>71</v>
      </c>
      <c r="C99" s="567">
        <f t="shared" si="6"/>
        <v>71</v>
      </c>
      <c r="D99" s="568">
        <f t="shared" si="10"/>
        <v>1835982.9404297003</v>
      </c>
      <c r="E99" s="568">
        <f t="shared" si="7"/>
        <v>8338.422521118222</v>
      </c>
      <c r="F99" s="568">
        <f t="shared" si="8"/>
        <v>3064.0129938131463</v>
      </c>
      <c r="G99" s="569">
        <f t="shared" si="9"/>
        <v>1832918.927435887</v>
      </c>
    </row>
    <row r="100" spans="2:8">
      <c r="B100" s="570">
        <v>72</v>
      </c>
      <c r="C100" s="571">
        <f t="shared" si="6"/>
        <v>72</v>
      </c>
      <c r="D100" s="572">
        <f t="shared" si="10"/>
        <v>1832918.927435887</v>
      </c>
      <c r="E100" s="572">
        <f t="shared" si="7"/>
        <v>8324.5067954379883</v>
      </c>
      <c r="F100" s="572">
        <f t="shared" si="8"/>
        <v>3077.9287194933809</v>
      </c>
      <c r="G100" s="573">
        <f t="shared" si="9"/>
        <v>1829840.9987163937</v>
      </c>
      <c r="H100" s="561"/>
    </row>
    <row r="101" spans="2:8">
      <c r="B101" s="553">
        <v>73</v>
      </c>
      <c r="C101" s="554">
        <f t="shared" si="6"/>
        <v>73</v>
      </c>
      <c r="D101" s="555">
        <f t="shared" si="10"/>
        <v>1829840.9987163937</v>
      </c>
      <c r="E101" s="555">
        <f t="shared" si="7"/>
        <v>8310.5278691702879</v>
      </c>
      <c r="F101" s="555">
        <f t="shared" si="8"/>
        <v>3091.9076457610804</v>
      </c>
      <c r="G101" s="556">
        <f t="shared" si="9"/>
        <v>1826749.0910706327</v>
      </c>
    </row>
    <row r="102" spans="2:8">
      <c r="B102" s="557">
        <v>74</v>
      </c>
      <c r="C102" s="558">
        <f t="shared" si="6"/>
        <v>74</v>
      </c>
      <c r="D102" s="559">
        <f t="shared" si="10"/>
        <v>1826749.0910706327</v>
      </c>
      <c r="E102" s="559">
        <f t="shared" si="7"/>
        <v>8296.4854552791257</v>
      </c>
      <c r="F102" s="559">
        <f t="shared" si="8"/>
        <v>3105.9500596522453</v>
      </c>
      <c r="G102" s="560">
        <f t="shared" si="9"/>
        <v>1823643.1410109804</v>
      </c>
    </row>
    <row r="103" spans="2:8">
      <c r="B103" s="557">
        <v>75</v>
      </c>
      <c r="C103" s="558">
        <f t="shared" si="6"/>
        <v>75</v>
      </c>
      <c r="D103" s="559">
        <f t="shared" si="10"/>
        <v>1823643.1410109804</v>
      </c>
      <c r="E103" s="559">
        <f t="shared" si="7"/>
        <v>8282.37926542487</v>
      </c>
      <c r="F103" s="559">
        <f t="shared" si="8"/>
        <v>3120.0562495064996</v>
      </c>
      <c r="G103" s="560">
        <f t="shared" si="9"/>
        <v>1820523.0847614738</v>
      </c>
    </row>
    <row r="104" spans="2:8">
      <c r="B104" s="557">
        <v>76</v>
      </c>
      <c r="C104" s="558">
        <f t="shared" si="6"/>
        <v>76</v>
      </c>
      <c r="D104" s="559">
        <f t="shared" si="10"/>
        <v>1820523.0847614738</v>
      </c>
      <c r="E104" s="559">
        <f t="shared" si="7"/>
        <v>8268.209009958362</v>
      </c>
      <c r="F104" s="559">
        <f t="shared" si="8"/>
        <v>3134.2265049730086</v>
      </c>
      <c r="G104" s="560">
        <f t="shared" si="9"/>
        <v>1817388.8582565009</v>
      </c>
    </row>
    <row r="105" spans="2:8">
      <c r="B105" s="557">
        <v>77</v>
      </c>
      <c r="C105" s="558">
        <f t="shared" si="6"/>
        <v>77</v>
      </c>
      <c r="D105" s="559">
        <f t="shared" si="10"/>
        <v>1817388.8582565009</v>
      </c>
      <c r="E105" s="559">
        <f t="shared" si="7"/>
        <v>8253.9743979149425</v>
      </c>
      <c r="F105" s="559">
        <f t="shared" si="8"/>
        <v>3148.4611170164276</v>
      </c>
      <c r="G105" s="560">
        <f t="shared" si="9"/>
        <v>1814240.3971394845</v>
      </c>
    </row>
    <row r="106" spans="2:8">
      <c r="B106" s="557">
        <v>78</v>
      </c>
      <c r="C106" s="558">
        <f t="shared" si="6"/>
        <v>78</v>
      </c>
      <c r="D106" s="559">
        <f t="shared" si="10"/>
        <v>1814240.3971394845</v>
      </c>
      <c r="E106" s="559">
        <f t="shared" si="7"/>
        <v>8239.675137008493</v>
      </c>
      <c r="F106" s="559">
        <f t="shared" si="8"/>
        <v>3162.7603779228775</v>
      </c>
      <c r="G106" s="560">
        <f t="shared" si="9"/>
        <v>1811077.6367615617</v>
      </c>
    </row>
    <row r="107" spans="2:8">
      <c r="B107" s="557">
        <v>79</v>
      </c>
      <c r="C107" s="558">
        <f t="shared" si="6"/>
        <v>79</v>
      </c>
      <c r="D107" s="559">
        <f t="shared" si="10"/>
        <v>1811077.6367615617</v>
      </c>
      <c r="E107" s="559">
        <f t="shared" si="7"/>
        <v>8225.3109336254274</v>
      </c>
      <c r="F107" s="559">
        <f t="shared" si="8"/>
        <v>3177.1245813059422</v>
      </c>
      <c r="G107" s="560">
        <f t="shared" si="9"/>
        <v>1807900.5121802557</v>
      </c>
    </row>
    <row r="108" spans="2:8">
      <c r="B108" s="557">
        <v>80</v>
      </c>
      <c r="C108" s="558">
        <f t="shared" si="6"/>
        <v>80</v>
      </c>
      <c r="D108" s="559">
        <f t="shared" si="10"/>
        <v>1807900.5121802557</v>
      </c>
      <c r="E108" s="559">
        <f t="shared" si="7"/>
        <v>8210.8814928186621</v>
      </c>
      <c r="F108" s="559">
        <f t="shared" si="8"/>
        <v>3191.5540221127071</v>
      </c>
      <c r="G108" s="560">
        <f t="shared" si="9"/>
        <v>1804708.9581581431</v>
      </c>
    </row>
    <row r="109" spans="2:8">
      <c r="B109" s="557">
        <v>81</v>
      </c>
      <c r="C109" s="558">
        <f t="shared" si="6"/>
        <v>81</v>
      </c>
      <c r="D109" s="559">
        <f t="shared" si="10"/>
        <v>1804708.9581581431</v>
      </c>
      <c r="E109" s="559">
        <f t="shared" si="7"/>
        <v>8196.3865183015678</v>
      </c>
      <c r="F109" s="559">
        <f t="shared" si="8"/>
        <v>3206.0489966298019</v>
      </c>
      <c r="G109" s="560">
        <f t="shared" si="9"/>
        <v>1801502.9091615132</v>
      </c>
    </row>
    <row r="110" spans="2:8">
      <c r="B110" s="557">
        <v>82</v>
      </c>
      <c r="C110" s="558">
        <f t="shared" si="6"/>
        <v>82</v>
      </c>
      <c r="D110" s="559">
        <f t="shared" si="10"/>
        <v>1801502.9091615132</v>
      </c>
      <c r="E110" s="559">
        <f t="shared" si="7"/>
        <v>8181.8257124418733</v>
      </c>
      <c r="F110" s="559">
        <f t="shared" si="8"/>
        <v>3220.6098024894968</v>
      </c>
      <c r="G110" s="560">
        <f t="shared" si="9"/>
        <v>1798282.2993590238</v>
      </c>
    </row>
    <row r="111" spans="2:8">
      <c r="B111" s="557">
        <v>83</v>
      </c>
      <c r="C111" s="558">
        <f t="shared" si="6"/>
        <v>83</v>
      </c>
      <c r="D111" s="559">
        <f t="shared" si="10"/>
        <v>1798282.2993590238</v>
      </c>
      <c r="E111" s="559">
        <f t="shared" si="7"/>
        <v>8167.1987762555673</v>
      </c>
      <c r="F111" s="559">
        <f t="shared" si="8"/>
        <v>3235.2367386758028</v>
      </c>
      <c r="G111" s="560">
        <f t="shared" si="9"/>
        <v>1795047.0626203481</v>
      </c>
    </row>
    <row r="112" spans="2:8">
      <c r="B112" s="562">
        <v>84</v>
      </c>
      <c r="C112" s="563">
        <f t="shared" si="6"/>
        <v>84</v>
      </c>
      <c r="D112" s="564">
        <f t="shared" si="10"/>
        <v>1795047.0626203481</v>
      </c>
      <c r="E112" s="564">
        <f t="shared" si="7"/>
        <v>8152.5054094007482</v>
      </c>
      <c r="F112" s="564">
        <f t="shared" si="8"/>
        <v>3249.9301055306223</v>
      </c>
      <c r="G112" s="565">
        <f t="shared" si="9"/>
        <v>1791797.1325148174</v>
      </c>
      <c r="H112" s="561"/>
    </row>
    <row r="113" spans="2:8">
      <c r="B113" s="574">
        <v>85</v>
      </c>
      <c r="C113" s="575">
        <f t="shared" si="6"/>
        <v>85</v>
      </c>
      <c r="D113" s="576">
        <f t="shared" si="10"/>
        <v>1791797.1325148174</v>
      </c>
      <c r="E113" s="576">
        <f t="shared" si="7"/>
        <v>8137.7453101714627</v>
      </c>
      <c r="F113" s="576">
        <f t="shared" si="8"/>
        <v>3264.6902047599074</v>
      </c>
      <c r="G113" s="577">
        <f t="shared" si="9"/>
        <v>1788532.4423100576</v>
      </c>
    </row>
    <row r="114" spans="2:8">
      <c r="B114" s="566">
        <v>86</v>
      </c>
      <c r="C114" s="567">
        <f t="shared" si="6"/>
        <v>86</v>
      </c>
      <c r="D114" s="568">
        <f t="shared" si="10"/>
        <v>1788532.4423100576</v>
      </c>
      <c r="E114" s="568">
        <f t="shared" si="7"/>
        <v>8122.9181754915116</v>
      </c>
      <c r="F114" s="568">
        <f t="shared" si="8"/>
        <v>3279.517339439858</v>
      </c>
      <c r="G114" s="569">
        <f t="shared" si="9"/>
        <v>1785252.9249706178</v>
      </c>
    </row>
    <row r="115" spans="2:8">
      <c r="B115" s="566">
        <v>87</v>
      </c>
      <c r="C115" s="567">
        <f t="shared" si="6"/>
        <v>87</v>
      </c>
      <c r="D115" s="568">
        <f t="shared" si="10"/>
        <v>1785252.9249706178</v>
      </c>
      <c r="E115" s="568">
        <f t="shared" si="7"/>
        <v>8108.0237009082221</v>
      </c>
      <c r="F115" s="568">
        <f t="shared" si="8"/>
        <v>3294.4118140231481</v>
      </c>
      <c r="G115" s="569">
        <f t="shared" si="9"/>
        <v>1781958.5131565947</v>
      </c>
    </row>
    <row r="116" spans="2:8">
      <c r="B116" s="566">
        <v>88</v>
      </c>
      <c r="C116" s="567">
        <f t="shared" si="6"/>
        <v>88</v>
      </c>
      <c r="D116" s="568">
        <f t="shared" si="10"/>
        <v>1781958.5131565947</v>
      </c>
      <c r="E116" s="568">
        <f t="shared" si="7"/>
        <v>8093.0615805862008</v>
      </c>
      <c r="F116" s="568">
        <f t="shared" si="8"/>
        <v>3309.3739343451698</v>
      </c>
      <c r="G116" s="569">
        <f t="shared" si="9"/>
        <v>1778649.1392222496</v>
      </c>
    </row>
    <row r="117" spans="2:8">
      <c r="B117" s="566">
        <v>89</v>
      </c>
      <c r="C117" s="567">
        <f t="shared" si="6"/>
        <v>89</v>
      </c>
      <c r="D117" s="568">
        <f t="shared" si="10"/>
        <v>1778649.1392222496</v>
      </c>
      <c r="E117" s="568">
        <f t="shared" si="7"/>
        <v>8078.0315073010488</v>
      </c>
      <c r="F117" s="568">
        <f t="shared" si="8"/>
        <v>3324.4040076303208</v>
      </c>
      <c r="G117" s="569">
        <f t="shared" si="9"/>
        <v>1775324.7352146192</v>
      </c>
    </row>
    <row r="118" spans="2:8">
      <c r="B118" s="566">
        <v>90</v>
      </c>
      <c r="C118" s="567">
        <f t="shared" si="6"/>
        <v>90</v>
      </c>
      <c r="D118" s="568">
        <f t="shared" si="10"/>
        <v>1775324.7352146192</v>
      </c>
      <c r="E118" s="568">
        <f t="shared" si="7"/>
        <v>8062.9331724330623</v>
      </c>
      <c r="F118" s="568">
        <f t="shared" si="8"/>
        <v>3339.5023424983074</v>
      </c>
      <c r="G118" s="569">
        <f t="shared" si="9"/>
        <v>1771985.2328721208</v>
      </c>
    </row>
    <row r="119" spans="2:8">
      <c r="B119" s="566">
        <v>91</v>
      </c>
      <c r="C119" s="567">
        <f t="shared" si="6"/>
        <v>91</v>
      </c>
      <c r="D119" s="568">
        <f t="shared" si="10"/>
        <v>1771985.2328721208</v>
      </c>
      <c r="E119" s="568">
        <f t="shared" si="7"/>
        <v>8047.7662659608823</v>
      </c>
      <c r="F119" s="568">
        <f t="shared" si="8"/>
        <v>3354.6692489704878</v>
      </c>
      <c r="G119" s="569">
        <f t="shared" si="9"/>
        <v>1768630.5636231503</v>
      </c>
    </row>
    <row r="120" spans="2:8">
      <c r="B120" s="566">
        <v>92</v>
      </c>
      <c r="C120" s="567">
        <f t="shared" si="6"/>
        <v>92</v>
      </c>
      <c r="D120" s="568">
        <f t="shared" si="10"/>
        <v>1768630.5636231503</v>
      </c>
      <c r="E120" s="568">
        <f t="shared" si="7"/>
        <v>8032.5304764551402</v>
      </c>
      <c r="F120" s="568">
        <f t="shared" si="8"/>
        <v>3369.9050384762286</v>
      </c>
      <c r="G120" s="569">
        <f t="shared" si="9"/>
        <v>1765260.6585846741</v>
      </c>
    </row>
    <row r="121" spans="2:8">
      <c r="B121" s="566">
        <v>93</v>
      </c>
      <c r="C121" s="567">
        <f t="shared" si="6"/>
        <v>93</v>
      </c>
      <c r="D121" s="568">
        <f t="shared" si="10"/>
        <v>1765260.6585846741</v>
      </c>
      <c r="E121" s="568">
        <f t="shared" si="7"/>
        <v>8017.2254910720621</v>
      </c>
      <c r="F121" s="568">
        <f t="shared" si="8"/>
        <v>3385.210023859308</v>
      </c>
      <c r="G121" s="569">
        <f t="shared" si="9"/>
        <v>1761875.4485608148</v>
      </c>
    </row>
    <row r="122" spans="2:8">
      <c r="B122" s="566">
        <v>94</v>
      </c>
      <c r="C122" s="567">
        <f t="shared" si="6"/>
        <v>94</v>
      </c>
      <c r="D122" s="568">
        <f t="shared" si="10"/>
        <v>1761875.4485608148</v>
      </c>
      <c r="E122" s="568">
        <f t="shared" si="7"/>
        <v>8001.8509955470336</v>
      </c>
      <c r="F122" s="568">
        <f t="shared" si="8"/>
        <v>3400.5845193843361</v>
      </c>
      <c r="G122" s="569">
        <f t="shared" si="9"/>
        <v>1758474.8640414304</v>
      </c>
    </row>
    <row r="123" spans="2:8">
      <c r="B123" s="566">
        <v>95</v>
      </c>
      <c r="C123" s="567">
        <f t="shared" si="6"/>
        <v>95</v>
      </c>
      <c r="D123" s="568">
        <f t="shared" si="10"/>
        <v>1758474.8640414304</v>
      </c>
      <c r="E123" s="568">
        <f t="shared" si="7"/>
        <v>7986.4066741881625</v>
      </c>
      <c r="F123" s="568">
        <f t="shared" si="8"/>
        <v>3416.0288407432067</v>
      </c>
      <c r="G123" s="569">
        <f t="shared" si="9"/>
        <v>1755058.8352006872</v>
      </c>
    </row>
    <row r="124" spans="2:8">
      <c r="B124" s="570">
        <v>96</v>
      </c>
      <c r="C124" s="571">
        <f t="shared" si="6"/>
        <v>96</v>
      </c>
      <c r="D124" s="572">
        <f t="shared" si="10"/>
        <v>1755058.8352006872</v>
      </c>
      <c r="E124" s="572">
        <f t="shared" si="7"/>
        <v>7970.8922098697876</v>
      </c>
      <c r="F124" s="572">
        <f t="shared" si="8"/>
        <v>3431.543305061582</v>
      </c>
      <c r="G124" s="573">
        <f t="shared" si="9"/>
        <v>1751627.2918956256</v>
      </c>
      <c r="H124" s="561"/>
    </row>
    <row r="125" spans="2:8">
      <c r="B125" s="553">
        <v>97</v>
      </c>
      <c r="C125" s="554">
        <f t="shared" si="6"/>
        <v>97</v>
      </c>
      <c r="D125" s="555">
        <f t="shared" si="10"/>
        <v>1751627.2918956256</v>
      </c>
      <c r="E125" s="555">
        <f t="shared" si="7"/>
        <v>7955.3072840259656</v>
      </c>
      <c r="F125" s="555">
        <f t="shared" si="8"/>
        <v>3447.1282309054031</v>
      </c>
      <c r="G125" s="556">
        <f t="shared" si="9"/>
        <v>1748180.1636647203</v>
      </c>
    </row>
    <row r="126" spans="2:8">
      <c r="B126" s="557">
        <v>98</v>
      </c>
      <c r="C126" s="558">
        <f t="shared" si="6"/>
        <v>98</v>
      </c>
      <c r="D126" s="559">
        <f t="shared" si="10"/>
        <v>1748180.1636647203</v>
      </c>
      <c r="E126" s="559">
        <f t="shared" si="7"/>
        <v>7939.651576643937</v>
      </c>
      <c r="F126" s="559">
        <f t="shared" si="8"/>
        <v>3462.7839382874322</v>
      </c>
      <c r="G126" s="560">
        <f t="shared" si="9"/>
        <v>1744717.3797264327</v>
      </c>
    </row>
    <row r="127" spans="2:8">
      <c r="B127" s="557">
        <v>99</v>
      </c>
      <c r="C127" s="558">
        <f t="shared" si="6"/>
        <v>99</v>
      </c>
      <c r="D127" s="559">
        <f t="shared" si="10"/>
        <v>1744717.3797264327</v>
      </c>
      <c r="E127" s="559">
        <f t="shared" si="7"/>
        <v>7923.9247662575481</v>
      </c>
      <c r="F127" s="559">
        <f t="shared" si="8"/>
        <v>3478.5107486738211</v>
      </c>
      <c r="G127" s="560">
        <f t="shared" si="9"/>
        <v>1741238.8689777588</v>
      </c>
    </row>
    <row r="128" spans="2:8">
      <c r="B128" s="557">
        <v>100</v>
      </c>
      <c r="C128" s="558">
        <f t="shared" si="6"/>
        <v>100</v>
      </c>
      <c r="D128" s="559">
        <f t="shared" si="10"/>
        <v>1741238.8689777588</v>
      </c>
      <c r="E128" s="559">
        <f t="shared" si="7"/>
        <v>7908.1265299406559</v>
      </c>
      <c r="F128" s="559">
        <f t="shared" si="8"/>
        <v>3494.3089849907142</v>
      </c>
      <c r="G128" s="560">
        <f t="shared" si="9"/>
        <v>1737744.5599927681</v>
      </c>
    </row>
    <row r="129" spans="2:8">
      <c r="B129" s="557">
        <v>101</v>
      </c>
      <c r="C129" s="558">
        <f t="shared" si="6"/>
        <v>101</v>
      </c>
      <c r="D129" s="559">
        <f t="shared" si="10"/>
        <v>1737744.5599927681</v>
      </c>
      <c r="E129" s="559">
        <f t="shared" si="7"/>
        <v>7892.2565433004893</v>
      </c>
      <c r="F129" s="559">
        <f t="shared" si="8"/>
        <v>3510.1789716308808</v>
      </c>
      <c r="G129" s="560">
        <f t="shared" si="9"/>
        <v>1734234.3810211371</v>
      </c>
    </row>
    <row r="130" spans="2:8">
      <c r="B130" s="557">
        <v>102</v>
      </c>
      <c r="C130" s="558">
        <f t="shared" si="6"/>
        <v>102</v>
      </c>
      <c r="D130" s="559">
        <f t="shared" si="10"/>
        <v>1734234.3810211371</v>
      </c>
      <c r="E130" s="559">
        <f t="shared" si="7"/>
        <v>7876.3144804709982</v>
      </c>
      <c r="F130" s="559">
        <f t="shared" si="8"/>
        <v>3526.121034460371</v>
      </c>
      <c r="G130" s="560">
        <f t="shared" si="9"/>
        <v>1730708.2599866767</v>
      </c>
    </row>
    <row r="131" spans="2:8">
      <c r="B131" s="557">
        <v>103</v>
      </c>
      <c r="C131" s="558">
        <f t="shared" si="6"/>
        <v>103</v>
      </c>
      <c r="D131" s="559">
        <f t="shared" si="10"/>
        <v>1730708.2599866767</v>
      </c>
      <c r="E131" s="559">
        <f t="shared" si="7"/>
        <v>7860.3000141061575</v>
      </c>
      <c r="F131" s="559">
        <f t="shared" si="8"/>
        <v>3542.1355008252117</v>
      </c>
      <c r="G131" s="560">
        <f t="shared" si="9"/>
        <v>1727166.1244858515</v>
      </c>
    </row>
    <row r="132" spans="2:8">
      <c r="B132" s="557">
        <v>104</v>
      </c>
      <c r="C132" s="558">
        <f t="shared" si="6"/>
        <v>104</v>
      </c>
      <c r="D132" s="559">
        <f t="shared" si="10"/>
        <v>1727166.1244858515</v>
      </c>
      <c r="E132" s="559">
        <f t="shared" si="7"/>
        <v>7844.2128153732438</v>
      </c>
      <c r="F132" s="559">
        <f t="shared" si="8"/>
        <v>3558.2226995581259</v>
      </c>
      <c r="G132" s="560">
        <f t="shared" si="9"/>
        <v>1723607.9017862934</v>
      </c>
    </row>
    <row r="133" spans="2:8">
      <c r="B133" s="557">
        <v>105</v>
      </c>
      <c r="C133" s="558">
        <f t="shared" si="6"/>
        <v>105</v>
      </c>
      <c r="D133" s="559">
        <f t="shared" si="10"/>
        <v>1723607.9017862934</v>
      </c>
      <c r="E133" s="559">
        <f t="shared" si="7"/>
        <v>7828.0525539460841</v>
      </c>
      <c r="F133" s="559">
        <f t="shared" si="8"/>
        <v>3574.3829609852855</v>
      </c>
      <c r="G133" s="560">
        <f t="shared" si="9"/>
        <v>1720033.5188253082</v>
      </c>
    </row>
    <row r="134" spans="2:8">
      <c r="B134" s="557">
        <v>106</v>
      </c>
      <c r="C134" s="558">
        <f t="shared" si="6"/>
        <v>106</v>
      </c>
      <c r="D134" s="559">
        <f t="shared" si="10"/>
        <v>1720033.5188253082</v>
      </c>
      <c r="E134" s="559">
        <f t="shared" si="7"/>
        <v>7811.818897998276</v>
      </c>
      <c r="F134" s="559">
        <f t="shared" si="8"/>
        <v>3590.6166169330941</v>
      </c>
      <c r="G134" s="560">
        <f t="shared" si="9"/>
        <v>1716442.902208375</v>
      </c>
    </row>
    <row r="135" spans="2:8">
      <c r="B135" s="557">
        <v>107</v>
      </c>
      <c r="C135" s="558">
        <f t="shared" si="6"/>
        <v>107</v>
      </c>
      <c r="D135" s="559">
        <f t="shared" si="10"/>
        <v>1716442.902208375</v>
      </c>
      <c r="E135" s="559">
        <f t="shared" si="7"/>
        <v>7795.5115141963706</v>
      </c>
      <c r="F135" s="559">
        <f t="shared" si="8"/>
        <v>3606.924000734999</v>
      </c>
      <c r="G135" s="560">
        <f t="shared" si="9"/>
        <v>1712835.9782076401</v>
      </c>
    </row>
    <row r="136" spans="2:8">
      <c r="B136" s="562">
        <v>108</v>
      </c>
      <c r="C136" s="563">
        <f t="shared" si="6"/>
        <v>108</v>
      </c>
      <c r="D136" s="564">
        <f t="shared" si="10"/>
        <v>1712835.9782076401</v>
      </c>
      <c r="E136" s="564">
        <f t="shared" si="7"/>
        <v>7779.1300676930314</v>
      </c>
      <c r="F136" s="564">
        <f t="shared" si="8"/>
        <v>3623.3054472383369</v>
      </c>
      <c r="G136" s="565">
        <f t="shared" si="9"/>
        <v>1709212.6727604019</v>
      </c>
      <c r="H136" s="561"/>
    </row>
    <row r="137" spans="2:8">
      <c r="B137" s="574">
        <v>109</v>
      </c>
      <c r="C137" s="575">
        <f t="shared" si="6"/>
        <v>109</v>
      </c>
      <c r="D137" s="576">
        <f t="shared" si="10"/>
        <v>1709212.6727604019</v>
      </c>
      <c r="E137" s="576">
        <f t="shared" si="7"/>
        <v>7762.6742221201575</v>
      </c>
      <c r="F137" s="576">
        <f t="shared" si="8"/>
        <v>3639.7612928112112</v>
      </c>
      <c r="G137" s="577">
        <f t="shared" si="9"/>
        <v>1705572.9114675906</v>
      </c>
    </row>
    <row r="138" spans="2:8">
      <c r="B138" s="566">
        <v>110</v>
      </c>
      <c r="C138" s="567">
        <f t="shared" si="6"/>
        <v>110</v>
      </c>
      <c r="D138" s="568">
        <f t="shared" si="10"/>
        <v>1705572.9114675906</v>
      </c>
      <c r="E138" s="568">
        <f t="shared" si="7"/>
        <v>7746.1436395819746</v>
      </c>
      <c r="F138" s="568">
        <f t="shared" si="8"/>
        <v>3656.291875349395</v>
      </c>
      <c r="G138" s="569">
        <f t="shared" si="9"/>
        <v>1701916.6195922412</v>
      </c>
    </row>
    <row r="139" spans="2:8">
      <c r="B139" s="566">
        <v>111</v>
      </c>
      <c r="C139" s="567">
        <f t="shared" si="6"/>
        <v>111</v>
      </c>
      <c r="D139" s="568">
        <f t="shared" si="10"/>
        <v>1701916.6195922412</v>
      </c>
      <c r="E139" s="568">
        <f t="shared" si="7"/>
        <v>7729.537980648096</v>
      </c>
      <c r="F139" s="568">
        <f t="shared" si="8"/>
        <v>3672.8975342832728</v>
      </c>
      <c r="G139" s="569">
        <f t="shared" si="9"/>
        <v>1698243.7220579579</v>
      </c>
    </row>
    <row r="140" spans="2:8">
      <c r="B140" s="566">
        <v>112</v>
      </c>
      <c r="C140" s="567">
        <f t="shared" si="6"/>
        <v>112</v>
      </c>
      <c r="D140" s="568">
        <f t="shared" si="10"/>
        <v>1698243.7220579579</v>
      </c>
      <c r="E140" s="568">
        <f t="shared" si="7"/>
        <v>7712.8569043465595</v>
      </c>
      <c r="F140" s="568">
        <f t="shared" si="8"/>
        <v>3689.5786105848106</v>
      </c>
      <c r="G140" s="569">
        <f t="shared" si="9"/>
        <v>1694554.1434473731</v>
      </c>
    </row>
    <row r="141" spans="2:8">
      <c r="B141" s="566">
        <v>113</v>
      </c>
      <c r="C141" s="567">
        <f t="shared" si="6"/>
        <v>113</v>
      </c>
      <c r="D141" s="568">
        <f t="shared" si="10"/>
        <v>1694554.1434473731</v>
      </c>
      <c r="E141" s="568">
        <f t="shared" si="7"/>
        <v>7696.1000681568194</v>
      </c>
      <c r="F141" s="568">
        <f t="shared" si="8"/>
        <v>3706.3354467745494</v>
      </c>
      <c r="G141" s="569">
        <f t="shared" si="9"/>
        <v>1690847.8080005986</v>
      </c>
    </row>
    <row r="142" spans="2:8">
      <c r="B142" s="566">
        <v>114</v>
      </c>
      <c r="C142" s="567">
        <f t="shared" si="6"/>
        <v>114</v>
      </c>
      <c r="D142" s="568">
        <f t="shared" si="10"/>
        <v>1690847.8080005986</v>
      </c>
      <c r="E142" s="568">
        <f t="shared" si="7"/>
        <v>7679.2671280027189</v>
      </c>
      <c r="F142" s="568">
        <f t="shared" si="8"/>
        <v>3723.1683869286503</v>
      </c>
      <c r="G142" s="569">
        <f t="shared" si="9"/>
        <v>1687124.6396136698</v>
      </c>
    </row>
    <row r="143" spans="2:8">
      <c r="B143" s="566">
        <v>115</v>
      </c>
      <c r="C143" s="567">
        <f t="shared" si="6"/>
        <v>115</v>
      </c>
      <c r="D143" s="568">
        <f t="shared" si="10"/>
        <v>1687124.6396136698</v>
      </c>
      <c r="E143" s="568">
        <f t="shared" si="7"/>
        <v>7662.3577382454187</v>
      </c>
      <c r="F143" s="568">
        <f t="shared" si="8"/>
        <v>3740.0777766859514</v>
      </c>
      <c r="G143" s="569">
        <f t="shared" si="9"/>
        <v>1683384.5618369838</v>
      </c>
    </row>
    <row r="144" spans="2:8">
      <c r="B144" s="566">
        <v>116</v>
      </c>
      <c r="C144" s="567">
        <f t="shared" si="6"/>
        <v>116</v>
      </c>
      <c r="D144" s="568">
        <f t="shared" si="10"/>
        <v>1683384.5618369838</v>
      </c>
      <c r="E144" s="568">
        <f t="shared" si="7"/>
        <v>7645.3715516763032</v>
      </c>
      <c r="F144" s="568">
        <f t="shared" si="8"/>
        <v>3757.0639632550674</v>
      </c>
      <c r="G144" s="569">
        <f t="shared" si="9"/>
        <v>1679627.4978737286</v>
      </c>
    </row>
    <row r="145" spans="2:8">
      <c r="B145" s="566">
        <v>117</v>
      </c>
      <c r="C145" s="567">
        <f t="shared" si="6"/>
        <v>117</v>
      </c>
      <c r="D145" s="568">
        <f t="shared" si="10"/>
        <v>1679627.4978737286</v>
      </c>
      <c r="E145" s="568">
        <f t="shared" si="7"/>
        <v>7628.3082195098514</v>
      </c>
      <c r="F145" s="568">
        <f t="shared" si="8"/>
        <v>3774.1272954215174</v>
      </c>
      <c r="G145" s="569">
        <f t="shared" si="9"/>
        <v>1675853.3705783072</v>
      </c>
    </row>
    <row r="146" spans="2:8">
      <c r="B146" s="566">
        <v>118</v>
      </c>
      <c r="C146" s="567">
        <f t="shared" si="6"/>
        <v>118</v>
      </c>
      <c r="D146" s="568">
        <f t="shared" si="10"/>
        <v>1675853.3705783072</v>
      </c>
      <c r="E146" s="568">
        <f t="shared" si="7"/>
        <v>7611.1673913764789</v>
      </c>
      <c r="F146" s="568">
        <f t="shared" si="8"/>
        <v>3791.2681235548903</v>
      </c>
      <c r="G146" s="569">
        <f t="shared" si="9"/>
        <v>1672062.1024547522</v>
      </c>
    </row>
    <row r="147" spans="2:8">
      <c r="B147" s="566">
        <v>119</v>
      </c>
      <c r="C147" s="567">
        <f t="shared" si="6"/>
        <v>119</v>
      </c>
      <c r="D147" s="568">
        <f t="shared" si="10"/>
        <v>1672062.1024547522</v>
      </c>
      <c r="E147" s="568">
        <f t="shared" si="7"/>
        <v>7593.9487153153332</v>
      </c>
      <c r="F147" s="568">
        <f t="shared" si="8"/>
        <v>3808.4867996160351</v>
      </c>
      <c r="G147" s="569">
        <f t="shared" si="9"/>
        <v>1668253.6156551361</v>
      </c>
    </row>
    <row r="148" spans="2:8">
      <c r="B148" s="570">
        <v>120</v>
      </c>
      <c r="C148" s="571">
        <f t="shared" si="6"/>
        <v>120</v>
      </c>
      <c r="D148" s="572">
        <f t="shared" si="10"/>
        <v>1668253.6156551361</v>
      </c>
      <c r="E148" s="572">
        <f t="shared" si="7"/>
        <v>7576.6518377670791</v>
      </c>
      <c r="F148" s="572">
        <f t="shared" si="8"/>
        <v>3825.7836771642915</v>
      </c>
      <c r="G148" s="573">
        <f t="shared" si="9"/>
        <v>1664427.8319779718</v>
      </c>
      <c r="H148" s="561"/>
    </row>
    <row r="149" spans="2:8">
      <c r="B149" s="553">
        <v>121</v>
      </c>
      <c r="C149" s="554">
        <f t="shared" si="6"/>
        <v>121</v>
      </c>
      <c r="D149" s="555">
        <f t="shared" si="10"/>
        <v>1664427.8319779718</v>
      </c>
      <c r="E149" s="555">
        <f t="shared" si="7"/>
        <v>7559.2764035666232</v>
      </c>
      <c r="F149" s="555">
        <f t="shared" si="8"/>
        <v>3843.1591113647451</v>
      </c>
      <c r="G149" s="556">
        <f t="shared" si="9"/>
        <v>1660584.6728666071</v>
      </c>
    </row>
    <row r="150" spans="2:8">
      <c r="B150" s="557">
        <v>122</v>
      </c>
      <c r="C150" s="558">
        <f t="shared" si="6"/>
        <v>122</v>
      </c>
      <c r="D150" s="559">
        <f t="shared" si="10"/>
        <v>1660584.6728666071</v>
      </c>
      <c r="E150" s="559">
        <f t="shared" si="7"/>
        <v>7541.8220559358433</v>
      </c>
      <c r="F150" s="559">
        <f t="shared" si="8"/>
        <v>3860.6134589955263</v>
      </c>
      <c r="G150" s="560">
        <f t="shared" si="9"/>
        <v>1656724.0594076116</v>
      </c>
    </row>
    <row r="151" spans="2:8">
      <c r="B151" s="557">
        <v>123</v>
      </c>
      <c r="C151" s="558">
        <f t="shared" si="6"/>
        <v>123</v>
      </c>
      <c r="D151" s="559">
        <f t="shared" si="10"/>
        <v>1656724.0594076116</v>
      </c>
      <c r="E151" s="559">
        <f t="shared" si="7"/>
        <v>7524.2884364762376</v>
      </c>
      <c r="F151" s="559">
        <f t="shared" si="8"/>
        <v>3878.1470784551316</v>
      </c>
      <c r="G151" s="560">
        <f t="shared" si="9"/>
        <v>1652845.9123291564</v>
      </c>
    </row>
    <row r="152" spans="2:8">
      <c r="B152" s="557">
        <v>124</v>
      </c>
      <c r="C152" s="558">
        <f t="shared" si="6"/>
        <v>124</v>
      </c>
      <c r="D152" s="559">
        <f t="shared" si="10"/>
        <v>1652845.9123291564</v>
      </c>
      <c r="E152" s="559">
        <f t="shared" si="7"/>
        <v>7506.6751851615891</v>
      </c>
      <c r="F152" s="559">
        <f t="shared" si="8"/>
        <v>3895.7603297697815</v>
      </c>
      <c r="G152" s="560">
        <f t="shared" si="9"/>
        <v>1648950.1519993867</v>
      </c>
    </row>
    <row r="153" spans="2:8">
      <c r="B153" s="557">
        <v>125</v>
      </c>
      <c r="C153" s="558">
        <f t="shared" si="6"/>
        <v>125</v>
      </c>
      <c r="D153" s="559">
        <f t="shared" si="10"/>
        <v>1648950.1519993867</v>
      </c>
      <c r="E153" s="559">
        <f t="shared" si="7"/>
        <v>7488.981940330551</v>
      </c>
      <c r="F153" s="559">
        <f t="shared" si="8"/>
        <v>3913.45357460082</v>
      </c>
      <c r="G153" s="560">
        <f t="shared" si="9"/>
        <v>1645036.6984247859</v>
      </c>
    </row>
    <row r="154" spans="2:8">
      <c r="B154" s="557">
        <v>126</v>
      </c>
      <c r="C154" s="558">
        <f t="shared" si="6"/>
        <v>126</v>
      </c>
      <c r="D154" s="559">
        <f t="shared" si="10"/>
        <v>1645036.6984247859</v>
      </c>
      <c r="E154" s="559">
        <f t="shared" si="7"/>
        <v>7471.2083386792374</v>
      </c>
      <c r="F154" s="559">
        <f t="shared" si="8"/>
        <v>3931.2271762521323</v>
      </c>
      <c r="G154" s="560">
        <f t="shared" si="9"/>
        <v>1641105.4712485338</v>
      </c>
    </row>
    <row r="155" spans="2:8">
      <c r="B155" s="557">
        <v>127</v>
      </c>
      <c r="C155" s="558">
        <f t="shared" si="6"/>
        <v>127</v>
      </c>
      <c r="D155" s="559">
        <f t="shared" si="10"/>
        <v>1641105.4712485338</v>
      </c>
      <c r="E155" s="559">
        <f t="shared" si="7"/>
        <v>7453.3540152537589</v>
      </c>
      <c r="F155" s="559">
        <f t="shared" si="8"/>
        <v>3949.0814996776103</v>
      </c>
      <c r="G155" s="560">
        <f t="shared" si="9"/>
        <v>1637156.3897488562</v>
      </c>
    </row>
    <row r="156" spans="2:8">
      <c r="B156" s="557">
        <v>128</v>
      </c>
      <c r="C156" s="558">
        <f t="shared" si="6"/>
        <v>128</v>
      </c>
      <c r="D156" s="559">
        <f t="shared" si="10"/>
        <v>1637156.3897488562</v>
      </c>
      <c r="E156" s="559">
        <f t="shared" si="7"/>
        <v>7435.4186034427221</v>
      </c>
      <c r="F156" s="559">
        <f t="shared" si="8"/>
        <v>3967.0169114886467</v>
      </c>
      <c r="G156" s="560">
        <f t="shared" si="9"/>
        <v>1633189.3728373675</v>
      </c>
    </row>
    <row r="157" spans="2:8">
      <c r="B157" s="557">
        <v>129</v>
      </c>
      <c r="C157" s="558">
        <f t="shared" ref="C157:C220" si="11">IF(C$9*12&gt;=B157,"I/O",B157-(C$9*12))</f>
        <v>129</v>
      </c>
      <c r="D157" s="559">
        <f t="shared" si="10"/>
        <v>1633189.3728373675</v>
      </c>
      <c r="E157" s="559">
        <f t="shared" ref="E157:E220" si="12">IF(C157="I/O",C$5*C$6/12,-IPMT(C$6/12,C157,C$8*12,C$5))</f>
        <v>7417.4017349697124</v>
      </c>
      <c r="F157" s="559">
        <f t="shared" ref="F157:F220" si="13">IF(C157&lt;&gt;"I/O",-PPMT(C$6/12,C157,C$8*12,C$5),0)</f>
        <v>3985.0337799616577</v>
      </c>
      <c r="G157" s="560">
        <f t="shared" ref="G157:G220" si="14">D157-F157</f>
        <v>1629204.3390574057</v>
      </c>
    </row>
    <row r="158" spans="2:8">
      <c r="B158" s="557">
        <v>130</v>
      </c>
      <c r="C158" s="558">
        <f t="shared" si="11"/>
        <v>130</v>
      </c>
      <c r="D158" s="559">
        <f t="shared" ref="D158:D221" si="15">G157</f>
        <v>1629204.3390574057</v>
      </c>
      <c r="E158" s="559">
        <f t="shared" si="12"/>
        <v>7399.30303988572</v>
      </c>
      <c r="F158" s="559">
        <f t="shared" si="13"/>
        <v>4003.1324750456502</v>
      </c>
      <c r="G158" s="560">
        <f t="shared" si="14"/>
        <v>1625201.20658236</v>
      </c>
    </row>
    <row r="159" spans="2:8">
      <c r="B159" s="557">
        <v>131</v>
      </c>
      <c r="C159" s="558">
        <f t="shared" si="11"/>
        <v>131</v>
      </c>
      <c r="D159" s="559">
        <f t="shared" si="15"/>
        <v>1625201.20658236</v>
      </c>
      <c r="E159" s="559">
        <f t="shared" si="12"/>
        <v>7381.1221465615527</v>
      </c>
      <c r="F159" s="559">
        <f t="shared" si="13"/>
        <v>4021.3133683698156</v>
      </c>
      <c r="G159" s="560">
        <f t="shared" si="14"/>
        <v>1621179.8932139901</v>
      </c>
    </row>
    <row r="160" spans="2:8">
      <c r="B160" s="562">
        <v>132</v>
      </c>
      <c r="C160" s="563">
        <f t="shared" si="11"/>
        <v>132</v>
      </c>
      <c r="D160" s="564">
        <f t="shared" si="15"/>
        <v>1621179.8932139901</v>
      </c>
      <c r="E160" s="564">
        <f t="shared" si="12"/>
        <v>7362.858681680209</v>
      </c>
      <c r="F160" s="564">
        <f t="shared" si="13"/>
        <v>4039.5768332511611</v>
      </c>
      <c r="G160" s="565">
        <f t="shared" si="14"/>
        <v>1617140.316380739</v>
      </c>
      <c r="H160" s="561"/>
    </row>
    <row r="161" spans="2:8">
      <c r="B161" s="574">
        <v>133</v>
      </c>
      <c r="C161" s="575">
        <f t="shared" si="11"/>
        <v>133</v>
      </c>
      <c r="D161" s="576">
        <f t="shared" si="15"/>
        <v>1617140.316380739</v>
      </c>
      <c r="E161" s="576">
        <f t="shared" si="12"/>
        <v>7344.5122702291919</v>
      </c>
      <c r="F161" s="576">
        <f t="shared" si="13"/>
        <v>4057.9232447021768</v>
      </c>
      <c r="G161" s="577">
        <f t="shared" si="14"/>
        <v>1613082.3931360368</v>
      </c>
    </row>
    <row r="162" spans="2:8">
      <c r="B162" s="566">
        <v>134</v>
      </c>
      <c r="C162" s="567">
        <f t="shared" si="11"/>
        <v>134</v>
      </c>
      <c r="D162" s="568">
        <f t="shared" si="15"/>
        <v>1613082.3931360368</v>
      </c>
      <c r="E162" s="568">
        <f t="shared" si="12"/>
        <v>7326.0825354928365</v>
      </c>
      <c r="F162" s="568">
        <f t="shared" si="13"/>
        <v>4076.3529794385327</v>
      </c>
      <c r="G162" s="569">
        <f t="shared" si="14"/>
        <v>1609006.0401565982</v>
      </c>
    </row>
    <row r="163" spans="2:8">
      <c r="B163" s="566">
        <v>135</v>
      </c>
      <c r="C163" s="567">
        <f t="shared" si="11"/>
        <v>135</v>
      </c>
      <c r="D163" s="568">
        <f t="shared" si="15"/>
        <v>1609006.0401565982</v>
      </c>
      <c r="E163" s="568">
        <f t="shared" si="12"/>
        <v>7307.5690990445537</v>
      </c>
      <c r="F163" s="568">
        <f t="shared" si="13"/>
        <v>4094.866415886816</v>
      </c>
      <c r="G163" s="569">
        <f t="shared" si="14"/>
        <v>1604911.1737407113</v>
      </c>
    </row>
    <row r="164" spans="2:8">
      <c r="B164" s="566">
        <v>136</v>
      </c>
      <c r="C164" s="567">
        <f t="shared" si="11"/>
        <v>136</v>
      </c>
      <c r="D164" s="568">
        <f t="shared" si="15"/>
        <v>1604911.1737407113</v>
      </c>
      <c r="E164" s="568">
        <f t="shared" si="12"/>
        <v>7288.9715807390667</v>
      </c>
      <c r="F164" s="568">
        <f t="shared" si="13"/>
        <v>4113.4639341923021</v>
      </c>
      <c r="G164" s="569">
        <f t="shared" si="14"/>
        <v>1600797.7098065191</v>
      </c>
    </row>
    <row r="165" spans="2:8">
      <c r="B165" s="566">
        <v>137</v>
      </c>
      <c r="C165" s="567">
        <f t="shared" si="11"/>
        <v>137</v>
      </c>
      <c r="D165" s="568">
        <f t="shared" si="15"/>
        <v>1600797.7098065191</v>
      </c>
      <c r="E165" s="568">
        <f t="shared" si="12"/>
        <v>7270.2895987046113</v>
      </c>
      <c r="F165" s="568">
        <f t="shared" si="13"/>
        <v>4132.1459162267593</v>
      </c>
      <c r="G165" s="569">
        <f t="shared" si="14"/>
        <v>1596665.5638902923</v>
      </c>
    </row>
    <row r="166" spans="2:8">
      <c r="B166" s="566">
        <v>138</v>
      </c>
      <c r="C166" s="567">
        <f t="shared" si="11"/>
        <v>138</v>
      </c>
      <c r="D166" s="568">
        <f t="shared" si="15"/>
        <v>1596665.5638902923</v>
      </c>
      <c r="E166" s="568">
        <f t="shared" si="12"/>
        <v>7251.5227693350807</v>
      </c>
      <c r="F166" s="568">
        <f t="shared" si="13"/>
        <v>4150.9127455962889</v>
      </c>
      <c r="G166" s="569">
        <f t="shared" si="14"/>
        <v>1592514.6511446959</v>
      </c>
    </row>
    <row r="167" spans="2:8">
      <c r="B167" s="566">
        <v>139</v>
      </c>
      <c r="C167" s="567">
        <f t="shared" si="11"/>
        <v>139</v>
      </c>
      <c r="D167" s="568">
        <f t="shared" si="15"/>
        <v>1592514.6511446959</v>
      </c>
      <c r="E167" s="568">
        <f t="shared" si="12"/>
        <v>7232.6707072821655</v>
      </c>
      <c r="F167" s="568">
        <f t="shared" si="13"/>
        <v>4169.7648076492051</v>
      </c>
      <c r="G167" s="569">
        <f t="shared" si="14"/>
        <v>1588344.8863370467</v>
      </c>
    </row>
    <row r="168" spans="2:8">
      <c r="B168" s="566">
        <v>140</v>
      </c>
      <c r="C168" s="567">
        <f t="shared" si="11"/>
        <v>140</v>
      </c>
      <c r="D168" s="568">
        <f t="shared" si="15"/>
        <v>1588344.8863370467</v>
      </c>
      <c r="E168" s="568">
        <f t="shared" si="12"/>
        <v>7213.7330254474246</v>
      </c>
      <c r="F168" s="568">
        <f t="shared" si="13"/>
        <v>4188.702489483946</v>
      </c>
      <c r="G168" s="569">
        <f t="shared" si="14"/>
        <v>1584156.1838475629</v>
      </c>
    </row>
    <row r="169" spans="2:8">
      <c r="B169" s="566">
        <v>141</v>
      </c>
      <c r="C169" s="567">
        <f t="shared" si="11"/>
        <v>141</v>
      </c>
      <c r="D169" s="568">
        <f t="shared" si="15"/>
        <v>1584156.1838475629</v>
      </c>
      <c r="E169" s="568">
        <f t="shared" si="12"/>
        <v>7194.7093349743509</v>
      </c>
      <c r="F169" s="568">
        <f t="shared" si="13"/>
        <v>4207.7261799570188</v>
      </c>
      <c r="G169" s="569">
        <f t="shared" si="14"/>
        <v>1579948.457667606</v>
      </c>
    </row>
    <row r="170" spans="2:8">
      <c r="B170" s="566">
        <v>142</v>
      </c>
      <c r="C170" s="567">
        <f t="shared" si="11"/>
        <v>142</v>
      </c>
      <c r="D170" s="568">
        <f t="shared" si="15"/>
        <v>1579948.457667606</v>
      </c>
      <c r="E170" s="568">
        <f t="shared" si="12"/>
        <v>7175.5992452403807</v>
      </c>
      <c r="F170" s="568">
        <f t="shared" si="13"/>
        <v>4226.8362696909899</v>
      </c>
      <c r="G170" s="569">
        <f t="shared" si="14"/>
        <v>1575721.6213979151</v>
      </c>
    </row>
    <row r="171" spans="2:8">
      <c r="B171" s="566">
        <v>143</v>
      </c>
      <c r="C171" s="567">
        <f t="shared" si="11"/>
        <v>143</v>
      </c>
      <c r="D171" s="568">
        <f t="shared" si="15"/>
        <v>1575721.6213979151</v>
      </c>
      <c r="E171" s="568">
        <f t="shared" si="12"/>
        <v>7156.402363848867</v>
      </c>
      <c r="F171" s="568">
        <f t="shared" si="13"/>
        <v>4246.0331510825035</v>
      </c>
      <c r="G171" s="569">
        <f t="shared" si="14"/>
        <v>1571475.5882468326</v>
      </c>
    </row>
    <row r="172" spans="2:8">
      <c r="B172" s="570">
        <v>144</v>
      </c>
      <c r="C172" s="571">
        <f t="shared" si="11"/>
        <v>144</v>
      </c>
      <c r="D172" s="572">
        <f t="shared" si="15"/>
        <v>1571475.5882468326</v>
      </c>
      <c r="E172" s="572">
        <f t="shared" si="12"/>
        <v>7137.1182966210336</v>
      </c>
      <c r="F172" s="572">
        <f t="shared" si="13"/>
        <v>4265.3172183103361</v>
      </c>
      <c r="G172" s="573">
        <f t="shared" si="14"/>
        <v>1567210.2710285222</v>
      </c>
      <c r="H172" s="561"/>
    </row>
    <row r="173" spans="2:8">
      <c r="B173" s="553">
        <v>145</v>
      </c>
      <c r="C173" s="554">
        <f t="shared" si="11"/>
        <v>145</v>
      </c>
      <c r="D173" s="555">
        <f t="shared" si="15"/>
        <v>1567210.2710285222</v>
      </c>
      <c r="E173" s="555">
        <f t="shared" si="12"/>
        <v>7117.7466475878737</v>
      </c>
      <c r="F173" s="555">
        <f t="shared" si="13"/>
        <v>4284.688867343496</v>
      </c>
      <c r="G173" s="556">
        <f t="shared" si="14"/>
        <v>1562925.5821611786</v>
      </c>
    </row>
    <row r="174" spans="2:8">
      <c r="B174" s="557">
        <v>146</v>
      </c>
      <c r="C174" s="558">
        <f t="shared" si="11"/>
        <v>146</v>
      </c>
      <c r="D174" s="559">
        <f t="shared" si="15"/>
        <v>1562925.5821611786</v>
      </c>
      <c r="E174" s="559">
        <f t="shared" si="12"/>
        <v>7098.2870189820205</v>
      </c>
      <c r="F174" s="559">
        <f t="shared" si="13"/>
        <v>4304.1484959493473</v>
      </c>
      <c r="G174" s="560">
        <f t="shared" si="14"/>
        <v>1558621.4336652292</v>
      </c>
    </row>
    <row r="175" spans="2:8">
      <c r="B175" s="557">
        <v>147</v>
      </c>
      <c r="C175" s="558">
        <f t="shared" si="11"/>
        <v>147</v>
      </c>
      <c r="D175" s="559">
        <f t="shared" si="15"/>
        <v>1558621.4336652292</v>
      </c>
      <c r="E175" s="559">
        <f t="shared" si="12"/>
        <v>7078.7390112295852</v>
      </c>
      <c r="F175" s="559">
        <f t="shared" si="13"/>
        <v>4323.6965037017844</v>
      </c>
      <c r="G175" s="560">
        <f t="shared" si="14"/>
        <v>1554297.7371615274</v>
      </c>
    </row>
    <row r="176" spans="2:8">
      <c r="B176" s="557">
        <v>148</v>
      </c>
      <c r="C176" s="558">
        <f t="shared" si="11"/>
        <v>148</v>
      </c>
      <c r="D176" s="559">
        <f t="shared" si="15"/>
        <v>1554297.7371615274</v>
      </c>
      <c r="E176" s="559">
        <f t="shared" si="12"/>
        <v>7059.1022229419395</v>
      </c>
      <c r="F176" s="559">
        <f t="shared" si="13"/>
        <v>4343.3332919894301</v>
      </c>
      <c r="G176" s="560">
        <f t="shared" si="14"/>
        <v>1549954.4038695379</v>
      </c>
    </row>
    <row r="177" spans="2:8">
      <c r="B177" s="557">
        <v>149</v>
      </c>
      <c r="C177" s="558">
        <f t="shared" si="11"/>
        <v>149</v>
      </c>
      <c r="D177" s="559">
        <f t="shared" si="15"/>
        <v>1549954.4038695379</v>
      </c>
      <c r="E177" s="559">
        <f t="shared" si="12"/>
        <v>7039.3762509074877</v>
      </c>
      <c r="F177" s="559">
        <f t="shared" si="13"/>
        <v>4363.059264023882</v>
      </c>
      <c r="G177" s="560">
        <f t="shared" si="14"/>
        <v>1545591.3446055141</v>
      </c>
    </row>
    <row r="178" spans="2:8">
      <c r="B178" s="557">
        <v>150</v>
      </c>
      <c r="C178" s="558">
        <f t="shared" si="11"/>
        <v>150</v>
      </c>
      <c r="D178" s="559">
        <f t="shared" si="15"/>
        <v>1545591.3446055141</v>
      </c>
      <c r="E178" s="559">
        <f t="shared" si="12"/>
        <v>7019.56069008338</v>
      </c>
      <c r="F178" s="559">
        <f t="shared" si="13"/>
        <v>4382.8748248479897</v>
      </c>
      <c r="G178" s="560">
        <f t="shared" si="14"/>
        <v>1541208.4697806661</v>
      </c>
    </row>
    <row r="179" spans="2:8">
      <c r="B179" s="557">
        <v>151</v>
      </c>
      <c r="C179" s="558">
        <f t="shared" si="11"/>
        <v>151</v>
      </c>
      <c r="D179" s="559">
        <f t="shared" si="15"/>
        <v>1541208.4697806661</v>
      </c>
      <c r="E179" s="559">
        <f t="shared" si="12"/>
        <v>6999.6551335871955</v>
      </c>
      <c r="F179" s="559">
        <f t="shared" si="13"/>
        <v>4402.7803813441742</v>
      </c>
      <c r="G179" s="560">
        <f t="shared" si="14"/>
        <v>1536805.6893993218</v>
      </c>
    </row>
    <row r="180" spans="2:8">
      <c r="B180" s="557">
        <v>152</v>
      </c>
      <c r="C180" s="558">
        <f t="shared" si="11"/>
        <v>152</v>
      </c>
      <c r="D180" s="559">
        <f t="shared" si="15"/>
        <v>1536805.6893993218</v>
      </c>
      <c r="E180" s="559">
        <f t="shared" si="12"/>
        <v>6979.6591726885899</v>
      </c>
      <c r="F180" s="559">
        <f t="shared" si="13"/>
        <v>4422.7763422427788</v>
      </c>
      <c r="G180" s="560">
        <f t="shared" si="14"/>
        <v>1532382.9130570791</v>
      </c>
    </row>
    <row r="181" spans="2:8">
      <c r="B181" s="557">
        <v>153</v>
      </c>
      <c r="C181" s="558">
        <f t="shared" si="11"/>
        <v>153</v>
      </c>
      <c r="D181" s="559">
        <f t="shared" si="15"/>
        <v>1532382.9130570791</v>
      </c>
      <c r="E181" s="559">
        <f t="shared" si="12"/>
        <v>6959.5723968009042</v>
      </c>
      <c r="F181" s="559">
        <f t="shared" si="13"/>
        <v>4442.8631181304654</v>
      </c>
      <c r="G181" s="560">
        <f t="shared" si="14"/>
        <v>1527940.0499389486</v>
      </c>
    </row>
    <row r="182" spans="2:8">
      <c r="B182" s="557">
        <v>154</v>
      </c>
      <c r="C182" s="558">
        <f t="shared" si="11"/>
        <v>154</v>
      </c>
      <c r="D182" s="559">
        <f t="shared" si="15"/>
        <v>1527940.0499389486</v>
      </c>
      <c r="E182" s="559">
        <f t="shared" si="12"/>
        <v>6939.3943934727286</v>
      </c>
      <c r="F182" s="559">
        <f t="shared" si="13"/>
        <v>4463.0411214586411</v>
      </c>
      <c r="G182" s="560">
        <f t="shared" si="14"/>
        <v>1523477.00881749</v>
      </c>
    </row>
    <row r="183" spans="2:8">
      <c r="B183" s="557">
        <v>155</v>
      </c>
      <c r="C183" s="558">
        <f t="shared" si="11"/>
        <v>155</v>
      </c>
      <c r="D183" s="559">
        <f t="shared" si="15"/>
        <v>1523477.00881749</v>
      </c>
      <c r="E183" s="559">
        <f t="shared" si="12"/>
        <v>6919.1247483794368</v>
      </c>
      <c r="F183" s="559">
        <f t="shared" si="13"/>
        <v>4483.3107665519328</v>
      </c>
      <c r="G183" s="560">
        <f t="shared" si="14"/>
        <v>1518993.6980509381</v>
      </c>
    </row>
    <row r="184" spans="2:8">
      <c r="B184" s="562">
        <v>156</v>
      </c>
      <c r="C184" s="563">
        <f t="shared" si="11"/>
        <v>156</v>
      </c>
      <c r="D184" s="564">
        <f t="shared" si="15"/>
        <v>1518993.6980509381</v>
      </c>
      <c r="E184" s="564">
        <f t="shared" si="12"/>
        <v>6898.7630453146821</v>
      </c>
      <c r="F184" s="564">
        <f t="shared" si="13"/>
        <v>4503.6724696166893</v>
      </c>
      <c r="G184" s="565">
        <f t="shared" si="14"/>
        <v>1514490.0255813214</v>
      </c>
      <c r="H184" s="561"/>
    </row>
    <row r="185" spans="2:8">
      <c r="B185" s="574">
        <v>157</v>
      </c>
      <c r="C185" s="575">
        <f t="shared" si="11"/>
        <v>157</v>
      </c>
      <c r="D185" s="576">
        <f t="shared" si="15"/>
        <v>1514490.0255813214</v>
      </c>
      <c r="E185" s="576">
        <f t="shared" si="12"/>
        <v>6878.3088661818392</v>
      </c>
      <c r="F185" s="576">
        <f t="shared" si="13"/>
        <v>4524.1266487495313</v>
      </c>
      <c r="G185" s="577">
        <f t="shared" si="14"/>
        <v>1509965.898932572</v>
      </c>
    </row>
    <row r="186" spans="2:8">
      <c r="B186" s="566">
        <v>158</v>
      </c>
      <c r="C186" s="567">
        <f t="shared" si="11"/>
        <v>158</v>
      </c>
      <c r="D186" s="568">
        <f t="shared" si="15"/>
        <v>1509965.898932572</v>
      </c>
      <c r="E186" s="568">
        <f t="shared" si="12"/>
        <v>6857.7617909854334</v>
      </c>
      <c r="F186" s="568">
        <f t="shared" si="13"/>
        <v>4544.6737239459353</v>
      </c>
      <c r="G186" s="569">
        <f t="shared" si="14"/>
        <v>1505421.2252086261</v>
      </c>
    </row>
    <row r="187" spans="2:8">
      <c r="B187" s="566">
        <v>159</v>
      </c>
      <c r="C187" s="567">
        <f t="shared" si="11"/>
        <v>159</v>
      </c>
      <c r="D187" s="568">
        <f t="shared" si="15"/>
        <v>1505421.2252086261</v>
      </c>
      <c r="E187" s="568">
        <f t="shared" si="12"/>
        <v>6837.1213978225132</v>
      </c>
      <c r="F187" s="568">
        <f t="shared" si="13"/>
        <v>4565.3141171088564</v>
      </c>
      <c r="G187" s="569">
        <f t="shared" si="14"/>
        <v>1500855.9110915172</v>
      </c>
    </row>
    <row r="188" spans="2:8">
      <c r="B188" s="566">
        <v>160</v>
      </c>
      <c r="C188" s="567">
        <f t="shared" si="11"/>
        <v>160</v>
      </c>
      <c r="D188" s="568">
        <f t="shared" si="15"/>
        <v>1500855.9110915172</v>
      </c>
      <c r="E188" s="568">
        <f t="shared" si="12"/>
        <v>6816.3872628739773</v>
      </c>
      <c r="F188" s="568">
        <f t="shared" si="13"/>
        <v>4586.0482520573933</v>
      </c>
      <c r="G188" s="569">
        <f t="shared" si="14"/>
        <v>1496269.8628394599</v>
      </c>
    </row>
    <row r="189" spans="2:8">
      <c r="B189" s="566">
        <v>161</v>
      </c>
      <c r="C189" s="567">
        <f t="shared" si="11"/>
        <v>161</v>
      </c>
      <c r="D189" s="568">
        <f t="shared" si="15"/>
        <v>1496269.8628394599</v>
      </c>
      <c r="E189" s="568">
        <f t="shared" si="12"/>
        <v>6795.5589603958833</v>
      </c>
      <c r="F189" s="568">
        <f t="shared" si="13"/>
        <v>4606.8765545354872</v>
      </c>
      <c r="G189" s="569">
        <f t="shared" si="14"/>
        <v>1491662.9862849244</v>
      </c>
    </row>
    <row r="190" spans="2:8">
      <c r="B190" s="566">
        <v>162</v>
      </c>
      <c r="C190" s="567">
        <f t="shared" si="11"/>
        <v>162</v>
      </c>
      <c r="D190" s="568">
        <f t="shared" si="15"/>
        <v>1491662.9862849244</v>
      </c>
      <c r="E190" s="568">
        <f t="shared" si="12"/>
        <v>6774.6360627107006</v>
      </c>
      <c r="F190" s="568">
        <f t="shared" si="13"/>
        <v>4627.7994522206691</v>
      </c>
      <c r="G190" s="569">
        <f t="shared" si="14"/>
        <v>1487035.1868327039</v>
      </c>
    </row>
    <row r="191" spans="2:8">
      <c r="B191" s="566">
        <v>163</v>
      </c>
      <c r="C191" s="567">
        <f t="shared" si="11"/>
        <v>163</v>
      </c>
      <c r="D191" s="568">
        <f t="shared" si="15"/>
        <v>1487035.1868327039</v>
      </c>
      <c r="E191" s="568">
        <f t="shared" si="12"/>
        <v>6753.6181401985314</v>
      </c>
      <c r="F191" s="568">
        <f t="shared" si="13"/>
        <v>4648.8173747328383</v>
      </c>
      <c r="G191" s="569">
        <f t="shared" si="14"/>
        <v>1482386.3694579711</v>
      </c>
    </row>
    <row r="192" spans="2:8">
      <c r="B192" s="566">
        <v>164</v>
      </c>
      <c r="C192" s="567">
        <f t="shared" si="11"/>
        <v>164</v>
      </c>
      <c r="D192" s="568">
        <f t="shared" si="15"/>
        <v>1482386.3694579711</v>
      </c>
      <c r="E192" s="568">
        <f t="shared" si="12"/>
        <v>6732.5047612882863</v>
      </c>
      <c r="F192" s="568">
        <f t="shared" si="13"/>
        <v>4669.9307536430824</v>
      </c>
      <c r="G192" s="569">
        <f t="shared" si="14"/>
        <v>1477716.4387043279</v>
      </c>
    </row>
    <row r="193" spans="2:8">
      <c r="B193" s="566">
        <v>165</v>
      </c>
      <c r="C193" s="567">
        <f t="shared" si="11"/>
        <v>165</v>
      </c>
      <c r="D193" s="568">
        <f t="shared" si="15"/>
        <v>1477716.4387043279</v>
      </c>
      <c r="E193" s="568">
        <f t="shared" si="12"/>
        <v>6711.2954924488249</v>
      </c>
      <c r="F193" s="568">
        <f t="shared" si="13"/>
        <v>4691.1400224825447</v>
      </c>
      <c r="G193" s="569">
        <f t="shared" si="14"/>
        <v>1473025.2986818454</v>
      </c>
    </row>
    <row r="194" spans="2:8">
      <c r="B194" s="566">
        <v>166</v>
      </c>
      <c r="C194" s="567">
        <f t="shared" si="11"/>
        <v>166</v>
      </c>
      <c r="D194" s="568">
        <f t="shared" si="15"/>
        <v>1473025.2986818454</v>
      </c>
      <c r="E194" s="568">
        <f t="shared" si="12"/>
        <v>6689.9898981800507</v>
      </c>
      <c r="F194" s="568">
        <f t="shared" si="13"/>
        <v>4712.4456167513199</v>
      </c>
      <c r="G194" s="569">
        <f t="shared" si="14"/>
        <v>1468312.8530650942</v>
      </c>
    </row>
    <row r="195" spans="2:8">
      <c r="B195" s="566">
        <v>167</v>
      </c>
      <c r="C195" s="567">
        <f t="shared" si="11"/>
        <v>167</v>
      </c>
      <c r="D195" s="568">
        <f t="shared" si="15"/>
        <v>1468312.8530650942</v>
      </c>
      <c r="E195" s="568">
        <f t="shared" si="12"/>
        <v>6668.5875410039707</v>
      </c>
      <c r="F195" s="568">
        <f t="shared" si="13"/>
        <v>4733.8479739273989</v>
      </c>
      <c r="G195" s="569">
        <f t="shared" si="14"/>
        <v>1463579.0050911668</v>
      </c>
    </row>
    <row r="196" spans="2:8">
      <c r="B196" s="570">
        <v>168</v>
      </c>
      <c r="C196" s="571">
        <f t="shared" si="11"/>
        <v>168</v>
      </c>
      <c r="D196" s="572">
        <f t="shared" si="15"/>
        <v>1463579.0050911668</v>
      </c>
      <c r="E196" s="572">
        <f t="shared" si="12"/>
        <v>6647.0879814557165</v>
      </c>
      <c r="F196" s="572">
        <f t="shared" si="13"/>
        <v>4755.3475334756522</v>
      </c>
      <c r="G196" s="573">
        <f t="shared" si="14"/>
        <v>1458823.6575576912</v>
      </c>
      <c r="H196" s="561"/>
    </row>
    <row r="197" spans="2:8">
      <c r="B197" s="553">
        <v>169</v>
      </c>
      <c r="C197" s="554">
        <f t="shared" si="11"/>
        <v>169</v>
      </c>
      <c r="D197" s="555">
        <f t="shared" si="15"/>
        <v>1458823.6575576912</v>
      </c>
      <c r="E197" s="555">
        <f t="shared" si="12"/>
        <v>6625.4907780745161</v>
      </c>
      <c r="F197" s="555">
        <f t="shared" si="13"/>
        <v>4776.9447368568553</v>
      </c>
      <c r="G197" s="556">
        <f t="shared" si="14"/>
        <v>1454046.7128208342</v>
      </c>
    </row>
    <row r="198" spans="2:8">
      <c r="B198" s="557">
        <v>170</v>
      </c>
      <c r="C198" s="558">
        <f t="shared" si="11"/>
        <v>170</v>
      </c>
      <c r="D198" s="559">
        <f t="shared" si="15"/>
        <v>1454046.7128208342</v>
      </c>
      <c r="E198" s="559">
        <f t="shared" si="12"/>
        <v>6603.7954873946237</v>
      </c>
      <c r="F198" s="559">
        <f t="shared" si="13"/>
        <v>4798.6400275367459</v>
      </c>
      <c r="G198" s="560">
        <f t="shared" si="14"/>
        <v>1449248.0727932975</v>
      </c>
    </row>
    <row r="199" spans="2:8">
      <c r="B199" s="557">
        <v>171</v>
      </c>
      <c r="C199" s="558">
        <f t="shared" si="11"/>
        <v>171</v>
      </c>
      <c r="D199" s="559">
        <f t="shared" si="15"/>
        <v>1449248.0727932975</v>
      </c>
      <c r="E199" s="559">
        <f t="shared" si="12"/>
        <v>6582.0016639362266</v>
      </c>
      <c r="F199" s="559">
        <f t="shared" si="13"/>
        <v>4820.4338509951422</v>
      </c>
      <c r="G199" s="560">
        <f t="shared" si="14"/>
        <v>1444427.6389423024</v>
      </c>
    </row>
    <row r="200" spans="2:8">
      <c r="B200" s="557">
        <v>172</v>
      </c>
      <c r="C200" s="558">
        <f t="shared" si="11"/>
        <v>172</v>
      </c>
      <c r="D200" s="559">
        <f t="shared" si="15"/>
        <v>1444427.6389423024</v>
      </c>
      <c r="E200" s="559">
        <f t="shared" si="12"/>
        <v>6560.108860196292</v>
      </c>
      <c r="F200" s="559">
        <f t="shared" si="13"/>
        <v>4842.3266547350777</v>
      </c>
      <c r="G200" s="560">
        <f t="shared" si="14"/>
        <v>1439585.3122875674</v>
      </c>
    </row>
    <row r="201" spans="2:8">
      <c r="B201" s="557">
        <v>173</v>
      </c>
      <c r="C201" s="558">
        <f t="shared" si="11"/>
        <v>173</v>
      </c>
      <c r="D201" s="559">
        <f t="shared" si="15"/>
        <v>1439585.3122875674</v>
      </c>
      <c r="E201" s="559">
        <f t="shared" si="12"/>
        <v>6538.1166266393702</v>
      </c>
      <c r="F201" s="559">
        <f t="shared" si="13"/>
        <v>4864.3188882920003</v>
      </c>
      <c r="G201" s="560">
        <f t="shared" si="14"/>
        <v>1434720.9933992755</v>
      </c>
    </row>
    <row r="202" spans="2:8">
      <c r="B202" s="557">
        <v>174</v>
      </c>
      <c r="C202" s="558">
        <f t="shared" si="11"/>
        <v>174</v>
      </c>
      <c r="D202" s="559">
        <f t="shared" si="15"/>
        <v>1434720.9933992755</v>
      </c>
      <c r="E202" s="559">
        <f t="shared" si="12"/>
        <v>6516.0245116883762</v>
      </c>
      <c r="F202" s="559">
        <f t="shared" si="13"/>
        <v>4886.4110032429935</v>
      </c>
      <c r="G202" s="560">
        <f t="shared" si="14"/>
        <v>1429834.5823960325</v>
      </c>
    </row>
    <row r="203" spans="2:8">
      <c r="B203" s="557">
        <v>175</v>
      </c>
      <c r="C203" s="558">
        <f t="shared" si="11"/>
        <v>175</v>
      </c>
      <c r="D203" s="559">
        <f t="shared" si="15"/>
        <v>1429834.5823960325</v>
      </c>
      <c r="E203" s="559">
        <f t="shared" si="12"/>
        <v>6493.8320617153158</v>
      </c>
      <c r="F203" s="559">
        <f t="shared" si="13"/>
        <v>4908.6034532160547</v>
      </c>
      <c r="G203" s="560">
        <f t="shared" si="14"/>
        <v>1424925.9789428164</v>
      </c>
    </row>
    <row r="204" spans="2:8">
      <c r="B204" s="557">
        <v>176</v>
      </c>
      <c r="C204" s="558">
        <f t="shared" si="11"/>
        <v>176</v>
      </c>
      <c r="D204" s="559">
        <f t="shared" si="15"/>
        <v>1424925.9789428164</v>
      </c>
      <c r="E204" s="559">
        <f t="shared" si="12"/>
        <v>6471.5388210319579</v>
      </c>
      <c r="F204" s="559">
        <f t="shared" si="13"/>
        <v>4930.8966938994117</v>
      </c>
      <c r="G204" s="560">
        <f t="shared" si="14"/>
        <v>1419995.0822489171</v>
      </c>
    </row>
    <row r="205" spans="2:8">
      <c r="B205" s="557">
        <v>177</v>
      </c>
      <c r="C205" s="558">
        <f t="shared" si="11"/>
        <v>177</v>
      </c>
      <c r="D205" s="559">
        <f t="shared" si="15"/>
        <v>1419995.0822489171</v>
      </c>
      <c r="E205" s="559">
        <f t="shared" si="12"/>
        <v>6449.1443318804986</v>
      </c>
      <c r="F205" s="559">
        <f t="shared" si="13"/>
        <v>4953.291183050871</v>
      </c>
      <c r="G205" s="560">
        <f t="shared" si="14"/>
        <v>1415041.7910658661</v>
      </c>
    </row>
    <row r="206" spans="2:8">
      <c r="B206" s="557">
        <v>178</v>
      </c>
      <c r="C206" s="558">
        <f t="shared" si="11"/>
        <v>178</v>
      </c>
      <c r="D206" s="559">
        <f t="shared" si="15"/>
        <v>1415041.7910658661</v>
      </c>
      <c r="E206" s="559">
        <f t="shared" si="12"/>
        <v>6426.648134424142</v>
      </c>
      <c r="F206" s="559">
        <f t="shared" si="13"/>
        <v>4975.7873805072277</v>
      </c>
      <c r="G206" s="560">
        <f t="shared" si="14"/>
        <v>1410066.0036853589</v>
      </c>
    </row>
    <row r="207" spans="2:8">
      <c r="B207" s="557">
        <v>179</v>
      </c>
      <c r="C207" s="558">
        <f t="shared" si="11"/>
        <v>179</v>
      </c>
      <c r="D207" s="559">
        <f t="shared" si="15"/>
        <v>1410066.0036853589</v>
      </c>
      <c r="E207" s="559">
        <f t="shared" si="12"/>
        <v>6404.0497667376721</v>
      </c>
      <c r="F207" s="559">
        <f t="shared" si="13"/>
        <v>4998.3857481936975</v>
      </c>
      <c r="G207" s="560">
        <f t="shared" si="14"/>
        <v>1405067.6179371653</v>
      </c>
    </row>
    <row r="208" spans="2:8">
      <c r="B208" s="562">
        <v>180</v>
      </c>
      <c r="C208" s="563">
        <f t="shared" si="11"/>
        <v>180</v>
      </c>
      <c r="D208" s="564">
        <f t="shared" si="15"/>
        <v>1405067.6179371653</v>
      </c>
      <c r="E208" s="564">
        <f t="shared" si="12"/>
        <v>6381.3487647979582</v>
      </c>
      <c r="F208" s="564">
        <f t="shared" si="13"/>
        <v>5021.0867501334105</v>
      </c>
      <c r="G208" s="565">
        <f t="shared" si="14"/>
        <v>1400046.5311870319</v>
      </c>
      <c r="H208" s="561"/>
    </row>
    <row r="209" spans="2:8">
      <c r="B209" s="574">
        <v>181</v>
      </c>
      <c r="C209" s="575">
        <f t="shared" si="11"/>
        <v>181</v>
      </c>
      <c r="D209" s="576">
        <f t="shared" si="15"/>
        <v>1400046.5311870319</v>
      </c>
      <c r="E209" s="576">
        <f t="shared" si="12"/>
        <v>6358.5446624744372</v>
      </c>
      <c r="F209" s="576">
        <f t="shared" si="13"/>
        <v>5043.8908524569324</v>
      </c>
      <c r="G209" s="577">
        <f t="shared" si="14"/>
        <v>1395002.640334575</v>
      </c>
    </row>
    <row r="210" spans="2:8">
      <c r="B210" s="566">
        <v>182</v>
      </c>
      <c r="C210" s="567">
        <f t="shared" si="11"/>
        <v>182</v>
      </c>
      <c r="D210" s="568">
        <f t="shared" si="15"/>
        <v>1395002.640334575</v>
      </c>
      <c r="E210" s="568">
        <f t="shared" si="12"/>
        <v>6335.6369915195273</v>
      </c>
      <c r="F210" s="568">
        <f t="shared" si="13"/>
        <v>5066.7985234118423</v>
      </c>
      <c r="G210" s="569">
        <f t="shared" si="14"/>
        <v>1389935.8418111631</v>
      </c>
    </row>
    <row r="211" spans="2:8">
      <c r="B211" s="566">
        <v>183</v>
      </c>
      <c r="C211" s="567">
        <f t="shared" si="11"/>
        <v>183</v>
      </c>
      <c r="D211" s="568">
        <f t="shared" si="15"/>
        <v>1389935.8418111631</v>
      </c>
      <c r="E211" s="568">
        <f t="shared" si="12"/>
        <v>6312.6252815590342</v>
      </c>
      <c r="F211" s="568">
        <f t="shared" si="13"/>
        <v>5089.8102333723364</v>
      </c>
      <c r="G211" s="569">
        <f t="shared" si="14"/>
        <v>1384846.0315777909</v>
      </c>
    </row>
    <row r="212" spans="2:8">
      <c r="B212" s="566">
        <v>184</v>
      </c>
      <c r="C212" s="567">
        <f t="shared" si="11"/>
        <v>184</v>
      </c>
      <c r="D212" s="568">
        <f t="shared" si="15"/>
        <v>1384846.0315777909</v>
      </c>
      <c r="E212" s="568">
        <f t="shared" si="12"/>
        <v>6289.5090600824669</v>
      </c>
      <c r="F212" s="568">
        <f t="shared" si="13"/>
        <v>5112.9264548489027</v>
      </c>
      <c r="G212" s="569">
        <f t="shared" si="14"/>
        <v>1379733.105122942</v>
      </c>
    </row>
    <row r="213" spans="2:8">
      <c r="B213" s="566">
        <v>185</v>
      </c>
      <c r="C213" s="567">
        <f t="shared" si="11"/>
        <v>185</v>
      </c>
      <c r="D213" s="568">
        <f t="shared" si="15"/>
        <v>1379733.105122942</v>
      </c>
      <c r="E213" s="568">
        <f t="shared" si="12"/>
        <v>6266.2878524333619</v>
      </c>
      <c r="F213" s="568">
        <f t="shared" si="13"/>
        <v>5136.1476624980087</v>
      </c>
      <c r="G213" s="569">
        <f t="shared" si="14"/>
        <v>1374596.957460444</v>
      </c>
    </row>
    <row r="214" spans="2:8">
      <c r="B214" s="566">
        <v>186</v>
      </c>
      <c r="C214" s="567">
        <f t="shared" si="11"/>
        <v>186</v>
      </c>
      <c r="D214" s="568">
        <f t="shared" si="15"/>
        <v>1374596.957460444</v>
      </c>
      <c r="E214" s="568">
        <f t="shared" si="12"/>
        <v>6242.9611817995155</v>
      </c>
      <c r="F214" s="568">
        <f t="shared" si="13"/>
        <v>5159.4743331318541</v>
      </c>
      <c r="G214" s="569">
        <f t="shared" si="14"/>
        <v>1369437.483127312</v>
      </c>
    </row>
    <row r="215" spans="2:8">
      <c r="B215" s="566">
        <v>187</v>
      </c>
      <c r="C215" s="567">
        <f t="shared" si="11"/>
        <v>187</v>
      </c>
      <c r="D215" s="568">
        <f t="shared" si="15"/>
        <v>1369437.483127312</v>
      </c>
      <c r="E215" s="568">
        <f t="shared" si="12"/>
        <v>6219.5285692032085</v>
      </c>
      <c r="F215" s="568">
        <f t="shared" si="13"/>
        <v>5182.9069457281612</v>
      </c>
      <c r="G215" s="569">
        <f t="shared" si="14"/>
        <v>1364254.5761815838</v>
      </c>
    </row>
    <row r="216" spans="2:8">
      <c r="B216" s="566">
        <v>188</v>
      </c>
      <c r="C216" s="567">
        <f t="shared" si="11"/>
        <v>188</v>
      </c>
      <c r="D216" s="568">
        <f t="shared" si="15"/>
        <v>1364254.5761815838</v>
      </c>
      <c r="E216" s="568">
        <f t="shared" si="12"/>
        <v>6195.9895334913599</v>
      </c>
      <c r="F216" s="568">
        <f t="shared" si="13"/>
        <v>5206.4459814400097</v>
      </c>
      <c r="G216" s="569">
        <f t="shared" si="14"/>
        <v>1359048.1302001439</v>
      </c>
    </row>
    <row r="217" spans="2:8">
      <c r="B217" s="566">
        <v>189</v>
      </c>
      <c r="C217" s="567">
        <f t="shared" si="11"/>
        <v>189</v>
      </c>
      <c r="D217" s="568">
        <f t="shared" si="15"/>
        <v>1359048.1302001439</v>
      </c>
      <c r="E217" s="568">
        <f t="shared" si="12"/>
        <v>6172.3435913256535</v>
      </c>
      <c r="F217" s="568">
        <f t="shared" si="13"/>
        <v>5230.0919236057152</v>
      </c>
      <c r="G217" s="569">
        <f t="shared" si="14"/>
        <v>1353818.0382765383</v>
      </c>
    </row>
    <row r="218" spans="2:8">
      <c r="B218" s="566">
        <v>190</v>
      </c>
      <c r="C218" s="567">
        <f t="shared" si="11"/>
        <v>190</v>
      </c>
      <c r="D218" s="568">
        <f t="shared" si="15"/>
        <v>1353818.0382765383</v>
      </c>
      <c r="E218" s="568">
        <f t="shared" si="12"/>
        <v>6148.5902571726101</v>
      </c>
      <c r="F218" s="568">
        <f t="shared" si="13"/>
        <v>5253.8452577587586</v>
      </c>
      <c r="G218" s="569">
        <f t="shared" si="14"/>
        <v>1348564.1930187794</v>
      </c>
    </row>
    <row r="219" spans="2:8">
      <c r="B219" s="566">
        <v>191</v>
      </c>
      <c r="C219" s="567">
        <f t="shared" si="11"/>
        <v>191</v>
      </c>
      <c r="D219" s="568">
        <f t="shared" si="15"/>
        <v>1348564.1930187794</v>
      </c>
      <c r="E219" s="568">
        <f t="shared" si="12"/>
        <v>6124.7290432936234</v>
      </c>
      <c r="F219" s="568">
        <f t="shared" si="13"/>
        <v>5277.7064716377463</v>
      </c>
      <c r="G219" s="569">
        <f t="shared" si="14"/>
        <v>1343286.4865471416</v>
      </c>
    </row>
    <row r="220" spans="2:8">
      <c r="B220" s="570">
        <v>192</v>
      </c>
      <c r="C220" s="571">
        <f t="shared" si="11"/>
        <v>192</v>
      </c>
      <c r="D220" s="572">
        <f t="shared" si="15"/>
        <v>1343286.4865471416</v>
      </c>
      <c r="E220" s="572">
        <f t="shared" si="12"/>
        <v>6100.7594597349353</v>
      </c>
      <c r="F220" s="572">
        <f t="shared" si="13"/>
        <v>5301.6760551964344</v>
      </c>
      <c r="G220" s="573">
        <f t="shared" si="14"/>
        <v>1337984.8104919451</v>
      </c>
      <c r="H220" s="561"/>
    </row>
    <row r="221" spans="2:8">
      <c r="B221" s="553">
        <v>193</v>
      </c>
      <c r="C221" s="554">
        <f t="shared" ref="C221:C284" si="16">IF(C$9*12&gt;=B221,"I/O",B221-(C$9*12))</f>
        <v>193</v>
      </c>
      <c r="D221" s="555">
        <f t="shared" si="15"/>
        <v>1337984.8104919451</v>
      </c>
      <c r="E221" s="555">
        <f t="shared" ref="E221:E284" si="17">IF(C221="I/O",C$5*C$6/12,-IPMT(C$6/12,C221,C$8*12,C$5))</f>
        <v>6076.6810143175844</v>
      </c>
      <c r="F221" s="555">
        <f t="shared" ref="F221:F284" si="18">IF(C221&lt;&gt;"I/O",-PPMT(C$6/12,C221,C$8*12,C$5),0)</f>
        <v>5325.7545006137852</v>
      </c>
      <c r="G221" s="556">
        <f t="shared" ref="G221:G284" si="19">D221-F221</f>
        <v>1332659.0559913313</v>
      </c>
    </row>
    <row r="222" spans="2:8">
      <c r="B222" s="557">
        <v>194</v>
      </c>
      <c r="C222" s="558">
        <f t="shared" si="16"/>
        <v>194</v>
      </c>
      <c r="D222" s="559">
        <f t="shared" ref="D222:D285" si="20">G221</f>
        <v>1332659.0559913313</v>
      </c>
      <c r="E222" s="559">
        <f t="shared" si="17"/>
        <v>6052.493212627297</v>
      </c>
      <c r="F222" s="559">
        <f t="shared" si="18"/>
        <v>5349.9423023040727</v>
      </c>
      <c r="G222" s="560">
        <f t="shared" si="19"/>
        <v>1327309.1136890273</v>
      </c>
    </row>
    <row r="223" spans="2:8">
      <c r="B223" s="557">
        <v>195</v>
      </c>
      <c r="C223" s="558">
        <f t="shared" si="16"/>
        <v>195</v>
      </c>
      <c r="D223" s="559">
        <f t="shared" si="20"/>
        <v>1327309.1136890273</v>
      </c>
      <c r="E223" s="559">
        <f t="shared" si="17"/>
        <v>6028.1955580043332</v>
      </c>
      <c r="F223" s="559">
        <f t="shared" si="18"/>
        <v>5374.2399569270365</v>
      </c>
      <c r="G223" s="560">
        <f t="shared" si="19"/>
        <v>1321934.8737321002</v>
      </c>
    </row>
    <row r="224" spans="2:8">
      <c r="B224" s="557">
        <v>196</v>
      </c>
      <c r="C224" s="558">
        <f t="shared" si="16"/>
        <v>196</v>
      </c>
      <c r="D224" s="559">
        <f t="shared" si="20"/>
        <v>1321934.8737321002</v>
      </c>
      <c r="E224" s="559">
        <f t="shared" si="17"/>
        <v>6003.7875515332898</v>
      </c>
      <c r="F224" s="559">
        <f t="shared" si="18"/>
        <v>5398.6479633980807</v>
      </c>
      <c r="G224" s="560">
        <f t="shared" si="19"/>
        <v>1316536.2257687021</v>
      </c>
    </row>
    <row r="225" spans="2:8">
      <c r="B225" s="557">
        <v>197</v>
      </c>
      <c r="C225" s="558">
        <f t="shared" si="16"/>
        <v>197</v>
      </c>
      <c r="D225" s="559">
        <f t="shared" si="20"/>
        <v>1316536.2257687021</v>
      </c>
      <c r="E225" s="559">
        <f t="shared" si="17"/>
        <v>5979.2686920328561</v>
      </c>
      <c r="F225" s="559">
        <f t="shared" si="18"/>
        <v>5423.1668228985136</v>
      </c>
      <c r="G225" s="560">
        <f t="shared" si="19"/>
        <v>1311113.0589458037</v>
      </c>
    </row>
    <row r="226" spans="2:8">
      <c r="B226" s="557">
        <v>198</v>
      </c>
      <c r="C226" s="558">
        <f t="shared" si="16"/>
        <v>198</v>
      </c>
      <c r="D226" s="559">
        <f t="shared" si="20"/>
        <v>1311113.0589458037</v>
      </c>
      <c r="E226" s="559">
        <f t="shared" si="17"/>
        <v>5954.6384760455257</v>
      </c>
      <c r="F226" s="559">
        <f t="shared" si="18"/>
        <v>5447.7970388858439</v>
      </c>
      <c r="G226" s="560">
        <f t="shared" si="19"/>
        <v>1305665.2619069179</v>
      </c>
    </row>
    <row r="227" spans="2:8">
      <c r="B227" s="557">
        <v>199</v>
      </c>
      <c r="C227" s="558">
        <f t="shared" si="16"/>
        <v>199</v>
      </c>
      <c r="D227" s="559">
        <f t="shared" si="20"/>
        <v>1305665.2619069179</v>
      </c>
      <c r="E227" s="559">
        <f t="shared" si="17"/>
        <v>5929.8963978272532</v>
      </c>
      <c r="F227" s="559">
        <f t="shared" si="18"/>
        <v>5472.5391171041174</v>
      </c>
      <c r="G227" s="560">
        <f t="shared" si="19"/>
        <v>1300192.7227898138</v>
      </c>
    </row>
    <row r="228" spans="2:8">
      <c r="B228" s="557">
        <v>200</v>
      </c>
      <c r="C228" s="558">
        <f t="shared" si="16"/>
        <v>200</v>
      </c>
      <c r="D228" s="559">
        <f t="shared" si="20"/>
        <v>1300192.7227898138</v>
      </c>
      <c r="E228" s="559">
        <f t="shared" si="17"/>
        <v>5905.0419493370709</v>
      </c>
      <c r="F228" s="559">
        <f t="shared" si="18"/>
        <v>5497.3935655942987</v>
      </c>
      <c r="G228" s="560">
        <f t="shared" si="19"/>
        <v>1294695.3292242195</v>
      </c>
    </row>
    <row r="229" spans="2:8">
      <c r="B229" s="557">
        <v>201</v>
      </c>
      <c r="C229" s="558">
        <f t="shared" si="16"/>
        <v>201</v>
      </c>
      <c r="D229" s="559">
        <f t="shared" si="20"/>
        <v>1294695.3292242195</v>
      </c>
      <c r="E229" s="559">
        <f t="shared" si="17"/>
        <v>5880.0746202266628</v>
      </c>
      <c r="F229" s="559">
        <f t="shared" si="18"/>
        <v>5522.3608947047069</v>
      </c>
      <c r="G229" s="560">
        <f t="shared" si="19"/>
        <v>1289172.9683295148</v>
      </c>
    </row>
    <row r="230" spans="2:8">
      <c r="B230" s="557">
        <v>202</v>
      </c>
      <c r="C230" s="558">
        <f t="shared" si="16"/>
        <v>202</v>
      </c>
      <c r="D230" s="559">
        <f t="shared" si="20"/>
        <v>1289172.9683295148</v>
      </c>
      <c r="E230" s="559">
        <f t="shared" si="17"/>
        <v>5854.9938978298796</v>
      </c>
      <c r="F230" s="559">
        <f t="shared" si="18"/>
        <v>5547.44161710149</v>
      </c>
      <c r="G230" s="560">
        <f t="shared" si="19"/>
        <v>1283625.5267124134</v>
      </c>
    </row>
    <row r="231" spans="2:8">
      <c r="B231" s="557">
        <v>203</v>
      </c>
      <c r="C231" s="558">
        <f t="shared" si="16"/>
        <v>203</v>
      </c>
      <c r="D231" s="559">
        <f t="shared" si="20"/>
        <v>1283625.5267124134</v>
      </c>
      <c r="E231" s="559">
        <f t="shared" si="17"/>
        <v>5829.7992671522106</v>
      </c>
      <c r="F231" s="559">
        <f t="shared" si="18"/>
        <v>5572.636247779159</v>
      </c>
      <c r="G231" s="560">
        <f t="shared" si="19"/>
        <v>1278052.8904646342</v>
      </c>
    </row>
    <row r="232" spans="2:8">
      <c r="B232" s="562">
        <v>204</v>
      </c>
      <c r="C232" s="563">
        <f t="shared" si="16"/>
        <v>204</v>
      </c>
      <c r="D232" s="564">
        <f t="shared" si="20"/>
        <v>1278052.8904646342</v>
      </c>
      <c r="E232" s="564">
        <f t="shared" si="17"/>
        <v>5804.4902108602137</v>
      </c>
      <c r="F232" s="564">
        <f t="shared" si="18"/>
        <v>5597.945304071156</v>
      </c>
      <c r="G232" s="565">
        <f t="shared" si="19"/>
        <v>1272454.9451605631</v>
      </c>
      <c r="H232" s="561"/>
    </row>
    <row r="233" spans="2:8">
      <c r="B233" s="574">
        <v>205</v>
      </c>
      <c r="C233" s="575">
        <f t="shared" si="16"/>
        <v>205</v>
      </c>
      <c r="D233" s="576">
        <f t="shared" si="20"/>
        <v>1272454.9451605631</v>
      </c>
      <c r="E233" s="576">
        <f t="shared" si="17"/>
        <v>5779.0662092708899</v>
      </c>
      <c r="F233" s="576">
        <f t="shared" si="18"/>
        <v>5623.3693056604798</v>
      </c>
      <c r="G233" s="577">
        <f t="shared" si="19"/>
        <v>1266831.5758549026</v>
      </c>
    </row>
    <row r="234" spans="2:8">
      <c r="B234" s="566">
        <v>206</v>
      </c>
      <c r="C234" s="567">
        <f t="shared" si="16"/>
        <v>206</v>
      </c>
      <c r="D234" s="568">
        <f t="shared" si="20"/>
        <v>1266831.5758549026</v>
      </c>
      <c r="E234" s="568">
        <f t="shared" si="17"/>
        <v>5753.5267403410153</v>
      </c>
      <c r="F234" s="568">
        <f t="shared" si="18"/>
        <v>5648.9087745903544</v>
      </c>
      <c r="G234" s="569">
        <f t="shared" si="19"/>
        <v>1261182.6670803123</v>
      </c>
    </row>
    <row r="235" spans="2:8">
      <c r="B235" s="566">
        <v>207</v>
      </c>
      <c r="C235" s="567">
        <f t="shared" si="16"/>
        <v>207</v>
      </c>
      <c r="D235" s="568">
        <f t="shared" si="20"/>
        <v>1261182.6670803123</v>
      </c>
      <c r="E235" s="568">
        <f t="shared" si="17"/>
        <v>5727.8712796564178</v>
      </c>
      <c r="F235" s="568">
        <f t="shared" si="18"/>
        <v>5674.5642352749519</v>
      </c>
      <c r="G235" s="569">
        <f t="shared" si="19"/>
        <v>1255508.1028450374</v>
      </c>
    </row>
    <row r="236" spans="2:8">
      <c r="B236" s="566">
        <v>208</v>
      </c>
      <c r="C236" s="567">
        <f t="shared" si="16"/>
        <v>208</v>
      </c>
      <c r="D236" s="568">
        <f t="shared" si="20"/>
        <v>1255508.1028450374</v>
      </c>
      <c r="E236" s="568">
        <f t="shared" si="17"/>
        <v>5702.0993004212105</v>
      </c>
      <c r="F236" s="568">
        <f t="shared" si="18"/>
        <v>5700.3362145101592</v>
      </c>
      <c r="G236" s="569">
        <f t="shared" si="19"/>
        <v>1249807.7666305271</v>
      </c>
    </row>
    <row r="237" spans="2:8">
      <c r="B237" s="566">
        <v>209</v>
      </c>
      <c r="C237" s="567">
        <f t="shared" si="16"/>
        <v>209</v>
      </c>
      <c r="D237" s="568">
        <f t="shared" si="20"/>
        <v>1249807.7666305271</v>
      </c>
      <c r="E237" s="568">
        <f t="shared" si="17"/>
        <v>5676.2102734469772</v>
      </c>
      <c r="F237" s="568">
        <f t="shared" si="18"/>
        <v>5726.2252414843924</v>
      </c>
      <c r="G237" s="569">
        <f t="shared" si="19"/>
        <v>1244081.5413890427</v>
      </c>
    </row>
    <row r="238" spans="2:8">
      <c r="B238" s="566">
        <v>210</v>
      </c>
      <c r="C238" s="567">
        <f t="shared" si="16"/>
        <v>210</v>
      </c>
      <c r="D238" s="568">
        <f t="shared" si="20"/>
        <v>1244081.5413890427</v>
      </c>
      <c r="E238" s="568">
        <f t="shared" si="17"/>
        <v>5650.2036671419019</v>
      </c>
      <c r="F238" s="568">
        <f t="shared" si="18"/>
        <v>5752.2318477894669</v>
      </c>
      <c r="G238" s="569">
        <f t="shared" si="19"/>
        <v>1238329.3095412534</v>
      </c>
    </row>
    <row r="239" spans="2:8">
      <c r="B239" s="566">
        <v>211</v>
      </c>
      <c r="C239" s="567">
        <f t="shared" si="16"/>
        <v>211</v>
      </c>
      <c r="D239" s="568">
        <f t="shared" si="20"/>
        <v>1238329.3095412534</v>
      </c>
      <c r="E239" s="568">
        <f t="shared" si="17"/>
        <v>5624.0789474998573</v>
      </c>
      <c r="F239" s="568">
        <f t="shared" si="18"/>
        <v>5778.3565674315114</v>
      </c>
      <c r="G239" s="569">
        <f t="shared" si="19"/>
        <v>1232550.9529738219</v>
      </c>
    </row>
    <row r="240" spans="2:8">
      <c r="B240" s="566">
        <v>212</v>
      </c>
      <c r="C240" s="567">
        <f t="shared" si="16"/>
        <v>212</v>
      </c>
      <c r="D240" s="568">
        <f t="shared" si="20"/>
        <v>1232550.9529738219</v>
      </c>
      <c r="E240" s="568">
        <f t="shared" si="17"/>
        <v>5597.8355780894408</v>
      </c>
      <c r="F240" s="568">
        <f t="shared" si="18"/>
        <v>5804.5999368419307</v>
      </c>
      <c r="G240" s="569">
        <f t="shared" si="19"/>
        <v>1226746.3530369799</v>
      </c>
    </row>
    <row r="241" spans="2:8">
      <c r="B241" s="566">
        <v>213</v>
      </c>
      <c r="C241" s="567">
        <f t="shared" si="16"/>
        <v>213</v>
      </c>
      <c r="D241" s="568">
        <f t="shared" si="20"/>
        <v>1226746.3530369799</v>
      </c>
      <c r="E241" s="568">
        <f t="shared" si="17"/>
        <v>5571.4730200429494</v>
      </c>
      <c r="F241" s="568">
        <f t="shared" si="18"/>
        <v>5830.9624948884202</v>
      </c>
      <c r="G241" s="569">
        <f t="shared" si="19"/>
        <v>1220915.3905420916</v>
      </c>
    </row>
    <row r="242" spans="2:8">
      <c r="B242" s="566">
        <v>214</v>
      </c>
      <c r="C242" s="567">
        <f t="shared" si="16"/>
        <v>214</v>
      </c>
      <c r="D242" s="568">
        <f t="shared" si="20"/>
        <v>1220915.3905420916</v>
      </c>
      <c r="E242" s="568">
        <f t="shared" si="17"/>
        <v>5544.9907320453303</v>
      </c>
      <c r="F242" s="568">
        <f t="shared" si="18"/>
        <v>5857.4447828860375</v>
      </c>
      <c r="G242" s="569">
        <f t="shared" si="19"/>
        <v>1215057.9457592056</v>
      </c>
    </row>
    <row r="243" spans="2:8">
      <c r="B243" s="566">
        <v>215</v>
      </c>
      <c r="C243" s="567">
        <f t="shared" si="16"/>
        <v>215</v>
      </c>
      <c r="D243" s="568">
        <f t="shared" si="20"/>
        <v>1215057.9457592056</v>
      </c>
      <c r="E243" s="568">
        <f t="shared" si="17"/>
        <v>5518.3881703230572</v>
      </c>
      <c r="F243" s="568">
        <f t="shared" si="18"/>
        <v>5884.0473446083115</v>
      </c>
      <c r="G243" s="569">
        <f t="shared" si="19"/>
        <v>1209173.8984145974</v>
      </c>
    </row>
    <row r="244" spans="2:8">
      <c r="B244" s="570">
        <v>216</v>
      </c>
      <c r="C244" s="571">
        <f t="shared" si="16"/>
        <v>216</v>
      </c>
      <c r="D244" s="572">
        <f t="shared" si="20"/>
        <v>1209173.8984145974</v>
      </c>
      <c r="E244" s="572">
        <f t="shared" si="17"/>
        <v>5491.6647886329611</v>
      </c>
      <c r="F244" s="572">
        <f t="shared" si="18"/>
        <v>5910.7707262984086</v>
      </c>
      <c r="G244" s="573">
        <f t="shared" si="19"/>
        <v>1203263.1276882989</v>
      </c>
      <c r="H244" s="561"/>
    </row>
    <row r="245" spans="2:8">
      <c r="B245" s="553">
        <v>217</v>
      </c>
      <c r="C245" s="554">
        <f t="shared" si="16"/>
        <v>217</v>
      </c>
      <c r="D245" s="555">
        <f t="shared" si="20"/>
        <v>1203263.1276882989</v>
      </c>
      <c r="E245" s="555">
        <f t="shared" si="17"/>
        <v>5464.820038251024</v>
      </c>
      <c r="F245" s="555">
        <f t="shared" si="18"/>
        <v>5937.6154766803475</v>
      </c>
      <c r="G245" s="556">
        <f t="shared" si="19"/>
        <v>1197325.5122116185</v>
      </c>
    </row>
    <row r="246" spans="2:8">
      <c r="B246" s="557">
        <v>218</v>
      </c>
      <c r="C246" s="558">
        <f t="shared" si="16"/>
        <v>218</v>
      </c>
      <c r="D246" s="559">
        <f t="shared" si="20"/>
        <v>1197325.5122116185</v>
      </c>
      <c r="E246" s="559">
        <f t="shared" si="17"/>
        <v>5437.8533679610991</v>
      </c>
      <c r="F246" s="559">
        <f t="shared" si="18"/>
        <v>5964.5821469702696</v>
      </c>
      <c r="G246" s="560">
        <f t="shared" si="19"/>
        <v>1191360.9300646482</v>
      </c>
    </row>
    <row r="247" spans="2:8">
      <c r="B247" s="557">
        <v>219</v>
      </c>
      <c r="C247" s="558">
        <f t="shared" si="16"/>
        <v>219</v>
      </c>
      <c r="D247" s="559">
        <f t="shared" si="20"/>
        <v>1191360.9300646482</v>
      </c>
      <c r="E247" s="559">
        <f t="shared" si="17"/>
        <v>5410.7642240436089</v>
      </c>
      <c r="F247" s="559">
        <f t="shared" si="18"/>
        <v>5991.6712908877607</v>
      </c>
      <c r="G247" s="560">
        <f t="shared" si="19"/>
        <v>1185369.2587737604</v>
      </c>
    </row>
    <row r="248" spans="2:8">
      <c r="B248" s="557">
        <v>220</v>
      </c>
      <c r="C248" s="558">
        <f t="shared" si="16"/>
        <v>220</v>
      </c>
      <c r="D248" s="559">
        <f t="shared" si="20"/>
        <v>1185369.2587737604</v>
      </c>
      <c r="E248" s="559">
        <f t="shared" si="17"/>
        <v>5383.5520502641612</v>
      </c>
      <c r="F248" s="559">
        <f t="shared" si="18"/>
        <v>6018.8834646672085</v>
      </c>
      <c r="G248" s="560">
        <f t="shared" si="19"/>
        <v>1179350.3753090932</v>
      </c>
    </row>
    <row r="249" spans="2:8">
      <c r="B249" s="557">
        <v>221</v>
      </c>
      <c r="C249" s="558">
        <f t="shared" si="16"/>
        <v>221</v>
      </c>
      <c r="D249" s="559">
        <f t="shared" si="20"/>
        <v>1179350.3753090932</v>
      </c>
      <c r="E249" s="559">
        <f t="shared" si="17"/>
        <v>5356.2162878621311</v>
      </c>
      <c r="F249" s="559">
        <f t="shared" si="18"/>
        <v>6046.2192270692385</v>
      </c>
      <c r="G249" s="560">
        <f t="shared" si="19"/>
        <v>1173304.1560820239</v>
      </c>
    </row>
    <row r="250" spans="2:8">
      <c r="B250" s="557">
        <v>222</v>
      </c>
      <c r="C250" s="558">
        <f t="shared" si="16"/>
        <v>222</v>
      </c>
      <c r="D250" s="559">
        <f t="shared" si="20"/>
        <v>1173304.1560820239</v>
      </c>
      <c r="E250" s="559">
        <f t="shared" si="17"/>
        <v>5328.7563755391911</v>
      </c>
      <c r="F250" s="559">
        <f t="shared" si="18"/>
        <v>6073.6791393921785</v>
      </c>
      <c r="G250" s="560">
        <f t="shared" si="19"/>
        <v>1167230.4769426316</v>
      </c>
    </row>
    <row r="251" spans="2:8">
      <c r="B251" s="557">
        <v>223</v>
      </c>
      <c r="C251" s="558">
        <f t="shared" si="16"/>
        <v>223</v>
      </c>
      <c r="D251" s="559">
        <f t="shared" si="20"/>
        <v>1167230.4769426316</v>
      </c>
      <c r="E251" s="559">
        <f t="shared" si="17"/>
        <v>5301.1717494477844</v>
      </c>
      <c r="F251" s="559">
        <f t="shared" si="18"/>
        <v>6101.2637654835835</v>
      </c>
      <c r="G251" s="560">
        <f t="shared" si="19"/>
        <v>1161129.213177148</v>
      </c>
    </row>
    <row r="252" spans="2:8">
      <c r="B252" s="557">
        <v>224</v>
      </c>
      <c r="C252" s="558">
        <f t="shared" si="16"/>
        <v>224</v>
      </c>
      <c r="D252" s="559">
        <f t="shared" si="20"/>
        <v>1161129.213177148</v>
      </c>
      <c r="E252" s="559">
        <f t="shared" si="17"/>
        <v>5273.4618431795479</v>
      </c>
      <c r="F252" s="559">
        <f t="shared" si="18"/>
        <v>6128.9736717518217</v>
      </c>
      <c r="G252" s="560">
        <f t="shared" si="19"/>
        <v>1155000.2395053962</v>
      </c>
    </row>
    <row r="253" spans="2:8">
      <c r="B253" s="557">
        <v>225</v>
      </c>
      <c r="C253" s="558">
        <f t="shared" si="16"/>
        <v>225</v>
      </c>
      <c r="D253" s="559">
        <f t="shared" si="20"/>
        <v>1155000.2395053962</v>
      </c>
      <c r="E253" s="559">
        <f t="shared" si="17"/>
        <v>5245.6260877536733</v>
      </c>
      <c r="F253" s="559">
        <f t="shared" si="18"/>
        <v>6156.8094271776954</v>
      </c>
      <c r="G253" s="560">
        <f t="shared" si="19"/>
        <v>1148843.4300782185</v>
      </c>
    </row>
    <row r="254" spans="2:8">
      <c r="B254" s="557">
        <v>226</v>
      </c>
      <c r="C254" s="558">
        <f t="shared" si="16"/>
        <v>226</v>
      </c>
      <c r="D254" s="559">
        <f t="shared" si="20"/>
        <v>1148843.4300782185</v>
      </c>
      <c r="E254" s="559">
        <f t="shared" si="17"/>
        <v>5217.6639116052411</v>
      </c>
      <c r="F254" s="559">
        <f t="shared" si="18"/>
        <v>6184.7716033261268</v>
      </c>
      <c r="G254" s="560">
        <f t="shared" si="19"/>
        <v>1142658.6584748924</v>
      </c>
    </row>
    <row r="255" spans="2:8">
      <c r="B255" s="557">
        <v>227</v>
      </c>
      <c r="C255" s="558">
        <f t="shared" si="16"/>
        <v>227</v>
      </c>
      <c r="D255" s="559">
        <f t="shared" si="20"/>
        <v>1142658.6584748924</v>
      </c>
      <c r="E255" s="559">
        <f t="shared" si="17"/>
        <v>5189.5747405734692</v>
      </c>
      <c r="F255" s="559">
        <f t="shared" si="18"/>
        <v>6212.8607743578996</v>
      </c>
      <c r="G255" s="560">
        <f t="shared" si="19"/>
        <v>1136445.7977005346</v>
      </c>
    </row>
    <row r="256" spans="2:8">
      <c r="B256" s="562">
        <v>228</v>
      </c>
      <c r="C256" s="563">
        <f t="shared" si="16"/>
        <v>228</v>
      </c>
      <c r="D256" s="564">
        <f t="shared" si="20"/>
        <v>1136445.7977005346</v>
      </c>
      <c r="E256" s="564">
        <f t="shared" si="17"/>
        <v>5161.357997889927</v>
      </c>
      <c r="F256" s="564">
        <f t="shared" si="18"/>
        <v>6241.0775170414427</v>
      </c>
      <c r="G256" s="565">
        <f t="shared" si="19"/>
        <v>1130204.7201834931</v>
      </c>
      <c r="H256" s="561"/>
    </row>
    <row r="257" spans="2:8">
      <c r="B257" s="574">
        <v>229</v>
      </c>
      <c r="C257" s="575">
        <f t="shared" si="16"/>
        <v>229</v>
      </c>
      <c r="D257" s="576">
        <f t="shared" si="20"/>
        <v>1130204.7201834931</v>
      </c>
      <c r="E257" s="576">
        <f t="shared" si="17"/>
        <v>5133.0131041666973</v>
      </c>
      <c r="F257" s="576">
        <f t="shared" si="18"/>
        <v>6269.4224107646714</v>
      </c>
      <c r="G257" s="577">
        <f t="shared" si="19"/>
        <v>1123935.2977727284</v>
      </c>
    </row>
    <row r="258" spans="2:8">
      <c r="B258" s="566">
        <v>230</v>
      </c>
      <c r="C258" s="567">
        <f t="shared" si="16"/>
        <v>230</v>
      </c>
      <c r="D258" s="568">
        <f t="shared" si="20"/>
        <v>1123935.2977727284</v>
      </c>
      <c r="E258" s="568">
        <f t="shared" si="17"/>
        <v>5104.5394773844737</v>
      </c>
      <c r="F258" s="568">
        <f t="shared" si="18"/>
        <v>6297.896037546896</v>
      </c>
      <c r="G258" s="569">
        <f t="shared" si="19"/>
        <v>1117637.4017351815</v>
      </c>
    </row>
    <row r="259" spans="2:8">
      <c r="B259" s="566">
        <v>231</v>
      </c>
      <c r="C259" s="567">
        <f t="shared" si="16"/>
        <v>231</v>
      </c>
      <c r="D259" s="568">
        <f t="shared" si="20"/>
        <v>1117637.4017351815</v>
      </c>
      <c r="E259" s="568">
        <f t="shared" si="17"/>
        <v>5075.9365328806161</v>
      </c>
      <c r="F259" s="568">
        <f t="shared" si="18"/>
        <v>6326.4989820507535</v>
      </c>
      <c r="G259" s="569">
        <f t="shared" si="19"/>
        <v>1111310.9027531308</v>
      </c>
    </row>
    <row r="260" spans="2:8">
      <c r="B260" s="566">
        <v>232</v>
      </c>
      <c r="C260" s="567">
        <f t="shared" si="16"/>
        <v>232</v>
      </c>
      <c r="D260" s="568">
        <f t="shared" si="20"/>
        <v>1111310.9027531308</v>
      </c>
      <c r="E260" s="568">
        <f t="shared" si="17"/>
        <v>5047.2036833371349</v>
      </c>
      <c r="F260" s="568">
        <f t="shared" si="18"/>
        <v>6355.2318315942339</v>
      </c>
      <c r="G260" s="569">
        <f t="shared" si="19"/>
        <v>1104955.6709215366</v>
      </c>
    </row>
    <row r="261" spans="2:8">
      <c r="B261" s="566">
        <v>233</v>
      </c>
      <c r="C261" s="567">
        <f t="shared" si="16"/>
        <v>233</v>
      </c>
      <c r="D261" s="568">
        <f t="shared" si="20"/>
        <v>1104955.6709215366</v>
      </c>
      <c r="E261" s="568">
        <f t="shared" si="17"/>
        <v>5018.3403387686458</v>
      </c>
      <c r="F261" s="568">
        <f t="shared" si="18"/>
        <v>6384.0951761627248</v>
      </c>
      <c r="G261" s="569">
        <f t="shared" si="19"/>
        <v>1098571.575745374</v>
      </c>
    </row>
    <row r="262" spans="2:8">
      <c r="B262" s="566">
        <v>234</v>
      </c>
      <c r="C262" s="567">
        <f t="shared" si="16"/>
        <v>234</v>
      </c>
      <c r="D262" s="568">
        <f t="shared" si="20"/>
        <v>1098571.575745374</v>
      </c>
      <c r="E262" s="568">
        <f t="shared" si="17"/>
        <v>4989.3459065102397</v>
      </c>
      <c r="F262" s="568">
        <f t="shared" si="18"/>
        <v>6413.0896084211299</v>
      </c>
      <c r="G262" s="569">
        <f t="shared" si="19"/>
        <v>1092158.4861369529</v>
      </c>
    </row>
    <row r="263" spans="2:8">
      <c r="B263" s="566">
        <v>235</v>
      </c>
      <c r="C263" s="567">
        <f t="shared" si="16"/>
        <v>235</v>
      </c>
      <c r="D263" s="568">
        <f t="shared" si="20"/>
        <v>1092158.4861369529</v>
      </c>
      <c r="E263" s="568">
        <f t="shared" si="17"/>
        <v>4960.2197912053261</v>
      </c>
      <c r="F263" s="568">
        <f t="shared" si="18"/>
        <v>6442.2157237260426</v>
      </c>
      <c r="G263" s="569">
        <f t="shared" si="19"/>
        <v>1085716.2704132269</v>
      </c>
    </row>
    <row r="264" spans="2:8">
      <c r="B264" s="566">
        <v>236</v>
      </c>
      <c r="C264" s="567">
        <f t="shared" si="16"/>
        <v>236</v>
      </c>
      <c r="D264" s="568">
        <f t="shared" si="20"/>
        <v>1085716.2704132269</v>
      </c>
      <c r="E264" s="568">
        <f t="shared" si="17"/>
        <v>4930.961394793404</v>
      </c>
      <c r="F264" s="568">
        <f t="shared" si="18"/>
        <v>6471.4741201379657</v>
      </c>
      <c r="G264" s="569">
        <f t="shared" si="19"/>
        <v>1079244.7962930889</v>
      </c>
    </row>
    <row r="265" spans="2:8">
      <c r="B265" s="566">
        <v>237</v>
      </c>
      <c r="C265" s="567">
        <f t="shared" si="16"/>
        <v>237</v>
      </c>
      <c r="D265" s="568">
        <f t="shared" si="20"/>
        <v>1079244.7962930889</v>
      </c>
      <c r="E265" s="568">
        <f t="shared" si="17"/>
        <v>4901.5701164977781</v>
      </c>
      <c r="F265" s="568">
        <f t="shared" si="18"/>
        <v>6500.8653984335915</v>
      </c>
      <c r="G265" s="569">
        <f t="shared" si="19"/>
        <v>1072743.9308946554</v>
      </c>
    </row>
    <row r="266" spans="2:8">
      <c r="B266" s="566">
        <v>238</v>
      </c>
      <c r="C266" s="567">
        <f t="shared" si="16"/>
        <v>238</v>
      </c>
      <c r="D266" s="568">
        <f t="shared" si="20"/>
        <v>1072743.9308946554</v>
      </c>
      <c r="E266" s="568">
        <f t="shared" si="17"/>
        <v>4872.0453528132239</v>
      </c>
      <c r="F266" s="568">
        <f t="shared" si="18"/>
        <v>6530.390162118144</v>
      </c>
      <c r="G266" s="569">
        <f t="shared" si="19"/>
        <v>1066213.5407325372</v>
      </c>
    </row>
    <row r="267" spans="2:8">
      <c r="B267" s="566">
        <v>239</v>
      </c>
      <c r="C267" s="567">
        <f t="shared" si="16"/>
        <v>239</v>
      </c>
      <c r="D267" s="568">
        <f t="shared" si="20"/>
        <v>1066213.5407325372</v>
      </c>
      <c r="E267" s="568">
        <f t="shared" si="17"/>
        <v>4842.3864974936041</v>
      </c>
      <c r="F267" s="568">
        <f t="shared" si="18"/>
        <v>6560.0490174377655</v>
      </c>
      <c r="G267" s="569">
        <f t="shared" si="19"/>
        <v>1059653.4917150994</v>
      </c>
    </row>
    <row r="268" spans="2:8">
      <c r="B268" s="570">
        <v>240</v>
      </c>
      <c r="C268" s="571">
        <f t="shared" si="16"/>
        <v>240</v>
      </c>
      <c r="D268" s="572">
        <f t="shared" si="20"/>
        <v>1059653.4917150994</v>
      </c>
      <c r="E268" s="572">
        <f t="shared" si="17"/>
        <v>4812.5929415394085</v>
      </c>
      <c r="F268" s="572">
        <f t="shared" si="18"/>
        <v>6589.8425733919612</v>
      </c>
      <c r="G268" s="573">
        <f t="shared" si="19"/>
        <v>1053063.6491417075</v>
      </c>
      <c r="H268" s="561"/>
    </row>
    <row r="269" spans="2:8">
      <c r="B269" s="553">
        <v>241</v>
      </c>
      <c r="C269" s="554">
        <f t="shared" si="16"/>
        <v>241</v>
      </c>
      <c r="D269" s="555">
        <f t="shared" si="20"/>
        <v>1053063.6491417075</v>
      </c>
      <c r="E269" s="555">
        <f t="shared" si="17"/>
        <v>4782.664073185254</v>
      </c>
      <c r="F269" s="555">
        <f t="shared" si="18"/>
        <v>6619.7714417461157</v>
      </c>
      <c r="G269" s="556">
        <f t="shared" si="19"/>
        <v>1046443.8776999613</v>
      </c>
    </row>
    <row r="270" spans="2:8">
      <c r="B270" s="557">
        <v>242</v>
      </c>
      <c r="C270" s="558">
        <f t="shared" si="16"/>
        <v>242</v>
      </c>
      <c r="D270" s="559">
        <f t="shared" si="20"/>
        <v>1046443.8776999613</v>
      </c>
      <c r="E270" s="559">
        <f t="shared" si="17"/>
        <v>4752.5992778873233</v>
      </c>
      <c r="F270" s="559">
        <f t="shared" si="18"/>
        <v>6649.8362370440464</v>
      </c>
      <c r="G270" s="560">
        <f t="shared" si="19"/>
        <v>1039794.0414629172</v>
      </c>
    </row>
    <row r="271" spans="2:8">
      <c r="B271" s="557">
        <v>243</v>
      </c>
      <c r="C271" s="558">
        <f t="shared" si="16"/>
        <v>243</v>
      </c>
      <c r="D271" s="559">
        <f t="shared" si="20"/>
        <v>1039794.0414629172</v>
      </c>
      <c r="E271" s="559">
        <f t="shared" si="17"/>
        <v>4722.397938310748</v>
      </c>
      <c r="F271" s="559">
        <f t="shared" si="18"/>
        <v>6680.0375766206216</v>
      </c>
      <c r="G271" s="560">
        <f t="shared" si="19"/>
        <v>1033114.0038862966</v>
      </c>
    </row>
    <row r="272" spans="2:8">
      <c r="B272" s="557">
        <v>244</v>
      </c>
      <c r="C272" s="558">
        <f t="shared" si="16"/>
        <v>244</v>
      </c>
      <c r="D272" s="559">
        <f t="shared" si="20"/>
        <v>1033114.0038862966</v>
      </c>
      <c r="E272" s="559">
        <f t="shared" si="17"/>
        <v>4692.0594343169296</v>
      </c>
      <c r="F272" s="559">
        <f t="shared" si="18"/>
        <v>6710.376080614441</v>
      </c>
      <c r="G272" s="560">
        <f t="shared" si="19"/>
        <v>1026403.6278056822</v>
      </c>
    </row>
    <row r="273" spans="2:8">
      <c r="B273" s="557">
        <v>245</v>
      </c>
      <c r="C273" s="558">
        <f t="shared" si="16"/>
        <v>245</v>
      </c>
      <c r="D273" s="559">
        <f t="shared" si="20"/>
        <v>1026403.6278056822</v>
      </c>
      <c r="E273" s="559">
        <f t="shared" si="17"/>
        <v>4661.5831429508062</v>
      </c>
      <c r="F273" s="559">
        <f t="shared" si="18"/>
        <v>6740.8523719805653</v>
      </c>
      <c r="G273" s="560">
        <f t="shared" si="19"/>
        <v>1019662.7754337017</v>
      </c>
    </row>
    <row r="274" spans="2:8">
      <c r="B274" s="557">
        <v>246</v>
      </c>
      <c r="C274" s="558">
        <f t="shared" si="16"/>
        <v>246</v>
      </c>
      <c r="D274" s="559">
        <f t="shared" si="20"/>
        <v>1019662.7754337017</v>
      </c>
      <c r="E274" s="559">
        <f t="shared" si="17"/>
        <v>4630.9684384280599</v>
      </c>
      <c r="F274" s="559">
        <f t="shared" si="18"/>
        <v>6771.4670765033097</v>
      </c>
      <c r="G274" s="560">
        <f t="shared" si="19"/>
        <v>1012891.3083571984</v>
      </c>
    </row>
    <row r="275" spans="2:8">
      <c r="B275" s="557">
        <v>247</v>
      </c>
      <c r="C275" s="558">
        <f t="shared" si="16"/>
        <v>247</v>
      </c>
      <c r="D275" s="559">
        <f t="shared" si="20"/>
        <v>1012891.3083571984</v>
      </c>
      <c r="E275" s="559">
        <f t="shared" si="17"/>
        <v>4600.2146921222748</v>
      </c>
      <c r="F275" s="559">
        <f t="shared" si="18"/>
        <v>6802.2208228090949</v>
      </c>
      <c r="G275" s="560">
        <f t="shared" si="19"/>
        <v>1006089.0875343892</v>
      </c>
    </row>
    <row r="276" spans="2:8">
      <c r="B276" s="557">
        <v>248</v>
      </c>
      <c r="C276" s="558">
        <f t="shared" si="16"/>
        <v>248</v>
      </c>
      <c r="D276" s="559">
        <f t="shared" si="20"/>
        <v>1006089.0875343892</v>
      </c>
      <c r="E276" s="559">
        <f t="shared" si="17"/>
        <v>4569.3212725520161</v>
      </c>
      <c r="F276" s="559">
        <f t="shared" si="18"/>
        <v>6833.1142423793526</v>
      </c>
      <c r="G276" s="560">
        <f t="shared" si="19"/>
        <v>999255.9732920099</v>
      </c>
    </row>
    <row r="277" spans="2:8">
      <c r="B277" s="557">
        <v>249</v>
      </c>
      <c r="C277" s="558">
        <f t="shared" si="16"/>
        <v>249</v>
      </c>
      <c r="D277" s="559">
        <f t="shared" si="20"/>
        <v>999255.9732920099</v>
      </c>
      <c r="E277" s="559">
        <f t="shared" si="17"/>
        <v>4538.2875453678771</v>
      </c>
      <c r="F277" s="559">
        <f t="shared" si="18"/>
        <v>6864.1479695634935</v>
      </c>
      <c r="G277" s="560">
        <f t="shared" si="19"/>
        <v>992391.82532244641</v>
      </c>
    </row>
    <row r="278" spans="2:8">
      <c r="B278" s="557">
        <v>250</v>
      </c>
      <c r="C278" s="558">
        <f t="shared" si="16"/>
        <v>250</v>
      </c>
      <c r="D278" s="559">
        <f t="shared" si="20"/>
        <v>992391.82532244641</v>
      </c>
      <c r="E278" s="559">
        <f t="shared" si="17"/>
        <v>4507.1128733394426</v>
      </c>
      <c r="F278" s="559">
        <f t="shared" si="18"/>
        <v>6895.3226415919271</v>
      </c>
      <c r="G278" s="560">
        <f t="shared" si="19"/>
        <v>985496.50268085452</v>
      </c>
    </row>
    <row r="279" spans="2:8">
      <c r="B279" s="557">
        <v>251</v>
      </c>
      <c r="C279" s="558">
        <f t="shared" si="16"/>
        <v>251</v>
      </c>
      <c r="D279" s="559">
        <f t="shared" si="20"/>
        <v>985496.50268085452</v>
      </c>
      <c r="E279" s="559">
        <f t="shared" si="17"/>
        <v>4475.7966163422125</v>
      </c>
      <c r="F279" s="559">
        <f t="shared" si="18"/>
        <v>6926.6388985891563</v>
      </c>
      <c r="G279" s="560">
        <f t="shared" si="19"/>
        <v>978569.86378226534</v>
      </c>
    </row>
    <row r="280" spans="2:8">
      <c r="B280" s="562">
        <v>252</v>
      </c>
      <c r="C280" s="563">
        <f t="shared" si="16"/>
        <v>252</v>
      </c>
      <c r="D280" s="564">
        <f t="shared" si="20"/>
        <v>978569.86378226534</v>
      </c>
      <c r="E280" s="564">
        <f t="shared" si="17"/>
        <v>4444.3381313444534</v>
      </c>
      <c r="F280" s="564">
        <f t="shared" si="18"/>
        <v>6958.0973835869172</v>
      </c>
      <c r="G280" s="565">
        <f t="shared" si="19"/>
        <v>971611.76639867842</v>
      </c>
      <c r="H280" s="561"/>
    </row>
    <row r="281" spans="2:8">
      <c r="B281" s="574">
        <v>253</v>
      </c>
      <c r="C281" s="575">
        <f t="shared" si="16"/>
        <v>253</v>
      </c>
      <c r="D281" s="576">
        <f t="shared" si="20"/>
        <v>971611.76639867842</v>
      </c>
      <c r="E281" s="576">
        <f t="shared" si="17"/>
        <v>4412.736772393996</v>
      </c>
      <c r="F281" s="576">
        <f t="shared" si="18"/>
        <v>6989.6987425373718</v>
      </c>
      <c r="G281" s="577">
        <f t="shared" si="19"/>
        <v>964622.06765614101</v>
      </c>
    </row>
    <row r="282" spans="2:8">
      <c r="B282" s="566">
        <v>254</v>
      </c>
      <c r="C282" s="567">
        <f t="shared" si="16"/>
        <v>254</v>
      </c>
      <c r="D282" s="568">
        <f t="shared" si="20"/>
        <v>964622.06765614101</v>
      </c>
      <c r="E282" s="568">
        <f t="shared" si="17"/>
        <v>4380.9918906049725</v>
      </c>
      <c r="F282" s="568">
        <f t="shared" si="18"/>
        <v>7021.4436243263981</v>
      </c>
      <c r="G282" s="569">
        <f t="shared" si="19"/>
        <v>957600.62403181463</v>
      </c>
    </row>
    <row r="283" spans="2:8">
      <c r="B283" s="566">
        <v>255</v>
      </c>
      <c r="C283" s="567">
        <f t="shared" si="16"/>
        <v>255</v>
      </c>
      <c r="D283" s="568">
        <f t="shared" si="20"/>
        <v>957600.62403181463</v>
      </c>
      <c r="E283" s="568">
        <f t="shared" si="17"/>
        <v>4349.1028341444899</v>
      </c>
      <c r="F283" s="568">
        <f t="shared" si="18"/>
        <v>7053.3326807868798</v>
      </c>
      <c r="G283" s="569">
        <f t="shared" si="19"/>
        <v>950547.29135102779</v>
      </c>
    </row>
    <row r="284" spans="2:8">
      <c r="B284" s="566">
        <v>256</v>
      </c>
      <c r="C284" s="567">
        <f t="shared" si="16"/>
        <v>256</v>
      </c>
      <c r="D284" s="568">
        <f t="shared" si="20"/>
        <v>950547.29135102779</v>
      </c>
      <c r="E284" s="568">
        <f t="shared" si="17"/>
        <v>4317.0689482192502</v>
      </c>
      <c r="F284" s="568">
        <f t="shared" si="18"/>
        <v>7085.3665667121204</v>
      </c>
      <c r="G284" s="569">
        <f t="shared" si="19"/>
        <v>943461.92478431563</v>
      </c>
    </row>
    <row r="285" spans="2:8">
      <c r="B285" s="566">
        <v>257</v>
      </c>
      <c r="C285" s="567">
        <f t="shared" ref="C285:C348" si="21">IF(C$9*12&gt;=B285,"I/O",B285-(C$9*12))</f>
        <v>257</v>
      </c>
      <c r="D285" s="568">
        <f t="shared" si="20"/>
        <v>943461.92478431563</v>
      </c>
      <c r="E285" s="568">
        <f t="shared" ref="E285:E348" si="22">IF(C285="I/O",C$5*C$6/12,-IPMT(C$6/12,C285,C$8*12,C$5))</f>
        <v>4284.8895750620995</v>
      </c>
      <c r="F285" s="568">
        <f t="shared" ref="F285:F348" si="23">IF(C285&lt;&gt;"I/O",-PPMT(C$6/12,C285,C$8*12,C$5),0)</f>
        <v>7117.545939869271</v>
      </c>
      <c r="G285" s="569">
        <f t="shared" ref="G285:G348" si="24">D285-F285</f>
        <v>936344.37884444639</v>
      </c>
    </row>
    <row r="286" spans="2:8">
      <c r="B286" s="566">
        <v>258</v>
      </c>
      <c r="C286" s="567">
        <f t="shared" si="21"/>
        <v>258</v>
      </c>
      <c r="D286" s="568">
        <f t="shared" ref="D286:D349" si="25">G285</f>
        <v>936344.37884444639</v>
      </c>
      <c r="E286" s="568">
        <f t="shared" si="22"/>
        <v>4252.564053918526</v>
      </c>
      <c r="F286" s="568">
        <f t="shared" si="23"/>
        <v>7149.8714610128445</v>
      </c>
      <c r="G286" s="569">
        <f t="shared" si="24"/>
        <v>929194.50738343352</v>
      </c>
    </row>
    <row r="287" spans="2:8">
      <c r="B287" s="566">
        <v>259</v>
      </c>
      <c r="C287" s="567">
        <f t="shared" si="21"/>
        <v>259</v>
      </c>
      <c r="D287" s="568">
        <f t="shared" si="25"/>
        <v>929194.50738343352</v>
      </c>
      <c r="E287" s="568">
        <f t="shared" si="22"/>
        <v>4220.0917210330927</v>
      </c>
      <c r="F287" s="568">
        <f t="shared" si="23"/>
        <v>7182.343793898277</v>
      </c>
      <c r="G287" s="569">
        <f t="shared" si="24"/>
        <v>922012.16358953528</v>
      </c>
    </row>
    <row r="288" spans="2:8">
      <c r="B288" s="566">
        <v>260</v>
      </c>
      <c r="C288" s="567">
        <f t="shared" si="21"/>
        <v>260</v>
      </c>
      <c r="D288" s="568">
        <f t="shared" si="25"/>
        <v>922012.16358953528</v>
      </c>
      <c r="E288" s="568">
        <f t="shared" si="22"/>
        <v>4187.4719096358049</v>
      </c>
      <c r="F288" s="568">
        <f t="shared" si="23"/>
        <v>7214.9636052955657</v>
      </c>
      <c r="G288" s="569">
        <f t="shared" si="24"/>
        <v>914797.19998423976</v>
      </c>
    </row>
    <row r="289" spans="2:8">
      <c r="B289" s="566">
        <v>261</v>
      </c>
      <c r="C289" s="567">
        <f t="shared" si="21"/>
        <v>261</v>
      </c>
      <c r="D289" s="568">
        <f t="shared" si="25"/>
        <v>914797.19998423976</v>
      </c>
      <c r="E289" s="568">
        <f t="shared" si="22"/>
        <v>4154.7039499284201</v>
      </c>
      <c r="F289" s="568">
        <f t="shared" si="23"/>
        <v>7247.7315650029495</v>
      </c>
      <c r="G289" s="569">
        <f t="shared" si="24"/>
        <v>907549.46841923683</v>
      </c>
    </row>
    <row r="290" spans="2:8">
      <c r="B290" s="566">
        <v>262</v>
      </c>
      <c r="C290" s="567">
        <f t="shared" si="21"/>
        <v>262</v>
      </c>
      <c r="D290" s="568">
        <f t="shared" si="25"/>
        <v>907549.46841923683</v>
      </c>
      <c r="E290" s="568">
        <f t="shared" si="22"/>
        <v>4121.7871690706988</v>
      </c>
      <c r="F290" s="568">
        <f t="shared" si="23"/>
        <v>7280.6483458606708</v>
      </c>
      <c r="G290" s="569">
        <f t="shared" si="24"/>
        <v>900268.82007337618</v>
      </c>
    </row>
    <row r="291" spans="2:8">
      <c r="B291" s="566">
        <v>263</v>
      </c>
      <c r="C291" s="567">
        <f t="shared" si="21"/>
        <v>263</v>
      </c>
      <c r="D291" s="568">
        <f t="shared" si="25"/>
        <v>900268.82007337618</v>
      </c>
      <c r="E291" s="568">
        <f t="shared" si="22"/>
        <v>4088.7208911665816</v>
      </c>
      <c r="F291" s="568">
        <f t="shared" si="23"/>
        <v>7313.7146237647894</v>
      </c>
      <c r="G291" s="569">
        <f t="shared" si="24"/>
        <v>892955.10544961144</v>
      </c>
    </row>
    <row r="292" spans="2:8">
      <c r="B292" s="570">
        <v>264</v>
      </c>
      <c r="C292" s="571">
        <f t="shared" si="21"/>
        <v>264</v>
      </c>
      <c r="D292" s="572">
        <f t="shared" si="25"/>
        <v>892955.10544961144</v>
      </c>
      <c r="E292" s="572">
        <f t="shared" si="22"/>
        <v>4055.5044372503166</v>
      </c>
      <c r="F292" s="572">
        <f t="shared" si="23"/>
        <v>7346.9310776810535</v>
      </c>
      <c r="G292" s="573">
        <f t="shared" si="24"/>
        <v>885608.17437193042</v>
      </c>
      <c r="H292" s="561"/>
    </row>
    <row r="293" spans="2:8">
      <c r="B293" s="553">
        <v>265</v>
      </c>
      <c r="C293" s="554">
        <f t="shared" si="21"/>
        <v>265</v>
      </c>
      <c r="D293" s="555">
        <f t="shared" si="25"/>
        <v>885608.17437193042</v>
      </c>
      <c r="E293" s="555">
        <f t="shared" si="22"/>
        <v>4022.1371252725148</v>
      </c>
      <c r="F293" s="555">
        <f t="shared" si="23"/>
        <v>7380.2983896588539</v>
      </c>
      <c r="G293" s="556">
        <f t="shared" si="24"/>
        <v>878227.87598227162</v>
      </c>
    </row>
    <row r="294" spans="2:8">
      <c r="B294" s="557">
        <v>266</v>
      </c>
      <c r="C294" s="558">
        <f t="shared" si="21"/>
        <v>266</v>
      </c>
      <c r="D294" s="559">
        <f t="shared" si="25"/>
        <v>878227.87598227162</v>
      </c>
      <c r="E294" s="559">
        <f t="shared" si="22"/>
        <v>3988.6182700861477</v>
      </c>
      <c r="F294" s="559">
        <f t="shared" si="23"/>
        <v>7413.8172448452224</v>
      </c>
      <c r="G294" s="560">
        <f t="shared" si="24"/>
        <v>870814.05873742641</v>
      </c>
    </row>
    <row r="295" spans="2:8">
      <c r="B295" s="557">
        <v>267</v>
      </c>
      <c r="C295" s="558">
        <f t="shared" si="21"/>
        <v>267</v>
      </c>
      <c r="D295" s="559">
        <f t="shared" si="25"/>
        <v>870814.05873742641</v>
      </c>
      <c r="E295" s="559">
        <f t="shared" si="22"/>
        <v>3954.9471834324759</v>
      </c>
      <c r="F295" s="559">
        <f t="shared" si="23"/>
        <v>7447.4883314988938</v>
      </c>
      <c r="G295" s="560">
        <f t="shared" si="24"/>
        <v>863366.57040592749</v>
      </c>
    </row>
    <row r="296" spans="2:8">
      <c r="B296" s="557">
        <v>268</v>
      </c>
      <c r="C296" s="558">
        <f t="shared" si="21"/>
        <v>268</v>
      </c>
      <c r="D296" s="559">
        <f t="shared" si="25"/>
        <v>863366.57040592749</v>
      </c>
      <c r="E296" s="559">
        <f t="shared" si="22"/>
        <v>3921.1231739269178</v>
      </c>
      <c r="F296" s="559">
        <f t="shared" si="23"/>
        <v>7481.3123410044509</v>
      </c>
      <c r="G296" s="560">
        <f t="shared" si="24"/>
        <v>855885.25806492299</v>
      </c>
    </row>
    <row r="297" spans="2:8">
      <c r="B297" s="557">
        <v>269</v>
      </c>
      <c r="C297" s="558">
        <f t="shared" si="21"/>
        <v>269</v>
      </c>
      <c r="D297" s="559">
        <f t="shared" si="25"/>
        <v>855885.25806492299</v>
      </c>
      <c r="E297" s="559">
        <f t="shared" si="22"/>
        <v>3887.1455470448554</v>
      </c>
      <c r="F297" s="559">
        <f t="shared" si="23"/>
        <v>7515.2899678865133</v>
      </c>
      <c r="G297" s="560">
        <f t="shared" si="24"/>
        <v>848369.96809703647</v>
      </c>
    </row>
    <row r="298" spans="2:8">
      <c r="B298" s="557">
        <v>270</v>
      </c>
      <c r="C298" s="558">
        <f t="shared" si="21"/>
        <v>270</v>
      </c>
      <c r="D298" s="559">
        <f t="shared" si="25"/>
        <v>848369.96809703647</v>
      </c>
      <c r="E298" s="559">
        <f t="shared" si="22"/>
        <v>3853.0136051073723</v>
      </c>
      <c r="F298" s="559">
        <f t="shared" si="23"/>
        <v>7549.4219098239973</v>
      </c>
      <c r="G298" s="560">
        <f t="shared" si="24"/>
        <v>840820.54618721246</v>
      </c>
    </row>
    <row r="299" spans="2:8">
      <c r="B299" s="557">
        <v>271</v>
      </c>
      <c r="C299" s="558">
        <f t="shared" si="21"/>
        <v>271</v>
      </c>
      <c r="D299" s="559">
        <f t="shared" si="25"/>
        <v>840820.54618721246</v>
      </c>
      <c r="E299" s="559">
        <f t="shared" si="22"/>
        <v>3818.7266472669212</v>
      </c>
      <c r="F299" s="559">
        <f t="shared" si="23"/>
        <v>7583.7088676644489</v>
      </c>
      <c r="G299" s="560">
        <f t="shared" si="24"/>
        <v>833236.83731954801</v>
      </c>
    </row>
    <row r="300" spans="2:8">
      <c r="B300" s="557">
        <v>272</v>
      </c>
      <c r="C300" s="558">
        <f t="shared" si="21"/>
        <v>272</v>
      </c>
      <c r="D300" s="559">
        <f t="shared" si="25"/>
        <v>833236.83731954801</v>
      </c>
      <c r="E300" s="559">
        <f t="shared" si="22"/>
        <v>3784.2839694929453</v>
      </c>
      <c r="F300" s="559">
        <f t="shared" si="23"/>
        <v>7618.1515454384244</v>
      </c>
      <c r="G300" s="560">
        <f t="shared" si="24"/>
        <v>825618.68577410956</v>
      </c>
    </row>
    <row r="301" spans="2:8">
      <c r="B301" s="557">
        <v>273</v>
      </c>
      <c r="C301" s="558">
        <f t="shared" si="21"/>
        <v>273</v>
      </c>
      <c r="D301" s="559">
        <f t="shared" si="25"/>
        <v>825618.68577410956</v>
      </c>
      <c r="E301" s="559">
        <f t="shared" si="22"/>
        <v>3749.6848645574123</v>
      </c>
      <c r="F301" s="559">
        <f t="shared" si="23"/>
        <v>7652.7506503739587</v>
      </c>
      <c r="G301" s="560">
        <f t="shared" si="24"/>
        <v>817965.93512373557</v>
      </c>
    </row>
    <row r="302" spans="2:8">
      <c r="B302" s="557">
        <v>274</v>
      </c>
      <c r="C302" s="558">
        <f t="shared" si="21"/>
        <v>274</v>
      </c>
      <c r="D302" s="559">
        <f t="shared" si="25"/>
        <v>817965.93512373557</v>
      </c>
      <c r="E302" s="559">
        <f t="shared" si="22"/>
        <v>3714.9286220202971</v>
      </c>
      <c r="F302" s="559">
        <f t="shared" si="23"/>
        <v>7687.5068929110739</v>
      </c>
      <c r="G302" s="560">
        <f t="shared" si="24"/>
        <v>810278.42823082453</v>
      </c>
    </row>
    <row r="303" spans="2:8">
      <c r="B303" s="557">
        <v>275</v>
      </c>
      <c r="C303" s="558">
        <f t="shared" si="21"/>
        <v>275</v>
      </c>
      <c r="D303" s="559">
        <f t="shared" si="25"/>
        <v>810278.42823082453</v>
      </c>
      <c r="E303" s="559">
        <f t="shared" si="22"/>
        <v>3680.0145282149929</v>
      </c>
      <c r="F303" s="559">
        <f t="shared" si="23"/>
        <v>7722.4209867163763</v>
      </c>
      <c r="G303" s="560">
        <f t="shared" si="24"/>
        <v>802556.00724410813</v>
      </c>
    </row>
    <row r="304" spans="2:8">
      <c r="B304" s="562">
        <v>276</v>
      </c>
      <c r="C304" s="563">
        <f t="shared" si="21"/>
        <v>276</v>
      </c>
      <c r="D304" s="564">
        <f t="shared" si="25"/>
        <v>802556.00724410813</v>
      </c>
      <c r="E304" s="564">
        <f t="shared" si="22"/>
        <v>3644.9418662336552</v>
      </c>
      <c r="F304" s="564">
        <f t="shared" si="23"/>
        <v>7757.4936486977131</v>
      </c>
      <c r="G304" s="565">
        <f t="shared" si="24"/>
        <v>794798.51359541039</v>
      </c>
      <c r="H304" s="561"/>
    </row>
    <row r="305" spans="2:8">
      <c r="B305" s="574">
        <v>277</v>
      </c>
      <c r="C305" s="575">
        <f t="shared" si="21"/>
        <v>277</v>
      </c>
      <c r="D305" s="576">
        <f t="shared" si="25"/>
        <v>794798.51359541039</v>
      </c>
      <c r="E305" s="576">
        <f t="shared" si="22"/>
        <v>3609.7099159124864</v>
      </c>
      <c r="F305" s="576">
        <f t="shared" si="23"/>
        <v>7792.7255990188823</v>
      </c>
      <c r="G305" s="577">
        <f t="shared" si="24"/>
        <v>787005.78799639153</v>
      </c>
    </row>
    <row r="306" spans="2:8">
      <c r="B306" s="566">
        <v>278</v>
      </c>
      <c r="C306" s="567">
        <f t="shared" si="21"/>
        <v>278</v>
      </c>
      <c r="D306" s="568">
        <f t="shared" si="25"/>
        <v>787005.78799639153</v>
      </c>
      <c r="E306" s="568">
        <f t="shared" si="22"/>
        <v>3574.3179538169429</v>
      </c>
      <c r="F306" s="568">
        <f t="shared" si="23"/>
        <v>7828.1175611144263</v>
      </c>
      <c r="G306" s="569">
        <f t="shared" si="24"/>
        <v>779177.67043527716</v>
      </c>
    </row>
    <row r="307" spans="2:8">
      <c r="B307" s="566">
        <v>279</v>
      </c>
      <c r="C307" s="567">
        <f t="shared" si="21"/>
        <v>279</v>
      </c>
      <c r="D307" s="568">
        <f t="shared" si="25"/>
        <v>779177.67043527716</v>
      </c>
      <c r="E307" s="568">
        <f t="shared" si="22"/>
        <v>3538.7652532268812</v>
      </c>
      <c r="F307" s="568">
        <f t="shared" si="23"/>
        <v>7863.6702617044884</v>
      </c>
      <c r="G307" s="569">
        <f t="shared" si="24"/>
        <v>771314.00017357268</v>
      </c>
    </row>
    <row r="308" spans="2:8">
      <c r="B308" s="566">
        <v>280</v>
      </c>
      <c r="C308" s="567">
        <f t="shared" si="21"/>
        <v>280</v>
      </c>
      <c r="D308" s="568">
        <f t="shared" si="25"/>
        <v>771314.00017357268</v>
      </c>
      <c r="E308" s="568">
        <f t="shared" si="22"/>
        <v>3503.0510841216405</v>
      </c>
      <c r="F308" s="568">
        <f t="shared" si="23"/>
        <v>7899.3844308097287</v>
      </c>
      <c r="G308" s="569">
        <f t="shared" si="24"/>
        <v>763414.61574276292</v>
      </c>
    </row>
    <row r="309" spans="2:8">
      <c r="B309" s="566">
        <v>281</v>
      </c>
      <c r="C309" s="567">
        <f t="shared" si="21"/>
        <v>281</v>
      </c>
      <c r="D309" s="568">
        <f t="shared" si="25"/>
        <v>763414.61574276292</v>
      </c>
      <c r="E309" s="568">
        <f t="shared" si="22"/>
        <v>3467.1747131650463</v>
      </c>
      <c r="F309" s="568">
        <f t="shared" si="23"/>
        <v>7935.2608017663242</v>
      </c>
      <c r="G309" s="569">
        <f t="shared" si="24"/>
        <v>755479.35494099662</v>
      </c>
    </row>
    <row r="310" spans="2:8">
      <c r="B310" s="566">
        <v>282</v>
      </c>
      <c r="C310" s="567">
        <f t="shared" si="21"/>
        <v>282</v>
      </c>
      <c r="D310" s="568">
        <f t="shared" si="25"/>
        <v>755479.35494099662</v>
      </c>
      <c r="E310" s="568">
        <f t="shared" si="22"/>
        <v>3431.1354036903572</v>
      </c>
      <c r="F310" s="568">
        <f t="shared" si="23"/>
        <v>7971.3001112410111</v>
      </c>
      <c r="G310" s="569">
        <f t="shared" si="24"/>
        <v>747508.05482975557</v>
      </c>
    </row>
    <row r="311" spans="2:8">
      <c r="B311" s="566">
        <v>283</v>
      </c>
      <c r="C311" s="567">
        <f t="shared" si="21"/>
        <v>283</v>
      </c>
      <c r="D311" s="568">
        <f t="shared" si="25"/>
        <v>747508.05482975557</v>
      </c>
      <c r="E311" s="568">
        <f t="shared" si="22"/>
        <v>3394.932415685138</v>
      </c>
      <c r="F311" s="568">
        <f t="shared" si="23"/>
        <v>8007.5030992462316</v>
      </c>
      <c r="G311" s="569">
        <f t="shared" si="24"/>
        <v>739500.55173050938</v>
      </c>
    </row>
    <row r="312" spans="2:8">
      <c r="B312" s="566">
        <v>284</v>
      </c>
      <c r="C312" s="567">
        <f t="shared" si="21"/>
        <v>284</v>
      </c>
      <c r="D312" s="568">
        <f t="shared" si="25"/>
        <v>739500.55173050938</v>
      </c>
      <c r="E312" s="568">
        <f t="shared" si="22"/>
        <v>3358.5650057760618</v>
      </c>
      <c r="F312" s="568">
        <f t="shared" si="23"/>
        <v>8043.8705091553093</v>
      </c>
      <c r="G312" s="569">
        <f t="shared" si="24"/>
        <v>731456.68122135405</v>
      </c>
    </row>
    <row r="313" spans="2:8">
      <c r="B313" s="566">
        <v>285</v>
      </c>
      <c r="C313" s="567">
        <f t="shared" si="21"/>
        <v>285</v>
      </c>
      <c r="D313" s="568">
        <f t="shared" si="25"/>
        <v>731456.68122135405</v>
      </c>
      <c r="E313" s="568">
        <f t="shared" si="22"/>
        <v>3322.0324272136472</v>
      </c>
      <c r="F313" s="568">
        <f t="shared" si="23"/>
        <v>8080.403087717722</v>
      </c>
      <c r="G313" s="569">
        <f t="shared" si="24"/>
        <v>723376.27813363634</v>
      </c>
    </row>
    <row r="314" spans="2:8">
      <c r="B314" s="566">
        <v>286</v>
      </c>
      <c r="C314" s="567">
        <f t="shared" si="21"/>
        <v>286</v>
      </c>
      <c r="D314" s="568">
        <f t="shared" si="25"/>
        <v>723376.27813363634</v>
      </c>
      <c r="E314" s="568">
        <f t="shared" si="22"/>
        <v>3285.3339298569299</v>
      </c>
      <c r="F314" s="568">
        <f t="shared" si="23"/>
        <v>8117.1015850744407</v>
      </c>
      <c r="G314" s="569">
        <f t="shared" si="24"/>
        <v>715259.1765485619</v>
      </c>
    </row>
    <row r="315" spans="2:8">
      <c r="B315" s="566">
        <v>287</v>
      </c>
      <c r="C315" s="567">
        <f t="shared" si="21"/>
        <v>287</v>
      </c>
      <c r="D315" s="568">
        <f t="shared" si="25"/>
        <v>715259.1765485619</v>
      </c>
      <c r="E315" s="568">
        <f t="shared" si="22"/>
        <v>3248.4687601580495</v>
      </c>
      <c r="F315" s="568">
        <f t="shared" si="23"/>
        <v>8153.9667547733197</v>
      </c>
      <c r="G315" s="569">
        <f t="shared" si="24"/>
        <v>707105.20979378861</v>
      </c>
    </row>
    <row r="316" spans="2:8">
      <c r="B316" s="570">
        <v>288</v>
      </c>
      <c r="C316" s="571">
        <f t="shared" si="21"/>
        <v>288</v>
      </c>
      <c r="D316" s="572">
        <f t="shared" si="25"/>
        <v>707105.20979378861</v>
      </c>
      <c r="E316" s="572">
        <f t="shared" si="22"/>
        <v>3211.436161146788</v>
      </c>
      <c r="F316" s="572">
        <f t="shared" si="23"/>
        <v>8190.999353784583</v>
      </c>
      <c r="G316" s="573">
        <f t="shared" si="24"/>
        <v>698914.21044000401</v>
      </c>
      <c r="H316" s="561"/>
    </row>
    <row r="317" spans="2:8">
      <c r="B317" s="553">
        <v>289</v>
      </c>
      <c r="C317" s="554">
        <f t="shared" si="21"/>
        <v>289</v>
      </c>
      <c r="D317" s="555">
        <f t="shared" si="25"/>
        <v>698914.21044000401</v>
      </c>
      <c r="E317" s="555">
        <f t="shared" si="22"/>
        <v>3174.2353724150157</v>
      </c>
      <c r="F317" s="555">
        <f t="shared" si="23"/>
        <v>8228.2001425163526</v>
      </c>
      <c r="G317" s="556">
        <f t="shared" si="24"/>
        <v>690686.01029748761</v>
      </c>
    </row>
    <row r="318" spans="2:8">
      <c r="B318" s="557">
        <v>290</v>
      </c>
      <c r="C318" s="558">
        <f t="shared" si="21"/>
        <v>290</v>
      </c>
      <c r="D318" s="559">
        <f t="shared" si="25"/>
        <v>690686.01029748761</v>
      </c>
      <c r="E318" s="559">
        <f t="shared" si="22"/>
        <v>3136.8656301010878</v>
      </c>
      <c r="F318" s="559">
        <f t="shared" si="23"/>
        <v>8265.5698848302818</v>
      </c>
      <c r="G318" s="560">
        <f t="shared" si="24"/>
        <v>682420.44041265734</v>
      </c>
    </row>
    <row r="319" spans="2:8">
      <c r="B319" s="557">
        <v>291</v>
      </c>
      <c r="C319" s="558">
        <f t="shared" si="21"/>
        <v>291</v>
      </c>
      <c r="D319" s="559">
        <f t="shared" si="25"/>
        <v>682420.44041265734</v>
      </c>
      <c r="E319" s="559">
        <f t="shared" si="22"/>
        <v>3099.3261668741502</v>
      </c>
      <c r="F319" s="559">
        <f t="shared" si="23"/>
        <v>8303.1093480572181</v>
      </c>
      <c r="G319" s="560">
        <f t="shared" si="24"/>
        <v>674117.33106460015</v>
      </c>
    </row>
    <row r="320" spans="2:8">
      <c r="B320" s="557">
        <v>292</v>
      </c>
      <c r="C320" s="558">
        <f t="shared" si="21"/>
        <v>292</v>
      </c>
      <c r="D320" s="559">
        <f t="shared" si="25"/>
        <v>674117.33106460015</v>
      </c>
      <c r="E320" s="559">
        <f t="shared" si="22"/>
        <v>3061.6162119183905</v>
      </c>
      <c r="F320" s="559">
        <f t="shared" si="23"/>
        <v>8340.8193030129805</v>
      </c>
      <c r="G320" s="560">
        <f t="shared" si="24"/>
        <v>665776.51176158711</v>
      </c>
    </row>
    <row r="321" spans="2:8">
      <c r="B321" s="557">
        <v>293</v>
      </c>
      <c r="C321" s="558">
        <f t="shared" si="21"/>
        <v>293</v>
      </c>
      <c r="D321" s="559">
        <f t="shared" si="25"/>
        <v>665776.51176158711</v>
      </c>
      <c r="E321" s="559">
        <f t="shared" si="22"/>
        <v>3023.7349909172062</v>
      </c>
      <c r="F321" s="559">
        <f t="shared" si="23"/>
        <v>8378.7005240141625</v>
      </c>
      <c r="G321" s="560">
        <f t="shared" si="24"/>
        <v>657397.81123757293</v>
      </c>
    </row>
    <row r="322" spans="2:8">
      <c r="B322" s="557">
        <v>294</v>
      </c>
      <c r="C322" s="558">
        <f t="shared" si="21"/>
        <v>294</v>
      </c>
      <c r="D322" s="559">
        <f t="shared" si="25"/>
        <v>657397.81123757293</v>
      </c>
      <c r="E322" s="559">
        <f t="shared" si="22"/>
        <v>2985.6817260373091</v>
      </c>
      <c r="F322" s="559">
        <f t="shared" si="23"/>
        <v>8416.7537888940606</v>
      </c>
      <c r="G322" s="560">
        <f t="shared" si="24"/>
        <v>648981.05744867888</v>
      </c>
    </row>
    <row r="323" spans="2:8">
      <c r="B323" s="557">
        <v>295</v>
      </c>
      <c r="C323" s="558">
        <f t="shared" si="21"/>
        <v>295</v>
      </c>
      <c r="D323" s="559">
        <f t="shared" si="25"/>
        <v>648981.05744867888</v>
      </c>
      <c r="E323" s="559">
        <f t="shared" si="22"/>
        <v>2947.4556359127478</v>
      </c>
      <c r="F323" s="559">
        <f t="shared" si="23"/>
        <v>8454.9798790186214</v>
      </c>
      <c r="G323" s="560">
        <f t="shared" si="24"/>
        <v>640526.07756966026</v>
      </c>
    </row>
    <row r="324" spans="2:8">
      <c r="B324" s="557">
        <v>296</v>
      </c>
      <c r="C324" s="558">
        <f t="shared" si="21"/>
        <v>296</v>
      </c>
      <c r="D324" s="559">
        <f t="shared" si="25"/>
        <v>640526.07756966026</v>
      </c>
      <c r="E324" s="559">
        <f t="shared" si="22"/>
        <v>2909.0559356288722</v>
      </c>
      <c r="F324" s="559">
        <f t="shared" si="23"/>
        <v>8493.3795793024983</v>
      </c>
      <c r="G324" s="560">
        <f t="shared" si="24"/>
        <v>632032.69799035776</v>
      </c>
    </row>
    <row r="325" spans="2:8">
      <c r="B325" s="557">
        <v>297</v>
      </c>
      <c r="C325" s="558">
        <f t="shared" si="21"/>
        <v>297</v>
      </c>
      <c r="D325" s="559">
        <f t="shared" si="25"/>
        <v>632032.69799035776</v>
      </c>
      <c r="E325" s="559">
        <f t="shared" si="22"/>
        <v>2870.4818367062066</v>
      </c>
      <c r="F325" s="559">
        <f t="shared" si="23"/>
        <v>8531.9536782251635</v>
      </c>
      <c r="G325" s="560">
        <f t="shared" si="24"/>
        <v>623500.74431213259</v>
      </c>
    </row>
    <row r="326" spans="2:8">
      <c r="B326" s="557">
        <v>298</v>
      </c>
      <c r="C326" s="558">
        <f t="shared" si="21"/>
        <v>298</v>
      </c>
      <c r="D326" s="559">
        <f t="shared" si="25"/>
        <v>623500.74431213259</v>
      </c>
      <c r="E326" s="559">
        <f t="shared" si="22"/>
        <v>2831.7325470842666</v>
      </c>
      <c r="F326" s="559">
        <f t="shared" si="23"/>
        <v>8570.7029678471026</v>
      </c>
      <c r="G326" s="560">
        <f t="shared" si="24"/>
        <v>614930.04134428548</v>
      </c>
    </row>
    <row r="327" spans="2:8">
      <c r="B327" s="557">
        <v>299</v>
      </c>
      <c r="C327" s="558">
        <f t="shared" si="21"/>
        <v>299</v>
      </c>
      <c r="D327" s="559">
        <f t="shared" si="25"/>
        <v>614930.04134428548</v>
      </c>
      <c r="E327" s="559">
        <f t="shared" si="22"/>
        <v>2792.8072711052951</v>
      </c>
      <c r="F327" s="559">
        <f t="shared" si="23"/>
        <v>8609.628243826075</v>
      </c>
      <c r="G327" s="560">
        <f t="shared" si="24"/>
        <v>606320.41310045938</v>
      </c>
    </row>
    <row r="328" spans="2:8">
      <c r="B328" s="562">
        <v>300</v>
      </c>
      <c r="C328" s="563">
        <f t="shared" si="21"/>
        <v>300</v>
      </c>
      <c r="D328" s="564">
        <f t="shared" si="25"/>
        <v>606320.41310045938</v>
      </c>
      <c r="E328" s="564">
        <f t="shared" si="22"/>
        <v>2753.7052094979181</v>
      </c>
      <c r="F328" s="564">
        <f t="shared" si="23"/>
        <v>8648.7303054334516</v>
      </c>
      <c r="G328" s="565">
        <f t="shared" si="24"/>
        <v>597671.68279502587</v>
      </c>
      <c r="H328" s="561"/>
    </row>
    <row r="329" spans="2:8">
      <c r="B329" s="574">
        <v>301</v>
      </c>
      <c r="C329" s="575">
        <f t="shared" si="21"/>
        <v>301</v>
      </c>
      <c r="D329" s="576">
        <f t="shared" si="25"/>
        <v>597671.68279502587</v>
      </c>
      <c r="E329" s="576">
        <f t="shared" si="22"/>
        <v>2714.4255593607418</v>
      </c>
      <c r="F329" s="576">
        <f t="shared" si="23"/>
        <v>8688.0099555706274</v>
      </c>
      <c r="G329" s="577">
        <f t="shared" si="24"/>
        <v>588983.67283945519</v>
      </c>
    </row>
    <row r="330" spans="2:8">
      <c r="B330" s="566">
        <v>302</v>
      </c>
      <c r="C330" s="567">
        <f t="shared" si="21"/>
        <v>302</v>
      </c>
      <c r="D330" s="568">
        <f t="shared" si="25"/>
        <v>588983.67283945519</v>
      </c>
      <c r="E330" s="568">
        <f t="shared" si="22"/>
        <v>2674.9675141458574</v>
      </c>
      <c r="F330" s="568">
        <f t="shared" si="23"/>
        <v>8727.4680007855113</v>
      </c>
      <c r="G330" s="569">
        <f t="shared" si="24"/>
        <v>580256.20483866963</v>
      </c>
    </row>
    <row r="331" spans="2:8">
      <c r="B331" s="566">
        <v>303</v>
      </c>
      <c r="C331" s="567">
        <f t="shared" si="21"/>
        <v>303</v>
      </c>
      <c r="D331" s="568">
        <f t="shared" si="25"/>
        <v>580256.20483866963</v>
      </c>
      <c r="E331" s="568">
        <f t="shared" si="22"/>
        <v>2635.3302636422904</v>
      </c>
      <c r="F331" s="568">
        <f t="shared" si="23"/>
        <v>8767.1052512890801</v>
      </c>
      <c r="G331" s="569">
        <f t="shared" si="24"/>
        <v>571489.09958738054</v>
      </c>
    </row>
    <row r="332" spans="2:8">
      <c r="B332" s="566">
        <v>304</v>
      </c>
      <c r="C332" s="567">
        <f t="shared" si="21"/>
        <v>304</v>
      </c>
      <c r="D332" s="568">
        <f t="shared" si="25"/>
        <v>571489.09958738054</v>
      </c>
      <c r="E332" s="568">
        <f t="shared" si="22"/>
        <v>2595.5129939593526</v>
      </c>
      <c r="F332" s="568">
        <f t="shared" si="23"/>
        <v>8806.9225209720171</v>
      </c>
      <c r="G332" s="569">
        <f t="shared" si="24"/>
        <v>562682.17706640856</v>
      </c>
    </row>
    <row r="333" spans="2:8">
      <c r="B333" s="566">
        <v>305</v>
      </c>
      <c r="C333" s="567">
        <f t="shared" si="21"/>
        <v>305</v>
      </c>
      <c r="D333" s="568">
        <f t="shared" si="25"/>
        <v>562682.17706640856</v>
      </c>
      <c r="E333" s="568">
        <f t="shared" si="22"/>
        <v>2555.514887509938</v>
      </c>
      <c r="F333" s="568">
        <f t="shared" si="23"/>
        <v>8846.9206274214321</v>
      </c>
      <c r="G333" s="569">
        <f t="shared" si="24"/>
        <v>553835.2564389871</v>
      </c>
    </row>
    <row r="334" spans="2:8">
      <c r="B334" s="566">
        <v>306</v>
      </c>
      <c r="C334" s="567">
        <f t="shared" si="21"/>
        <v>306</v>
      </c>
      <c r="D334" s="568">
        <f t="shared" si="25"/>
        <v>553835.2564389871</v>
      </c>
      <c r="E334" s="568">
        <f t="shared" si="22"/>
        <v>2515.3351229937321</v>
      </c>
      <c r="F334" s="568">
        <f t="shared" si="23"/>
        <v>8887.1003919376381</v>
      </c>
      <c r="G334" s="569">
        <f t="shared" si="24"/>
        <v>544948.15604704944</v>
      </c>
    </row>
    <row r="335" spans="2:8">
      <c r="B335" s="566">
        <v>307</v>
      </c>
      <c r="C335" s="567">
        <f t="shared" si="21"/>
        <v>307</v>
      </c>
      <c r="D335" s="568">
        <f t="shared" si="25"/>
        <v>544948.15604704944</v>
      </c>
      <c r="E335" s="568">
        <f t="shared" si="22"/>
        <v>2474.9728753803488</v>
      </c>
      <c r="F335" s="568">
        <f t="shared" si="23"/>
        <v>8927.4626395510204</v>
      </c>
      <c r="G335" s="569">
        <f t="shared" si="24"/>
        <v>536020.69340749842</v>
      </c>
    </row>
    <row r="336" spans="2:8">
      <c r="B336" s="566">
        <v>308</v>
      </c>
      <c r="C336" s="567">
        <f t="shared" si="21"/>
        <v>308</v>
      </c>
      <c r="D336" s="568">
        <f t="shared" si="25"/>
        <v>536020.69340749842</v>
      </c>
      <c r="E336" s="568">
        <f t="shared" si="22"/>
        <v>2434.4273158923879</v>
      </c>
      <c r="F336" s="568">
        <f t="shared" si="23"/>
        <v>8968.0081990389808</v>
      </c>
      <c r="G336" s="569">
        <f t="shared" si="24"/>
        <v>527052.68520845938</v>
      </c>
    </row>
    <row r="337" spans="2:8">
      <c r="B337" s="566">
        <v>309</v>
      </c>
      <c r="C337" s="567">
        <f t="shared" si="21"/>
        <v>309</v>
      </c>
      <c r="D337" s="568">
        <f t="shared" si="25"/>
        <v>527052.68520845938</v>
      </c>
      <c r="E337" s="568">
        <f t="shared" si="22"/>
        <v>2393.6976119884193</v>
      </c>
      <c r="F337" s="568">
        <f t="shared" si="23"/>
        <v>9008.7379029429503</v>
      </c>
      <c r="G337" s="569">
        <f t="shared" si="24"/>
        <v>518043.94730551646</v>
      </c>
    </row>
    <row r="338" spans="2:8">
      <c r="B338" s="566">
        <v>310</v>
      </c>
      <c r="C338" s="567">
        <f t="shared" si="21"/>
        <v>310</v>
      </c>
      <c r="D338" s="568">
        <f t="shared" si="25"/>
        <v>518043.94730551646</v>
      </c>
      <c r="E338" s="568">
        <f t="shared" si="22"/>
        <v>2352.7829273458869</v>
      </c>
      <c r="F338" s="568">
        <f t="shared" si="23"/>
        <v>9049.6525875854823</v>
      </c>
      <c r="G338" s="569">
        <f t="shared" si="24"/>
        <v>508994.29471793096</v>
      </c>
    </row>
    <row r="339" spans="2:8">
      <c r="B339" s="566">
        <v>311</v>
      </c>
      <c r="C339" s="567">
        <f t="shared" si="21"/>
        <v>311</v>
      </c>
      <c r="D339" s="568">
        <f t="shared" si="25"/>
        <v>508994.29471793096</v>
      </c>
      <c r="E339" s="568">
        <f t="shared" si="22"/>
        <v>2311.6824218439356</v>
      </c>
      <c r="F339" s="568">
        <f t="shared" si="23"/>
        <v>9090.7530930874345</v>
      </c>
      <c r="G339" s="569">
        <f t="shared" si="24"/>
        <v>499903.54162484349</v>
      </c>
    </row>
    <row r="340" spans="2:8">
      <c r="B340" s="570">
        <v>312</v>
      </c>
      <c r="C340" s="571">
        <f t="shared" si="21"/>
        <v>312</v>
      </c>
      <c r="D340" s="572">
        <f t="shared" si="25"/>
        <v>499903.54162484349</v>
      </c>
      <c r="E340" s="572">
        <f t="shared" si="22"/>
        <v>2270.3952515461638</v>
      </c>
      <c r="F340" s="572">
        <f t="shared" si="23"/>
        <v>9132.0402633852063</v>
      </c>
      <c r="G340" s="573">
        <f t="shared" si="24"/>
        <v>490771.50136145827</v>
      </c>
      <c r="H340" s="561"/>
    </row>
    <row r="341" spans="2:8">
      <c r="B341" s="553">
        <v>313</v>
      </c>
      <c r="C341" s="554">
        <f t="shared" si="21"/>
        <v>313</v>
      </c>
      <c r="D341" s="555">
        <f t="shared" si="25"/>
        <v>490771.50136145827</v>
      </c>
      <c r="E341" s="555">
        <f t="shared" si="22"/>
        <v>2228.9205686832893</v>
      </c>
      <c r="F341" s="555">
        <f t="shared" si="23"/>
        <v>9173.5149462480804</v>
      </c>
      <c r="G341" s="556">
        <f t="shared" si="24"/>
        <v>481597.98641521018</v>
      </c>
    </row>
    <row r="342" spans="2:8">
      <c r="B342" s="557">
        <v>314</v>
      </c>
      <c r="C342" s="558">
        <f t="shared" si="21"/>
        <v>314</v>
      </c>
      <c r="D342" s="559">
        <f t="shared" si="25"/>
        <v>481597.98641521018</v>
      </c>
      <c r="E342" s="559">
        <f t="shared" si="22"/>
        <v>2187.2575216357459</v>
      </c>
      <c r="F342" s="559">
        <f t="shared" si="23"/>
        <v>9215.1779932956251</v>
      </c>
      <c r="G342" s="560">
        <f t="shared" si="24"/>
        <v>472382.80842191458</v>
      </c>
    </row>
    <row r="343" spans="2:8">
      <c r="B343" s="557">
        <v>315</v>
      </c>
      <c r="C343" s="558">
        <f t="shared" si="21"/>
        <v>315</v>
      </c>
      <c r="D343" s="559">
        <f t="shared" si="25"/>
        <v>472382.80842191458</v>
      </c>
      <c r="E343" s="559">
        <f t="shared" si="22"/>
        <v>2145.4052549161952</v>
      </c>
      <c r="F343" s="559">
        <f t="shared" si="23"/>
        <v>9257.0302600151736</v>
      </c>
      <c r="G343" s="560">
        <f t="shared" si="24"/>
        <v>463125.77816189942</v>
      </c>
    </row>
    <row r="344" spans="2:8">
      <c r="B344" s="557">
        <v>316</v>
      </c>
      <c r="C344" s="558">
        <f t="shared" si="21"/>
        <v>316</v>
      </c>
      <c r="D344" s="559">
        <f t="shared" si="25"/>
        <v>463125.77816189942</v>
      </c>
      <c r="E344" s="559">
        <f t="shared" si="22"/>
        <v>2103.3629091519597</v>
      </c>
      <c r="F344" s="559">
        <f t="shared" si="23"/>
        <v>9299.0726057794109</v>
      </c>
      <c r="G344" s="560">
        <f t="shared" si="24"/>
        <v>453826.70555612002</v>
      </c>
    </row>
    <row r="345" spans="2:8">
      <c r="B345" s="557">
        <v>317</v>
      </c>
      <c r="C345" s="558">
        <f t="shared" si="21"/>
        <v>317</v>
      </c>
      <c r="D345" s="559">
        <f t="shared" si="25"/>
        <v>453826.70555612002</v>
      </c>
      <c r="E345" s="559">
        <f t="shared" si="22"/>
        <v>2061.1296210673781</v>
      </c>
      <c r="F345" s="559">
        <f t="shared" si="23"/>
        <v>9341.3058938639915</v>
      </c>
      <c r="G345" s="560">
        <f t="shared" si="24"/>
        <v>444485.39966225601</v>
      </c>
    </row>
    <row r="346" spans="2:8">
      <c r="B346" s="557">
        <v>318</v>
      </c>
      <c r="C346" s="558">
        <f t="shared" si="21"/>
        <v>318</v>
      </c>
      <c r="D346" s="559">
        <f t="shared" si="25"/>
        <v>444485.39966225601</v>
      </c>
      <c r="E346" s="559">
        <f t="shared" si="22"/>
        <v>2018.7045234660789</v>
      </c>
      <c r="F346" s="559">
        <f t="shared" si="23"/>
        <v>9383.7309914652906</v>
      </c>
      <c r="G346" s="560">
        <f t="shared" si="24"/>
        <v>435101.66867079074</v>
      </c>
    </row>
    <row r="347" spans="2:8">
      <c r="B347" s="557">
        <v>319</v>
      </c>
      <c r="C347" s="558">
        <f t="shared" si="21"/>
        <v>319</v>
      </c>
      <c r="D347" s="559">
        <f t="shared" si="25"/>
        <v>435101.66867079074</v>
      </c>
      <c r="E347" s="559">
        <f t="shared" si="22"/>
        <v>1976.0867452131743</v>
      </c>
      <c r="F347" s="559">
        <f t="shared" si="23"/>
        <v>9426.3487697181954</v>
      </c>
      <c r="G347" s="560">
        <f t="shared" si="24"/>
        <v>425675.31990107254</v>
      </c>
    </row>
    <row r="348" spans="2:8">
      <c r="B348" s="557">
        <v>320</v>
      </c>
      <c r="C348" s="558">
        <f t="shared" si="21"/>
        <v>320</v>
      </c>
      <c r="D348" s="559">
        <f t="shared" si="25"/>
        <v>425675.31990107254</v>
      </c>
      <c r="E348" s="559">
        <f t="shared" si="22"/>
        <v>1933.2754112173707</v>
      </c>
      <c r="F348" s="559">
        <f t="shared" si="23"/>
        <v>9469.160103713999</v>
      </c>
      <c r="G348" s="560">
        <f t="shared" si="24"/>
        <v>416206.15979735856</v>
      </c>
    </row>
    <row r="349" spans="2:8">
      <c r="B349" s="557">
        <v>321</v>
      </c>
      <c r="C349" s="558">
        <f t="shared" ref="C349:C388" si="26">IF(C$9*12&gt;=B349,"I/O",B349-(C$9*12))</f>
        <v>321</v>
      </c>
      <c r="D349" s="559">
        <f t="shared" si="25"/>
        <v>416206.15979735856</v>
      </c>
      <c r="E349" s="559">
        <f t="shared" ref="E349:E388" si="27">IF(C349="I/O",C$5*C$6/12,-IPMT(C$6/12,C349,C$8*12,C$5))</f>
        <v>1890.2696424130031</v>
      </c>
      <c r="F349" s="559">
        <f t="shared" ref="F349:F388" si="28">IF(C349&lt;&gt;"I/O",-PPMT(C$6/12,C349,C$8*12,C$5),0)</f>
        <v>9512.1658725183661</v>
      </c>
      <c r="G349" s="560">
        <f t="shared" ref="G349:G388" si="29">D349-F349</f>
        <v>406693.99392484018</v>
      </c>
    </row>
    <row r="350" spans="2:8">
      <c r="B350" s="557">
        <v>322</v>
      </c>
      <c r="C350" s="558">
        <f t="shared" si="26"/>
        <v>322</v>
      </c>
      <c r="D350" s="559">
        <f t="shared" ref="D350:D388" si="30">G349</f>
        <v>406693.99392484018</v>
      </c>
      <c r="E350" s="559">
        <f t="shared" si="27"/>
        <v>1847.068555741982</v>
      </c>
      <c r="F350" s="559">
        <f t="shared" si="28"/>
        <v>9555.3669591893886</v>
      </c>
      <c r="G350" s="560">
        <f t="shared" si="29"/>
        <v>397138.62696565076</v>
      </c>
    </row>
    <row r="351" spans="2:8">
      <c r="B351" s="557">
        <v>323</v>
      </c>
      <c r="C351" s="558">
        <f t="shared" si="26"/>
        <v>323</v>
      </c>
      <c r="D351" s="559">
        <f t="shared" si="30"/>
        <v>397138.62696565076</v>
      </c>
      <c r="E351" s="559">
        <f t="shared" si="27"/>
        <v>1803.6712641356635</v>
      </c>
      <c r="F351" s="559">
        <f t="shared" si="28"/>
        <v>9598.7642507957062</v>
      </c>
      <c r="G351" s="560">
        <f t="shared" si="29"/>
        <v>387539.86271485506</v>
      </c>
    </row>
    <row r="352" spans="2:8">
      <c r="B352" s="562">
        <v>324</v>
      </c>
      <c r="C352" s="563">
        <f t="shared" si="26"/>
        <v>324</v>
      </c>
      <c r="D352" s="564">
        <f t="shared" si="30"/>
        <v>387539.86271485506</v>
      </c>
      <c r="E352" s="564">
        <f t="shared" si="27"/>
        <v>1760.0768764966331</v>
      </c>
      <c r="F352" s="564">
        <f t="shared" si="28"/>
        <v>9642.3586384347363</v>
      </c>
      <c r="G352" s="565">
        <f t="shared" si="29"/>
        <v>377897.50407642033</v>
      </c>
      <c r="H352" s="561"/>
    </row>
    <row r="353" spans="2:8">
      <c r="B353" s="574">
        <v>325</v>
      </c>
      <c r="C353" s="575">
        <f t="shared" si="26"/>
        <v>325</v>
      </c>
      <c r="D353" s="576">
        <f t="shared" si="30"/>
        <v>377897.50407642033</v>
      </c>
      <c r="E353" s="576">
        <f t="shared" si="27"/>
        <v>1716.2844976804085</v>
      </c>
      <c r="F353" s="576">
        <f t="shared" si="28"/>
        <v>9686.1510172509606</v>
      </c>
      <c r="G353" s="577">
        <f t="shared" si="29"/>
        <v>368211.35305916937</v>
      </c>
    </row>
    <row r="354" spans="2:8">
      <c r="B354" s="566">
        <v>326</v>
      </c>
      <c r="C354" s="567">
        <f t="shared" si="26"/>
        <v>326</v>
      </c>
      <c r="D354" s="568">
        <f t="shared" si="30"/>
        <v>368211.35305916937</v>
      </c>
      <c r="E354" s="568">
        <f t="shared" si="27"/>
        <v>1672.2932284770604</v>
      </c>
      <c r="F354" s="568">
        <f t="shared" si="28"/>
        <v>9730.1422864543092</v>
      </c>
      <c r="G354" s="569">
        <f t="shared" si="29"/>
        <v>358481.21077271504</v>
      </c>
    </row>
    <row r="355" spans="2:8">
      <c r="B355" s="566">
        <v>327</v>
      </c>
      <c r="C355" s="567">
        <f t="shared" si="26"/>
        <v>327</v>
      </c>
      <c r="D355" s="568">
        <f t="shared" si="30"/>
        <v>358481.21077271504</v>
      </c>
      <c r="E355" s="568">
        <f t="shared" si="27"/>
        <v>1628.1021655927468</v>
      </c>
      <c r="F355" s="568">
        <f t="shared" si="28"/>
        <v>9774.3333493386217</v>
      </c>
      <c r="G355" s="569">
        <f t="shared" si="29"/>
        <v>348706.87742337643</v>
      </c>
    </row>
    <row r="356" spans="2:8">
      <c r="B356" s="566">
        <v>328</v>
      </c>
      <c r="C356" s="567">
        <f t="shared" si="26"/>
        <v>328</v>
      </c>
      <c r="D356" s="568">
        <f t="shared" si="30"/>
        <v>348706.87742337643</v>
      </c>
      <c r="E356" s="568">
        <f t="shared" si="27"/>
        <v>1583.7104016311678</v>
      </c>
      <c r="F356" s="568">
        <f t="shared" si="28"/>
        <v>9818.7251133002028</v>
      </c>
      <c r="G356" s="569">
        <f t="shared" si="29"/>
        <v>338888.15231007623</v>
      </c>
    </row>
    <row r="357" spans="2:8">
      <c r="B357" s="566">
        <v>329</v>
      </c>
      <c r="C357" s="567">
        <f t="shared" si="26"/>
        <v>329</v>
      </c>
      <c r="D357" s="568">
        <f t="shared" si="30"/>
        <v>338888.15231007623</v>
      </c>
      <c r="E357" s="568">
        <f t="shared" si="27"/>
        <v>1539.1170250749292</v>
      </c>
      <c r="F357" s="568">
        <f t="shared" si="28"/>
        <v>9863.3184898564396</v>
      </c>
      <c r="G357" s="569">
        <f t="shared" si="29"/>
        <v>329024.83382021979</v>
      </c>
    </row>
    <row r="358" spans="2:8">
      <c r="B358" s="566">
        <v>330</v>
      </c>
      <c r="C358" s="567">
        <f t="shared" si="26"/>
        <v>330</v>
      </c>
      <c r="D358" s="568">
        <f t="shared" si="30"/>
        <v>329024.83382021979</v>
      </c>
      <c r="E358" s="568">
        <f t="shared" si="27"/>
        <v>1494.321120266831</v>
      </c>
      <c r="F358" s="568">
        <f t="shared" si="28"/>
        <v>9908.1143946645388</v>
      </c>
      <c r="G358" s="569">
        <f t="shared" si="29"/>
        <v>319116.71942555526</v>
      </c>
    </row>
    <row r="359" spans="2:8">
      <c r="B359" s="566">
        <v>331</v>
      </c>
      <c r="C359" s="567">
        <f t="shared" si="26"/>
        <v>331</v>
      </c>
      <c r="D359" s="568">
        <f t="shared" si="30"/>
        <v>319116.71942555526</v>
      </c>
      <c r="E359" s="568">
        <f t="shared" si="27"/>
        <v>1449.3217673910631</v>
      </c>
      <c r="F359" s="568">
        <f t="shared" si="28"/>
        <v>9953.1137475403066</v>
      </c>
      <c r="G359" s="569">
        <f t="shared" si="29"/>
        <v>309163.60567801498</v>
      </c>
    </row>
    <row r="360" spans="2:8">
      <c r="B360" s="566">
        <v>332</v>
      </c>
      <c r="C360" s="567">
        <f t="shared" si="26"/>
        <v>332</v>
      </c>
      <c r="D360" s="568">
        <f t="shared" si="30"/>
        <v>309163.60567801498</v>
      </c>
      <c r="E360" s="568">
        <f t="shared" si="27"/>
        <v>1404.1180424543177</v>
      </c>
      <c r="F360" s="568">
        <f t="shared" si="28"/>
        <v>9998.3174724770524</v>
      </c>
      <c r="G360" s="569">
        <f t="shared" si="29"/>
        <v>299165.28820553795</v>
      </c>
    </row>
    <row r="361" spans="2:8">
      <c r="B361" s="566">
        <v>333</v>
      </c>
      <c r="C361" s="567">
        <f t="shared" si="26"/>
        <v>333</v>
      </c>
      <c r="D361" s="568">
        <f t="shared" si="30"/>
        <v>299165.28820553795</v>
      </c>
      <c r="E361" s="568">
        <f t="shared" si="27"/>
        <v>1358.7090172668175</v>
      </c>
      <c r="F361" s="568">
        <f t="shared" si="28"/>
        <v>10043.726497664551</v>
      </c>
      <c r="G361" s="569">
        <f t="shared" si="29"/>
        <v>289121.56170787342</v>
      </c>
    </row>
    <row r="362" spans="2:8">
      <c r="B362" s="566">
        <v>334</v>
      </c>
      <c r="C362" s="567">
        <f t="shared" si="26"/>
        <v>334</v>
      </c>
      <c r="D362" s="568">
        <f t="shared" si="30"/>
        <v>289121.56170787342</v>
      </c>
      <c r="E362" s="568">
        <f t="shared" si="27"/>
        <v>1313.0937594232578</v>
      </c>
      <c r="F362" s="568">
        <f t="shared" si="28"/>
        <v>10089.341755508111</v>
      </c>
      <c r="G362" s="569">
        <f t="shared" si="29"/>
        <v>279032.21995236533</v>
      </c>
    </row>
    <row r="363" spans="2:8">
      <c r="B363" s="566">
        <v>335</v>
      </c>
      <c r="C363" s="567">
        <f t="shared" si="26"/>
        <v>335</v>
      </c>
      <c r="D363" s="568">
        <f t="shared" si="30"/>
        <v>279032.21995236533</v>
      </c>
      <c r="E363" s="568">
        <f t="shared" si="27"/>
        <v>1267.2713322836585</v>
      </c>
      <c r="F363" s="568">
        <f t="shared" si="28"/>
        <v>10135.16418264771</v>
      </c>
      <c r="G363" s="569">
        <f t="shared" si="29"/>
        <v>268897.05576971761</v>
      </c>
    </row>
    <row r="364" spans="2:8">
      <c r="B364" s="570">
        <v>336</v>
      </c>
      <c r="C364" s="571">
        <f t="shared" si="26"/>
        <v>336</v>
      </c>
      <c r="D364" s="572">
        <f t="shared" si="30"/>
        <v>268897.05576971761</v>
      </c>
      <c r="E364" s="572">
        <f t="shared" si="27"/>
        <v>1221.2407949541334</v>
      </c>
      <c r="F364" s="572">
        <f t="shared" si="28"/>
        <v>10181.194719977237</v>
      </c>
      <c r="G364" s="573">
        <f t="shared" si="29"/>
        <v>258715.86104974037</v>
      </c>
      <c r="H364" s="561"/>
    </row>
    <row r="365" spans="2:8">
      <c r="B365" s="553">
        <v>337</v>
      </c>
      <c r="C365" s="554">
        <f t="shared" si="26"/>
        <v>337</v>
      </c>
      <c r="D365" s="555">
        <f t="shared" si="30"/>
        <v>258715.86104974037</v>
      </c>
      <c r="E365" s="555">
        <f t="shared" si="27"/>
        <v>1175.0012022675701</v>
      </c>
      <c r="F365" s="555">
        <f t="shared" si="28"/>
        <v>10227.4343126638</v>
      </c>
      <c r="G365" s="556">
        <f t="shared" si="29"/>
        <v>248488.42673707657</v>
      </c>
    </row>
    <row r="366" spans="2:8">
      <c r="B366" s="557">
        <v>338</v>
      </c>
      <c r="C366" s="558">
        <f t="shared" si="26"/>
        <v>338</v>
      </c>
      <c r="D366" s="559">
        <f t="shared" si="30"/>
        <v>248488.42673707657</v>
      </c>
      <c r="E366" s="559">
        <f t="shared" si="27"/>
        <v>1128.5516047642222</v>
      </c>
      <c r="F366" s="559">
        <f t="shared" si="28"/>
        <v>10273.883910167147</v>
      </c>
      <c r="G366" s="560">
        <f t="shared" si="29"/>
        <v>238214.54282690943</v>
      </c>
    </row>
    <row r="367" spans="2:8">
      <c r="B367" s="557">
        <v>339</v>
      </c>
      <c r="C367" s="558">
        <f t="shared" si="26"/>
        <v>339</v>
      </c>
      <c r="D367" s="559">
        <f t="shared" si="30"/>
        <v>238214.54282690943</v>
      </c>
      <c r="E367" s="559">
        <f t="shared" si="27"/>
        <v>1081.8910486722129</v>
      </c>
      <c r="F367" s="559">
        <f t="shared" si="28"/>
        <v>10320.544466259158</v>
      </c>
      <c r="G367" s="560">
        <f t="shared" si="29"/>
        <v>227893.99836065026</v>
      </c>
    </row>
    <row r="368" spans="2:8">
      <c r="B368" s="557">
        <v>340</v>
      </c>
      <c r="C368" s="558">
        <f t="shared" si="26"/>
        <v>340</v>
      </c>
      <c r="D368" s="559">
        <f t="shared" si="30"/>
        <v>227893.99836065026</v>
      </c>
      <c r="E368" s="559">
        <f t="shared" si="27"/>
        <v>1035.0185758879525</v>
      </c>
      <c r="F368" s="559">
        <f t="shared" si="28"/>
        <v>10367.416939043416</v>
      </c>
      <c r="G368" s="560">
        <f t="shared" si="29"/>
        <v>217526.58142160685</v>
      </c>
    </row>
    <row r="369" spans="2:8">
      <c r="B369" s="557">
        <v>341</v>
      </c>
      <c r="C369" s="558">
        <f t="shared" si="26"/>
        <v>341</v>
      </c>
      <c r="D369" s="559">
        <f t="shared" si="30"/>
        <v>217526.58142160685</v>
      </c>
      <c r="E369" s="559">
        <f t="shared" si="27"/>
        <v>987.93322395646385</v>
      </c>
      <c r="F369" s="559">
        <f t="shared" si="28"/>
        <v>10414.502290974906</v>
      </c>
      <c r="G369" s="560">
        <f t="shared" si="29"/>
        <v>207112.07913063196</v>
      </c>
    </row>
    <row r="370" spans="2:8">
      <c r="B370" s="557">
        <v>342</v>
      </c>
      <c r="C370" s="558">
        <f t="shared" si="26"/>
        <v>342</v>
      </c>
      <c r="D370" s="559">
        <f t="shared" si="30"/>
        <v>207112.07913063196</v>
      </c>
      <c r="E370" s="559">
        <f t="shared" si="27"/>
        <v>940.63402605161946</v>
      </c>
      <c r="F370" s="559">
        <f t="shared" si="28"/>
        <v>10461.80148887975</v>
      </c>
      <c r="G370" s="560">
        <f t="shared" si="29"/>
        <v>196650.27764175221</v>
      </c>
    </row>
    <row r="371" spans="2:8">
      <c r="B371" s="557">
        <v>343</v>
      </c>
      <c r="C371" s="558">
        <f t="shared" si="26"/>
        <v>343</v>
      </c>
      <c r="D371" s="559">
        <f t="shared" si="30"/>
        <v>196650.27764175221</v>
      </c>
      <c r="E371" s="559">
        <f t="shared" si="27"/>
        <v>893.12001095629046</v>
      </c>
      <c r="F371" s="559">
        <f t="shared" si="28"/>
        <v>10509.31550397508</v>
      </c>
      <c r="G371" s="560">
        <f t="shared" si="29"/>
        <v>186140.96213777713</v>
      </c>
    </row>
    <row r="372" spans="2:8">
      <c r="B372" s="557">
        <v>344</v>
      </c>
      <c r="C372" s="558">
        <f t="shared" si="26"/>
        <v>344</v>
      </c>
      <c r="D372" s="559">
        <f t="shared" si="30"/>
        <v>186140.96213777713</v>
      </c>
      <c r="E372" s="559">
        <f t="shared" si="27"/>
        <v>845.39020304240353</v>
      </c>
      <c r="F372" s="559">
        <f t="shared" si="28"/>
        <v>10557.045311888965</v>
      </c>
      <c r="G372" s="560">
        <f t="shared" si="29"/>
        <v>175583.91682588815</v>
      </c>
    </row>
    <row r="373" spans="2:8">
      <c r="B373" s="557">
        <v>345</v>
      </c>
      <c r="C373" s="558">
        <f t="shared" si="26"/>
        <v>345</v>
      </c>
      <c r="D373" s="559">
        <f t="shared" si="30"/>
        <v>175583.91682588815</v>
      </c>
      <c r="E373" s="559">
        <f t="shared" si="27"/>
        <v>797.44362225090788</v>
      </c>
      <c r="F373" s="559">
        <f t="shared" si="28"/>
        <v>10604.99189268046</v>
      </c>
      <c r="G373" s="560">
        <f t="shared" si="29"/>
        <v>164978.92493320769</v>
      </c>
    </row>
    <row r="374" spans="2:8">
      <c r="B374" s="557">
        <v>346</v>
      </c>
      <c r="C374" s="558">
        <f t="shared" si="26"/>
        <v>346</v>
      </c>
      <c r="D374" s="559">
        <f t="shared" si="30"/>
        <v>164978.92493320769</v>
      </c>
      <c r="E374" s="559">
        <f t="shared" si="27"/>
        <v>749.27928407165086</v>
      </c>
      <c r="F374" s="559">
        <f t="shared" si="28"/>
        <v>10653.156230859719</v>
      </c>
      <c r="G374" s="560">
        <f t="shared" si="29"/>
        <v>154325.76870234797</v>
      </c>
    </row>
    <row r="375" spans="2:8">
      <c r="B375" s="557">
        <v>347</v>
      </c>
      <c r="C375" s="558">
        <f t="shared" si="26"/>
        <v>347</v>
      </c>
      <c r="D375" s="559">
        <f t="shared" si="30"/>
        <v>154325.76870234797</v>
      </c>
      <c r="E375" s="559">
        <f t="shared" si="27"/>
        <v>700.89619952316298</v>
      </c>
      <c r="F375" s="559">
        <f t="shared" si="28"/>
        <v>10701.539315408207</v>
      </c>
      <c r="G375" s="560">
        <f t="shared" si="29"/>
        <v>143624.22938693975</v>
      </c>
    </row>
    <row r="376" spans="2:8">
      <c r="B376" s="562">
        <v>348</v>
      </c>
      <c r="C376" s="563">
        <f t="shared" si="26"/>
        <v>348</v>
      </c>
      <c r="D376" s="564">
        <f t="shared" si="30"/>
        <v>143624.22938693975</v>
      </c>
      <c r="E376" s="564">
        <f t="shared" si="27"/>
        <v>652.29337513235077</v>
      </c>
      <c r="F376" s="564">
        <f t="shared" si="28"/>
        <v>10750.142139799018</v>
      </c>
      <c r="G376" s="565">
        <f t="shared" si="29"/>
        <v>132874.08724714073</v>
      </c>
      <c r="H376" s="561"/>
    </row>
    <row r="377" spans="2:8">
      <c r="B377" s="574">
        <v>349</v>
      </c>
      <c r="C377" s="575">
        <f t="shared" si="26"/>
        <v>349</v>
      </c>
      <c r="D377" s="576">
        <f t="shared" si="30"/>
        <v>132874.08724714073</v>
      </c>
      <c r="E377" s="576">
        <f t="shared" si="27"/>
        <v>603.46981291409691</v>
      </c>
      <c r="F377" s="576">
        <f t="shared" si="28"/>
        <v>10798.965702017273</v>
      </c>
      <c r="G377" s="577">
        <f t="shared" si="29"/>
        <v>122075.12154512346</v>
      </c>
    </row>
    <row r="378" spans="2:8">
      <c r="B378" s="566">
        <v>350</v>
      </c>
      <c r="C378" s="567">
        <f t="shared" si="26"/>
        <v>350</v>
      </c>
      <c r="D378" s="568">
        <f t="shared" si="30"/>
        <v>122075.12154512346</v>
      </c>
      <c r="E378" s="568">
        <f t="shared" si="27"/>
        <v>554.4245103507684</v>
      </c>
      <c r="F378" s="568">
        <f t="shared" si="28"/>
        <v>10848.011004580601</v>
      </c>
      <c r="G378" s="569">
        <f t="shared" si="29"/>
        <v>111227.11054054285</v>
      </c>
    </row>
    <row r="379" spans="2:8">
      <c r="B379" s="566">
        <v>351</v>
      </c>
      <c r="C379" s="567">
        <f t="shared" si="26"/>
        <v>351</v>
      </c>
      <c r="D379" s="568">
        <f t="shared" si="30"/>
        <v>111227.11054054285</v>
      </c>
      <c r="E379" s="568">
        <f t="shared" si="27"/>
        <v>505.15646037163151</v>
      </c>
      <c r="F379" s="568">
        <f t="shared" si="28"/>
        <v>10897.279054559738</v>
      </c>
      <c r="G379" s="569">
        <f t="shared" si="29"/>
        <v>100329.83148598312</v>
      </c>
    </row>
    <row r="380" spans="2:8">
      <c r="B380" s="566">
        <v>352</v>
      </c>
      <c r="C380" s="567">
        <f t="shared" si="26"/>
        <v>352</v>
      </c>
      <c r="D380" s="568">
        <f t="shared" si="30"/>
        <v>100329.83148598312</v>
      </c>
      <c r="E380" s="568">
        <f t="shared" si="27"/>
        <v>455.66465133217275</v>
      </c>
      <c r="F380" s="568">
        <f t="shared" si="28"/>
        <v>10946.770863599197</v>
      </c>
      <c r="G380" s="569">
        <f t="shared" si="29"/>
        <v>89383.060622383913</v>
      </c>
    </row>
    <row r="381" spans="2:8">
      <c r="B381" s="566">
        <v>353</v>
      </c>
      <c r="C381" s="567">
        <f t="shared" si="26"/>
        <v>353</v>
      </c>
      <c r="D381" s="568">
        <f t="shared" si="30"/>
        <v>89383.060622383913</v>
      </c>
      <c r="E381" s="568">
        <f t="shared" si="27"/>
        <v>405.94806699332639</v>
      </c>
      <c r="F381" s="568">
        <f t="shared" si="28"/>
        <v>10996.487447938043</v>
      </c>
      <c r="G381" s="569">
        <f t="shared" si="29"/>
        <v>78386.573174445875</v>
      </c>
    </row>
    <row r="382" spans="2:8">
      <c r="B382" s="566">
        <v>354</v>
      </c>
      <c r="C382" s="567">
        <f t="shared" si="26"/>
        <v>354</v>
      </c>
      <c r="D382" s="568">
        <f t="shared" si="30"/>
        <v>78386.573174445875</v>
      </c>
      <c r="E382" s="568">
        <f t="shared" si="27"/>
        <v>356.00568650060774</v>
      </c>
      <c r="F382" s="568">
        <f t="shared" si="28"/>
        <v>11046.429828430761</v>
      </c>
      <c r="G382" s="569">
        <f t="shared" si="29"/>
        <v>67340.143346015117</v>
      </c>
    </row>
    <row r="383" spans="2:8">
      <c r="B383" s="566">
        <v>355</v>
      </c>
      <c r="C383" s="567">
        <f t="shared" si="26"/>
        <v>355</v>
      </c>
      <c r="D383" s="568">
        <f t="shared" si="30"/>
        <v>67340.143346015117</v>
      </c>
      <c r="E383" s="568">
        <f t="shared" si="27"/>
        <v>305.83648436315133</v>
      </c>
      <c r="F383" s="568">
        <f t="shared" si="28"/>
        <v>11096.599030568219</v>
      </c>
      <c r="G383" s="569">
        <f t="shared" si="29"/>
        <v>56243.544315446896</v>
      </c>
    </row>
    <row r="384" spans="2:8">
      <c r="B384" s="566">
        <v>356</v>
      </c>
      <c r="C384" s="567">
        <f t="shared" si="26"/>
        <v>356</v>
      </c>
      <c r="D384" s="568">
        <f t="shared" si="30"/>
        <v>56243.544315446896</v>
      </c>
      <c r="E384" s="568">
        <f t="shared" si="27"/>
        <v>255.43943043265404</v>
      </c>
      <c r="F384" s="568">
        <f t="shared" si="28"/>
        <v>11146.996084498716</v>
      </c>
      <c r="G384" s="569">
        <f t="shared" si="29"/>
        <v>45096.548230948181</v>
      </c>
    </row>
    <row r="385" spans="2:8">
      <c r="B385" s="566">
        <v>357</v>
      </c>
      <c r="C385" s="567">
        <f t="shared" si="26"/>
        <v>357</v>
      </c>
      <c r="D385" s="568">
        <f t="shared" si="30"/>
        <v>45096.548230948181</v>
      </c>
      <c r="E385" s="568">
        <f t="shared" si="27"/>
        <v>204.81348988222237</v>
      </c>
      <c r="F385" s="568">
        <f t="shared" si="28"/>
        <v>11197.622025049148</v>
      </c>
      <c r="G385" s="569">
        <f t="shared" si="29"/>
        <v>33898.926205899035</v>
      </c>
    </row>
    <row r="386" spans="2:8">
      <c r="B386" s="566">
        <v>358</v>
      </c>
      <c r="C386" s="567">
        <f t="shared" si="26"/>
        <v>358</v>
      </c>
      <c r="D386" s="568">
        <f t="shared" si="30"/>
        <v>33898.926205899035</v>
      </c>
      <c r="E386" s="568">
        <f t="shared" si="27"/>
        <v>153.95762318512416</v>
      </c>
      <c r="F386" s="568">
        <f t="shared" si="28"/>
        <v>11248.477891746246</v>
      </c>
      <c r="G386" s="569">
        <f t="shared" si="29"/>
        <v>22650.448314152789</v>
      </c>
    </row>
    <row r="387" spans="2:8">
      <c r="B387" s="566">
        <v>359</v>
      </c>
      <c r="C387" s="567">
        <f t="shared" si="26"/>
        <v>359</v>
      </c>
      <c r="D387" s="568">
        <f t="shared" si="30"/>
        <v>22650.448314152789</v>
      </c>
      <c r="E387" s="568">
        <f t="shared" si="27"/>
        <v>102.87078609344333</v>
      </c>
      <c r="F387" s="568">
        <f t="shared" si="28"/>
        <v>11299.564728837926</v>
      </c>
      <c r="G387" s="569">
        <f t="shared" si="29"/>
        <v>11350.883585314863</v>
      </c>
    </row>
    <row r="388" spans="2:8">
      <c r="B388" s="570">
        <v>360</v>
      </c>
      <c r="C388" s="571">
        <f t="shared" si="26"/>
        <v>360</v>
      </c>
      <c r="D388" s="572">
        <f t="shared" si="30"/>
        <v>11350.883585314863</v>
      </c>
      <c r="E388" s="572">
        <f t="shared" si="27"/>
        <v>51.551929616637736</v>
      </c>
      <c r="F388" s="572">
        <f t="shared" si="28"/>
        <v>11350.883585314732</v>
      </c>
      <c r="G388" s="573">
        <f t="shared" si="29"/>
        <v>1.3096723705530167E-10</v>
      </c>
      <c r="H388" s="561"/>
    </row>
    <row r="389" spans="2:8">
      <c r="B389" s="545"/>
      <c r="C389" s="545"/>
      <c r="D389" s="545"/>
      <c r="E389" s="545"/>
      <c r="F389" s="545"/>
      <c r="G389" s="545"/>
    </row>
    <row r="390" spans="2:8">
      <c r="B390" s="545"/>
      <c r="C390" s="545"/>
      <c r="D390" s="545"/>
      <c r="E390" s="545"/>
      <c r="F390" s="545"/>
      <c r="G390" s="545"/>
    </row>
  </sheetData>
  <customSheetViews>
    <customSheetView guid="{AC6D0829-7D33-475A-BFC8-17DE97049707}" scale="70">
      <pageMargins left="0.75" right="0.75" top="1" bottom="1" header="0.5" footer="0.5"/>
    </customSheetView>
  </customSheetViews>
  <mergeCells count="2">
    <mergeCell ref="B4:C4"/>
    <mergeCell ref="E4:H4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AK390"/>
  <sheetViews>
    <sheetView zoomScaleNormal="100" workbookViewId="0"/>
  </sheetViews>
  <sheetFormatPr defaultColWidth="14.33203125" defaultRowHeight="18.75"/>
  <cols>
    <col min="1" max="1" width="14.33203125" style="522"/>
    <col min="2" max="2" width="25.6640625" style="522" customWidth="1"/>
    <col min="3" max="3" width="19.83203125" style="522" customWidth="1"/>
    <col min="4" max="4" width="19.6640625" style="522" customWidth="1"/>
    <col min="5" max="6" width="13.33203125" style="522" customWidth="1"/>
    <col min="7" max="7" width="20.1640625" style="522" customWidth="1"/>
    <col min="8" max="8" width="20" style="522" customWidth="1"/>
    <col min="9" max="37" width="14.33203125" style="522"/>
    <col min="38" max="16384" width="14.33203125" style="523"/>
  </cols>
  <sheetData>
    <row r="2" spans="2:8" ht="23.25">
      <c r="B2" s="578" t="s">
        <v>246</v>
      </c>
    </row>
    <row r="4" spans="2:8">
      <c r="B4" s="987" t="s">
        <v>227</v>
      </c>
      <c r="C4" s="988"/>
      <c r="E4" s="989" t="s">
        <v>228</v>
      </c>
      <c r="F4" s="989"/>
      <c r="G4" s="989"/>
      <c r="H4" s="989"/>
    </row>
    <row r="5" spans="2:8">
      <c r="B5" s="525" t="s">
        <v>229</v>
      </c>
      <c r="C5" s="526">
        <f ca="1">Assumptions!L50</f>
        <v>2728300.5476896176</v>
      </c>
      <c r="D5" s="527"/>
      <c r="E5" s="524" t="s">
        <v>51</v>
      </c>
      <c r="F5" s="524" t="s">
        <v>230</v>
      </c>
      <c r="G5" s="524" t="s">
        <v>231</v>
      </c>
      <c r="H5" s="524" t="s">
        <v>245</v>
      </c>
    </row>
    <row r="6" spans="2:8">
      <c r="B6" s="528" t="s">
        <v>232</v>
      </c>
      <c r="C6" s="529">
        <f>Assumptions!L49</f>
        <v>5.7500000000000002E-2</v>
      </c>
      <c r="D6" s="530"/>
      <c r="E6" s="531">
        <v>1</v>
      </c>
      <c r="F6" s="532">
        <f ca="1">SUM(E29:E40)</f>
        <v>155961.89395260913</v>
      </c>
      <c r="G6" s="532">
        <f ca="1">SUM(F29:F40)</f>
        <v>35097.563309599653</v>
      </c>
      <c r="H6" s="533">
        <f t="shared" ref="H6:H25" ca="1" si="0">VLOOKUP(E6*12,B$29:G$388,6,FALSE)</f>
        <v>2693202.9843800189</v>
      </c>
    </row>
    <row r="7" spans="2:8">
      <c r="B7" s="528" t="s">
        <v>233</v>
      </c>
      <c r="C7" s="579">
        <v>30</v>
      </c>
      <c r="D7" s="535"/>
      <c r="E7" s="536">
        <v>2</v>
      </c>
      <c r="F7" s="537">
        <f ca="1">SUM(E41:E52)</f>
        <v>153889.73973641521</v>
      </c>
      <c r="G7" s="537">
        <f ca="1">SUM(F41:F52)</f>
        <v>37169.717525793581</v>
      </c>
      <c r="H7" s="538">
        <f t="shared" ca="1" si="0"/>
        <v>2656033.2668542257</v>
      </c>
    </row>
    <row r="8" spans="2:8">
      <c r="B8" s="528" t="s">
        <v>234</v>
      </c>
      <c r="C8" s="534">
        <f>Assumptions!P49</f>
        <v>30</v>
      </c>
      <c r="D8" s="539"/>
      <c r="E8" s="540">
        <v>3</v>
      </c>
      <c r="F8" s="541">
        <f ca="1">SUM(E53:E64)</f>
        <v>151695.24588490778</v>
      </c>
      <c r="G8" s="541">
        <f ca="1">SUM(F53:F64)</f>
        <v>39364.211377301057</v>
      </c>
      <c r="H8" s="542">
        <f t="shared" ca="1" si="0"/>
        <v>2616669.0554769249</v>
      </c>
    </row>
    <row r="9" spans="2:8">
      <c r="B9" s="543" t="s">
        <v>235</v>
      </c>
      <c r="C9" s="579">
        <v>0</v>
      </c>
      <c r="D9" s="539"/>
      <c r="E9" s="536">
        <v>4</v>
      </c>
      <c r="F9" s="537">
        <f ca="1">SUM(E65:E76)</f>
        <v>149371.18948665878</v>
      </c>
      <c r="G9" s="537">
        <f ca="1">SUM(F65:F76)</f>
        <v>41688.267775550019</v>
      </c>
      <c r="H9" s="538">
        <f t="shared" ca="1" si="0"/>
        <v>2574980.7877013744</v>
      </c>
    </row>
    <row r="10" spans="2:8">
      <c r="B10" s="583" t="s">
        <v>236</v>
      </c>
      <c r="C10" s="834">
        <f>Assumptions!P58</f>
        <v>0.7</v>
      </c>
      <c r="D10" s="539"/>
      <c r="E10" s="540">
        <v>5</v>
      </c>
      <c r="F10" s="541">
        <f ca="1">SUM(E77:E88)</f>
        <v>146909.92119076828</v>
      </c>
      <c r="G10" s="541">
        <f ca="1">SUM(F77:F88)</f>
        <v>44149.536071440525</v>
      </c>
      <c r="H10" s="542">
        <f t="shared" ca="1" si="0"/>
        <v>2530831.2516299337</v>
      </c>
    </row>
    <row r="11" spans="2:8">
      <c r="D11" s="539"/>
      <c r="E11" s="536">
        <v>6</v>
      </c>
      <c r="F11" s="537">
        <f ca="1">SUM(E89:E100)</f>
        <v>144303.34002994967</v>
      </c>
      <c r="G11" s="537">
        <f ca="1">SUM(F89:F100)</f>
        <v>46756.117232259137</v>
      </c>
      <c r="H11" s="538">
        <f t="shared" ca="1" si="0"/>
        <v>2484075.1343976744</v>
      </c>
    </row>
    <row r="12" spans="2:8">
      <c r="B12" s="545"/>
      <c r="C12" s="580"/>
      <c r="D12" s="539"/>
      <c r="E12" s="540">
        <v>7</v>
      </c>
      <c r="F12" s="541">
        <f ca="1">SUM(E101:E112)</f>
        <v>141542.86675717452</v>
      </c>
      <c r="G12" s="541">
        <f ca="1">SUM(F101:F112)</f>
        <v>49516.590505034284</v>
      </c>
      <c r="H12" s="542">
        <f t="shared" ca="1" si="0"/>
        <v>2434558.5438926402</v>
      </c>
    </row>
    <row r="13" spans="2:8">
      <c r="B13" s="545"/>
      <c r="C13" s="581"/>
      <c r="D13" s="539"/>
      <c r="E13" s="536">
        <v>8</v>
      </c>
      <c r="F13" s="537">
        <f ca="1">SUM(E113:E124)</f>
        <v>138619.41560811739</v>
      </c>
      <c r="G13" s="537">
        <f ca="1">SUM(F113:F124)</f>
        <v>52440.04165409143</v>
      </c>
      <c r="H13" s="538">
        <f t="shared" ca="1" si="0"/>
        <v>2382118.5022385488</v>
      </c>
    </row>
    <row r="14" spans="2:8">
      <c r="D14" s="539"/>
      <c r="E14" s="540">
        <v>9</v>
      </c>
      <c r="F14" s="541">
        <f ca="1">SUM(E125:E136)</f>
        <v>135523.36439645995</v>
      </c>
      <c r="G14" s="541">
        <f ca="1">SUM(F125:F136)</f>
        <v>55536.092865748898</v>
      </c>
      <c r="H14" s="542">
        <f t="shared" ca="1" si="0"/>
        <v>2326582.4093727996</v>
      </c>
    </row>
    <row r="15" spans="2:8">
      <c r="B15" s="545"/>
      <c r="C15" s="539"/>
      <c r="D15" s="539"/>
      <c r="E15" s="536">
        <v>10</v>
      </c>
      <c r="F15" s="537">
        <f ca="1">SUM(E137:E148)</f>
        <v>132244.522843627</v>
      </c>
      <c r="G15" s="537">
        <f ca="1">SUM(F137:F148)</f>
        <v>58814.934418581797</v>
      </c>
      <c r="H15" s="538">
        <f t="shared" ca="1" si="0"/>
        <v>2267767.4749542177</v>
      </c>
    </row>
    <row r="16" spans="2:8">
      <c r="B16" s="545"/>
      <c r="C16" s="539"/>
      <c r="D16" s="539"/>
      <c r="E16" s="540">
        <v>11</v>
      </c>
      <c r="F16" s="541">
        <f ca="1">SUM(E149:E160)</f>
        <v>128772.09903871575</v>
      </c>
      <c r="G16" s="541">
        <f ca="1">SUM(F149:F160)</f>
        <v>62287.358223493044</v>
      </c>
      <c r="H16" s="542">
        <f t="shared" ca="1" si="0"/>
        <v>2205480.116730724</v>
      </c>
    </row>
    <row r="17" spans="2:8">
      <c r="B17" s="545"/>
      <c r="C17" s="539"/>
      <c r="D17" s="539"/>
      <c r="E17" s="536">
        <v>12</v>
      </c>
      <c r="F17" s="537">
        <f ca="1">SUM(E161:E172)</f>
        <v>125094.66391822434</v>
      </c>
      <c r="G17" s="537">
        <f ca="1">SUM(F161:F172)</f>
        <v>65964.793343984464</v>
      </c>
      <c r="H17" s="538">
        <f t="shared" ca="1" si="0"/>
        <v>2139515.3233867399</v>
      </c>
    </row>
    <row r="18" spans="2:8">
      <c r="B18" s="545"/>
      <c r="C18" s="539"/>
      <c r="D18" s="539"/>
      <c r="E18" s="540">
        <v>13</v>
      </c>
      <c r="F18" s="541">
        <f ca="1">SUM(E173:E184)</f>
        <v>121200.11364867011</v>
      </c>
      <c r="G18" s="541">
        <f ca="1">SUM(F173:F184)</f>
        <v>69859.343613538716</v>
      </c>
      <c r="H18" s="542">
        <f t="shared" ca="1" si="0"/>
        <v>2069655.979773201</v>
      </c>
    </row>
    <row r="19" spans="2:8">
      <c r="B19" s="545"/>
      <c r="C19" s="539"/>
      <c r="D19" s="539"/>
      <c r="E19" s="536">
        <v>14</v>
      </c>
      <c r="F19" s="537">
        <f ca="1">SUM(E185:E196)</f>
        <v>117075.62978828368</v>
      </c>
      <c r="G19" s="537">
        <f ca="1">SUM(F185:F196)</f>
        <v>73983.827473925121</v>
      </c>
      <c r="H19" s="538">
        <f t="shared" ca="1" si="0"/>
        <v>1995672.1522992759</v>
      </c>
    </row>
    <row r="20" spans="2:8">
      <c r="B20" s="545"/>
      <c r="C20" s="539"/>
      <c r="D20" s="539"/>
      <c r="E20" s="540">
        <v>15</v>
      </c>
      <c r="F20" s="541">
        <f ca="1">SUM(E197:E208)</f>
        <v>112707.63709665637</v>
      </c>
      <c r="G20" s="541">
        <f ca="1">SUM(F197:F208)</f>
        <v>78351.820165552446</v>
      </c>
      <c r="H20" s="542">
        <f t="shared" ca="1" si="0"/>
        <v>1917320.3321337237</v>
      </c>
    </row>
    <row r="21" spans="2:8">
      <c r="B21" s="545"/>
      <c r="C21" s="539"/>
      <c r="D21" s="539"/>
      <c r="E21" s="536">
        <v>16</v>
      </c>
      <c r="F21" s="537">
        <f ca="1">SUM(E209:E220)</f>
        <v>108081.75885347615</v>
      </c>
      <c r="G21" s="537">
        <f ca="1">SUM(F209:F220)</f>
        <v>82977.698408732656</v>
      </c>
      <c r="H21" s="538">
        <f t="shared" ca="1" si="0"/>
        <v>1834342.6337249905</v>
      </c>
    </row>
    <row r="22" spans="2:8">
      <c r="B22" s="545"/>
      <c r="C22" s="539"/>
      <c r="D22" s="539"/>
      <c r="E22" s="540">
        <v>17</v>
      </c>
      <c r="F22" s="541">
        <f ca="1">SUM(E221:E232)</f>
        <v>103182.76953928932</v>
      </c>
      <c r="G22" s="541">
        <f ca="1">SUM(F221:F232)</f>
        <v>87876.68772291948</v>
      </c>
      <c r="H22" s="542">
        <f t="shared" ca="1" si="0"/>
        <v>1746465.9460020708</v>
      </c>
    </row>
    <row r="23" spans="2:8">
      <c r="B23" s="545"/>
      <c r="C23" s="539"/>
      <c r="D23" s="539"/>
      <c r="E23" s="536">
        <v>18</v>
      </c>
      <c r="F23" s="537">
        <f ca="1">SUM(E233:E244)</f>
        <v>97994.544722542618</v>
      </c>
      <c r="G23" s="537">
        <f ca="1">SUM(F233:F244)</f>
        <v>93064.912539666228</v>
      </c>
      <c r="H23" s="538">
        <f t="shared" ca="1" si="0"/>
        <v>1653401.0334624045</v>
      </c>
    </row>
    <row r="24" spans="2:8">
      <c r="B24" s="545"/>
      <c r="C24" s="539"/>
      <c r="D24" s="539"/>
      <c r="E24" s="540">
        <v>19</v>
      </c>
      <c r="F24" s="541">
        <f ca="1">SUM(E245:E256)</f>
        <v>92500.007987964142</v>
      </c>
      <c r="G24" s="541">
        <f ca="1">SUM(F245:F256)</f>
        <v>98559.44927424466</v>
      </c>
      <c r="H24" s="542">
        <f t="shared" ca="1" si="0"/>
        <v>1554841.5841881598</v>
      </c>
    </row>
    <row r="25" spans="2:8">
      <c r="B25" s="545"/>
      <c r="C25" s="539"/>
      <c r="D25" s="539"/>
      <c r="E25" s="546">
        <v>20</v>
      </c>
      <c r="F25" s="547">
        <f ca="1">SUM(E257:E268)</f>
        <v>86681.074731605651</v>
      </c>
      <c r="G25" s="547">
        <f ca="1">SUM(F257:F268)</f>
        <v>104378.38253060318</v>
      </c>
      <c r="H25" s="548">
        <f t="shared" ca="1" si="0"/>
        <v>1450463.2016575567</v>
      </c>
    </row>
    <row r="26" spans="2:8">
      <c r="B26" s="545"/>
      <c r="C26" s="539"/>
      <c r="D26" s="539"/>
    </row>
    <row r="28" spans="2:8" ht="37.5">
      <c r="B28" s="549" t="s">
        <v>52</v>
      </c>
      <c r="C28" s="550" t="s">
        <v>237</v>
      </c>
      <c r="D28" s="550" t="s">
        <v>238</v>
      </c>
      <c r="E28" s="551" t="s">
        <v>230</v>
      </c>
      <c r="F28" s="551" t="s">
        <v>231</v>
      </c>
      <c r="G28" s="552" t="s">
        <v>239</v>
      </c>
    </row>
    <row r="29" spans="2:8">
      <c r="B29" s="553">
        <v>1</v>
      </c>
      <c r="C29" s="554">
        <f t="shared" ref="C29:C92" si="1">IF(C$9*12&gt;=B29,"I/O",B29-(C$9*12))</f>
        <v>1</v>
      </c>
      <c r="D29" s="555">
        <f ca="1">C$5</f>
        <v>2728300.5476896176</v>
      </c>
      <c r="E29" s="555">
        <f t="shared" ref="E29:E92" ca="1" si="2">IF(C29="I/O",C$5*C$6/12,-IPMT(C$6/12,C29,C$8*12,C$5))</f>
        <v>13073.106791012753</v>
      </c>
      <c r="F29" s="555">
        <f t="shared" ref="F29:F92" ca="1" si="3">IF(C29&lt;&gt;"I/O",-PPMT(C$6/12,C29,C$8*12,C$5),0)</f>
        <v>2848.5146475046486</v>
      </c>
      <c r="G29" s="556">
        <f t="shared" ref="G29:G92" ca="1" si="4">D29-F29</f>
        <v>2725452.0330421128</v>
      </c>
    </row>
    <row r="30" spans="2:8">
      <c r="B30" s="557">
        <v>2</v>
      </c>
      <c r="C30" s="558">
        <f t="shared" si="1"/>
        <v>2</v>
      </c>
      <c r="D30" s="559">
        <f t="shared" ref="D30:D93" ca="1" si="5">G29</f>
        <v>2725452.0330421128</v>
      </c>
      <c r="E30" s="559">
        <f t="shared" ca="1" si="2"/>
        <v>13059.457658326794</v>
      </c>
      <c r="F30" s="559">
        <f t="shared" ca="1" si="3"/>
        <v>2862.1637801906081</v>
      </c>
      <c r="G30" s="560">
        <f t="shared" ca="1" si="4"/>
        <v>2722589.8692619223</v>
      </c>
    </row>
    <row r="31" spans="2:8">
      <c r="B31" s="557">
        <v>3</v>
      </c>
      <c r="C31" s="558">
        <f t="shared" si="1"/>
        <v>3</v>
      </c>
      <c r="D31" s="559">
        <f t="shared" ca="1" si="5"/>
        <v>2722589.8692619223</v>
      </c>
      <c r="E31" s="559">
        <f t="shared" ca="1" si="2"/>
        <v>13045.743123546712</v>
      </c>
      <c r="F31" s="559">
        <f t="shared" ca="1" si="3"/>
        <v>2875.8783149706878</v>
      </c>
      <c r="G31" s="560">
        <f t="shared" ca="1" si="4"/>
        <v>2719713.9909469518</v>
      </c>
    </row>
    <row r="32" spans="2:8">
      <c r="B32" s="557">
        <v>4</v>
      </c>
      <c r="C32" s="558">
        <f t="shared" si="1"/>
        <v>4</v>
      </c>
      <c r="D32" s="559">
        <f t="shared" ca="1" si="5"/>
        <v>2719713.9909469518</v>
      </c>
      <c r="E32" s="559">
        <f t="shared" ca="1" si="2"/>
        <v>13031.962873287479</v>
      </c>
      <c r="F32" s="559">
        <f t="shared" ca="1" si="3"/>
        <v>2889.6585652299227</v>
      </c>
      <c r="G32" s="560">
        <f t="shared" ca="1" si="4"/>
        <v>2716824.3323817221</v>
      </c>
    </row>
    <row r="33" spans="2:8">
      <c r="B33" s="557">
        <v>5</v>
      </c>
      <c r="C33" s="558">
        <f t="shared" si="1"/>
        <v>5</v>
      </c>
      <c r="D33" s="559">
        <f t="shared" ca="1" si="5"/>
        <v>2716824.3323817221</v>
      </c>
      <c r="E33" s="559">
        <f t="shared" ca="1" si="2"/>
        <v>13018.116592662418</v>
      </c>
      <c r="F33" s="559">
        <f t="shared" ca="1" si="3"/>
        <v>2903.5048458549827</v>
      </c>
      <c r="G33" s="560">
        <f t="shared" ca="1" si="4"/>
        <v>2713920.8275358672</v>
      </c>
    </row>
    <row r="34" spans="2:8">
      <c r="B34" s="557">
        <v>6</v>
      </c>
      <c r="C34" s="558">
        <f t="shared" si="1"/>
        <v>6</v>
      </c>
      <c r="D34" s="559">
        <f t="shared" ca="1" si="5"/>
        <v>2713920.8275358672</v>
      </c>
      <c r="E34" s="559">
        <f t="shared" ca="1" si="2"/>
        <v>13004.20396527603</v>
      </c>
      <c r="F34" s="559">
        <f t="shared" ca="1" si="3"/>
        <v>2917.4174732413708</v>
      </c>
      <c r="G34" s="560">
        <f t="shared" ca="1" si="4"/>
        <v>2711003.410062626</v>
      </c>
    </row>
    <row r="35" spans="2:8">
      <c r="B35" s="557">
        <v>7</v>
      </c>
      <c r="C35" s="558">
        <f t="shared" si="1"/>
        <v>7</v>
      </c>
      <c r="D35" s="559">
        <f t="shared" ca="1" si="5"/>
        <v>2711003.410062626</v>
      </c>
      <c r="E35" s="559">
        <f t="shared" ca="1" si="2"/>
        <v>12990.224673216746</v>
      </c>
      <c r="F35" s="559">
        <f t="shared" ca="1" si="3"/>
        <v>2931.396765300653</v>
      </c>
      <c r="G35" s="560">
        <f t="shared" ca="1" si="4"/>
        <v>2708072.0132973255</v>
      </c>
    </row>
    <row r="36" spans="2:8">
      <c r="B36" s="557">
        <v>8</v>
      </c>
      <c r="C36" s="558">
        <f t="shared" si="1"/>
        <v>8</v>
      </c>
      <c r="D36" s="559">
        <f t="shared" ca="1" si="5"/>
        <v>2708072.0132973255</v>
      </c>
      <c r="E36" s="559">
        <f t="shared" ca="1" si="2"/>
        <v>12976.178397049684</v>
      </c>
      <c r="F36" s="559">
        <f t="shared" ca="1" si="3"/>
        <v>2945.4430414677186</v>
      </c>
      <c r="G36" s="560">
        <f t="shared" ca="1" si="4"/>
        <v>2705126.5702558579</v>
      </c>
    </row>
    <row r="37" spans="2:8">
      <c r="B37" s="557">
        <v>9</v>
      </c>
      <c r="C37" s="558">
        <f t="shared" si="1"/>
        <v>9</v>
      </c>
      <c r="D37" s="559">
        <f t="shared" ca="1" si="5"/>
        <v>2705126.5702558579</v>
      </c>
      <c r="E37" s="559">
        <f t="shared" ca="1" si="2"/>
        <v>12962.064815809315</v>
      </c>
      <c r="F37" s="559">
        <f t="shared" ca="1" si="3"/>
        <v>2959.5566227080844</v>
      </c>
      <c r="G37" s="560">
        <f t="shared" ca="1" si="4"/>
        <v>2702167.0136331497</v>
      </c>
    </row>
    <row r="38" spans="2:8">
      <c r="B38" s="557">
        <v>10</v>
      </c>
      <c r="C38" s="558">
        <f t="shared" si="1"/>
        <v>10</v>
      </c>
      <c r="D38" s="559">
        <f t="shared" ca="1" si="5"/>
        <v>2702167.0136331497</v>
      </c>
      <c r="E38" s="559">
        <f t="shared" ca="1" si="2"/>
        <v>12947.883606992173</v>
      </c>
      <c r="F38" s="559">
        <f t="shared" ca="1" si="3"/>
        <v>2973.7378315252281</v>
      </c>
      <c r="G38" s="560">
        <f t="shared" ca="1" si="4"/>
        <v>2699193.2758016246</v>
      </c>
    </row>
    <row r="39" spans="2:8">
      <c r="B39" s="557">
        <v>11</v>
      </c>
      <c r="C39" s="558">
        <f t="shared" si="1"/>
        <v>11</v>
      </c>
      <c r="D39" s="559">
        <f t="shared" ca="1" si="5"/>
        <v>2699193.2758016246</v>
      </c>
      <c r="E39" s="559">
        <f t="shared" ca="1" si="2"/>
        <v>12933.634446549448</v>
      </c>
      <c r="F39" s="559">
        <f t="shared" ca="1" si="3"/>
        <v>2987.9869919679522</v>
      </c>
      <c r="G39" s="560">
        <f t="shared" ca="1" si="4"/>
        <v>2696205.2888096566</v>
      </c>
      <c r="H39" s="561"/>
    </row>
    <row r="40" spans="2:8">
      <c r="B40" s="562">
        <v>12</v>
      </c>
      <c r="C40" s="563">
        <f t="shared" si="1"/>
        <v>12</v>
      </c>
      <c r="D40" s="564">
        <f t="shared" ca="1" si="5"/>
        <v>2696205.2888096566</v>
      </c>
      <c r="E40" s="564">
        <f t="shared" ca="1" si="2"/>
        <v>12919.317008879601</v>
      </c>
      <c r="F40" s="564">
        <f t="shared" ca="1" si="3"/>
        <v>3002.3044296377989</v>
      </c>
      <c r="G40" s="565">
        <f t="shared" ca="1" si="4"/>
        <v>2693202.9843800189</v>
      </c>
      <c r="H40" s="561"/>
    </row>
    <row r="41" spans="2:8">
      <c r="B41" s="566">
        <v>13</v>
      </c>
      <c r="C41" s="567">
        <f t="shared" si="1"/>
        <v>13</v>
      </c>
      <c r="D41" s="568">
        <f t="shared" ca="1" si="5"/>
        <v>2693202.9843800189</v>
      </c>
      <c r="E41" s="568">
        <f t="shared" ca="1" si="2"/>
        <v>12904.930966820921</v>
      </c>
      <c r="F41" s="568">
        <f t="shared" ca="1" si="3"/>
        <v>3016.6904716964805</v>
      </c>
      <c r="G41" s="569">
        <f t="shared" ca="1" si="4"/>
        <v>2690186.2939083222</v>
      </c>
    </row>
    <row r="42" spans="2:8">
      <c r="B42" s="566">
        <v>14</v>
      </c>
      <c r="C42" s="567">
        <f t="shared" si="1"/>
        <v>14</v>
      </c>
      <c r="D42" s="568">
        <f t="shared" ca="1" si="5"/>
        <v>2690186.2939083222</v>
      </c>
      <c r="E42" s="568">
        <f t="shared" ca="1" si="2"/>
        <v>12890.475991644043</v>
      </c>
      <c r="F42" s="568">
        <f t="shared" ca="1" si="3"/>
        <v>3031.1454468733596</v>
      </c>
      <c r="G42" s="569">
        <f t="shared" ca="1" si="4"/>
        <v>2687155.148461449</v>
      </c>
    </row>
    <row r="43" spans="2:8">
      <c r="B43" s="566">
        <v>15</v>
      </c>
      <c r="C43" s="567">
        <f t="shared" si="1"/>
        <v>15</v>
      </c>
      <c r="D43" s="568">
        <f t="shared" ca="1" si="5"/>
        <v>2687155.148461449</v>
      </c>
      <c r="E43" s="568">
        <f t="shared" ca="1" si="2"/>
        <v>12875.951753044439</v>
      </c>
      <c r="F43" s="568">
        <f t="shared" ca="1" si="3"/>
        <v>3045.6696854729607</v>
      </c>
      <c r="G43" s="569">
        <f t="shared" ca="1" si="4"/>
        <v>2684109.4787759762</v>
      </c>
    </row>
    <row r="44" spans="2:8">
      <c r="B44" s="566">
        <v>16</v>
      </c>
      <c r="C44" s="567">
        <f t="shared" si="1"/>
        <v>16</v>
      </c>
      <c r="D44" s="568">
        <f t="shared" ca="1" si="5"/>
        <v>2684109.4787759762</v>
      </c>
      <c r="E44" s="568">
        <f t="shared" ca="1" si="2"/>
        <v>12861.35791913488</v>
      </c>
      <c r="F44" s="568">
        <f t="shared" ca="1" si="3"/>
        <v>3060.2635193825186</v>
      </c>
      <c r="G44" s="569">
        <f t="shared" ca="1" si="4"/>
        <v>2681049.2152565937</v>
      </c>
    </row>
    <row r="45" spans="2:8">
      <c r="B45" s="566">
        <v>17</v>
      </c>
      <c r="C45" s="567">
        <f t="shared" si="1"/>
        <v>17</v>
      </c>
      <c r="D45" s="568">
        <f t="shared" ca="1" si="5"/>
        <v>2681049.2152565937</v>
      </c>
      <c r="E45" s="568">
        <f t="shared" ca="1" si="2"/>
        <v>12846.694156437839</v>
      </c>
      <c r="F45" s="568">
        <f t="shared" ca="1" si="3"/>
        <v>3074.92728207956</v>
      </c>
      <c r="G45" s="569">
        <f t="shared" ca="1" si="4"/>
        <v>2677974.2879745141</v>
      </c>
    </row>
    <row r="46" spans="2:8">
      <c r="B46" s="566">
        <v>18</v>
      </c>
      <c r="C46" s="567">
        <f t="shared" si="1"/>
        <v>18</v>
      </c>
      <c r="D46" s="568">
        <f t="shared" ca="1" si="5"/>
        <v>2677974.2879745141</v>
      </c>
      <c r="E46" s="568">
        <f t="shared" ca="1" si="2"/>
        <v>12831.960129877876</v>
      </c>
      <c r="F46" s="568">
        <f t="shared" ca="1" si="3"/>
        <v>3089.6613086395241</v>
      </c>
      <c r="G46" s="569">
        <f t="shared" ca="1" si="4"/>
        <v>2674884.6266658744</v>
      </c>
    </row>
    <row r="47" spans="2:8">
      <c r="B47" s="566">
        <v>19</v>
      </c>
      <c r="C47" s="567">
        <f t="shared" si="1"/>
        <v>19</v>
      </c>
      <c r="D47" s="568">
        <f t="shared" ca="1" si="5"/>
        <v>2674884.6266658744</v>
      </c>
      <c r="E47" s="568">
        <f t="shared" ca="1" si="2"/>
        <v>12817.155502773978</v>
      </c>
      <c r="F47" s="568">
        <f t="shared" ca="1" si="3"/>
        <v>3104.4659357434221</v>
      </c>
      <c r="G47" s="569">
        <f t="shared" ca="1" si="4"/>
        <v>2671780.160730131</v>
      </c>
    </row>
    <row r="48" spans="2:8">
      <c r="B48" s="566">
        <v>20</v>
      </c>
      <c r="C48" s="567">
        <f t="shared" si="1"/>
        <v>20</v>
      </c>
      <c r="D48" s="568">
        <f t="shared" ca="1" si="5"/>
        <v>2671780.160730131</v>
      </c>
      <c r="E48" s="568">
        <f t="shared" ca="1" si="2"/>
        <v>12802.279936831874</v>
      </c>
      <c r="F48" s="568">
        <f t="shared" ca="1" si="3"/>
        <v>3119.3415016855265</v>
      </c>
      <c r="G48" s="569">
        <f t="shared" ca="1" si="4"/>
        <v>2668660.8192284456</v>
      </c>
    </row>
    <row r="49" spans="2:8">
      <c r="B49" s="566">
        <v>21</v>
      </c>
      <c r="C49" s="567">
        <f t="shared" si="1"/>
        <v>21</v>
      </c>
      <c r="D49" s="568">
        <f t="shared" ca="1" si="5"/>
        <v>2668660.8192284456</v>
      </c>
      <c r="E49" s="568">
        <f t="shared" ca="1" si="2"/>
        <v>12787.333092136299</v>
      </c>
      <c r="F49" s="568">
        <f t="shared" ca="1" si="3"/>
        <v>3134.2883463811027</v>
      </c>
      <c r="G49" s="569">
        <f t="shared" ca="1" si="4"/>
        <v>2665526.5308820647</v>
      </c>
    </row>
    <row r="50" spans="2:8">
      <c r="B50" s="566">
        <v>22</v>
      </c>
      <c r="C50" s="567">
        <f t="shared" si="1"/>
        <v>22</v>
      </c>
      <c r="D50" s="568">
        <f t="shared" ca="1" si="5"/>
        <v>2665526.5308820647</v>
      </c>
      <c r="E50" s="568">
        <f t="shared" ca="1" si="2"/>
        <v>12772.314627143222</v>
      </c>
      <c r="F50" s="568">
        <f t="shared" ca="1" si="3"/>
        <v>3149.3068113741783</v>
      </c>
      <c r="G50" s="569">
        <f t="shared" ca="1" si="4"/>
        <v>2662377.2240706906</v>
      </c>
    </row>
    <row r="51" spans="2:8">
      <c r="B51" s="566">
        <v>23</v>
      </c>
      <c r="C51" s="567">
        <f t="shared" si="1"/>
        <v>23</v>
      </c>
      <c r="D51" s="568">
        <f t="shared" ca="1" si="5"/>
        <v>2662377.2240706906</v>
      </c>
      <c r="E51" s="568">
        <f t="shared" ca="1" si="2"/>
        <v>12757.224198672053</v>
      </c>
      <c r="F51" s="568">
        <f t="shared" ca="1" si="3"/>
        <v>3164.397239845347</v>
      </c>
      <c r="G51" s="569">
        <f t="shared" ca="1" si="4"/>
        <v>2659212.8268308453</v>
      </c>
    </row>
    <row r="52" spans="2:8">
      <c r="B52" s="570">
        <v>24</v>
      </c>
      <c r="C52" s="571">
        <f t="shared" si="1"/>
        <v>24</v>
      </c>
      <c r="D52" s="572">
        <f t="shared" ca="1" si="5"/>
        <v>2659212.8268308453</v>
      </c>
      <c r="E52" s="572">
        <f t="shared" ca="1" si="2"/>
        <v>12742.061461897798</v>
      </c>
      <c r="F52" s="572">
        <f t="shared" ca="1" si="3"/>
        <v>3179.5599766196051</v>
      </c>
      <c r="G52" s="573">
        <f t="shared" ca="1" si="4"/>
        <v>2656033.2668542257</v>
      </c>
      <c r="H52" s="561"/>
    </row>
    <row r="53" spans="2:8">
      <c r="B53" s="553">
        <v>25</v>
      </c>
      <c r="C53" s="554">
        <f t="shared" si="1"/>
        <v>25</v>
      </c>
      <c r="D53" s="555">
        <f t="shared" ca="1" si="5"/>
        <v>2656033.2668542257</v>
      </c>
      <c r="E53" s="555">
        <f t="shared" ca="1" si="2"/>
        <v>12726.826070343159</v>
      </c>
      <c r="F53" s="555">
        <f t="shared" ca="1" si="3"/>
        <v>3194.795368174241</v>
      </c>
      <c r="G53" s="556">
        <f t="shared" ca="1" si="4"/>
        <v>2652838.4714860516</v>
      </c>
    </row>
    <row r="54" spans="2:8">
      <c r="B54" s="557">
        <v>26</v>
      </c>
      <c r="C54" s="558">
        <f t="shared" si="1"/>
        <v>26</v>
      </c>
      <c r="D54" s="559">
        <f t="shared" ca="1" si="5"/>
        <v>2652838.4714860516</v>
      </c>
      <c r="E54" s="559">
        <f t="shared" ca="1" si="2"/>
        <v>12711.517675870658</v>
      </c>
      <c r="F54" s="559">
        <f t="shared" ca="1" si="3"/>
        <v>3210.1037626467428</v>
      </c>
      <c r="G54" s="560">
        <f t="shared" ca="1" si="4"/>
        <v>2649628.3677234049</v>
      </c>
    </row>
    <row r="55" spans="2:8">
      <c r="B55" s="557">
        <v>27</v>
      </c>
      <c r="C55" s="558">
        <f t="shared" si="1"/>
        <v>27</v>
      </c>
      <c r="D55" s="559">
        <f t="shared" ca="1" si="5"/>
        <v>2649628.3677234049</v>
      </c>
      <c r="E55" s="559">
        <f t="shared" ca="1" si="2"/>
        <v>12696.135928674643</v>
      </c>
      <c r="F55" s="559">
        <f t="shared" ca="1" si="3"/>
        <v>3225.4855098427579</v>
      </c>
      <c r="G55" s="560">
        <f t="shared" ca="1" si="4"/>
        <v>2646402.8822135623</v>
      </c>
    </row>
    <row r="56" spans="2:8">
      <c r="B56" s="557">
        <v>28</v>
      </c>
      <c r="C56" s="558">
        <f t="shared" si="1"/>
        <v>28</v>
      </c>
      <c r="D56" s="559">
        <f t="shared" ca="1" si="5"/>
        <v>2646402.8822135623</v>
      </c>
      <c r="E56" s="559">
        <f t="shared" ca="1" si="2"/>
        <v>12680.680477273314</v>
      </c>
      <c r="F56" s="559">
        <f t="shared" ca="1" si="3"/>
        <v>3240.9409612440882</v>
      </c>
      <c r="G56" s="560">
        <f t="shared" ca="1" si="4"/>
        <v>2643161.9412523182</v>
      </c>
    </row>
    <row r="57" spans="2:8">
      <c r="B57" s="557">
        <v>29</v>
      </c>
      <c r="C57" s="558">
        <f t="shared" si="1"/>
        <v>29</v>
      </c>
      <c r="D57" s="559">
        <f t="shared" ca="1" si="5"/>
        <v>2643161.9412523182</v>
      </c>
      <c r="E57" s="559">
        <f t="shared" ca="1" si="2"/>
        <v>12665.150968500684</v>
      </c>
      <c r="F57" s="559">
        <f t="shared" ca="1" si="3"/>
        <v>3256.4704700167163</v>
      </c>
      <c r="G57" s="560">
        <f t="shared" ca="1" si="4"/>
        <v>2639905.4707823014</v>
      </c>
    </row>
    <row r="58" spans="2:8">
      <c r="B58" s="557">
        <v>30</v>
      </c>
      <c r="C58" s="558">
        <f t="shared" si="1"/>
        <v>30</v>
      </c>
      <c r="D58" s="559">
        <f t="shared" ca="1" si="5"/>
        <v>2639905.4707823014</v>
      </c>
      <c r="E58" s="559">
        <f t="shared" ca="1" si="2"/>
        <v>12649.547047498521</v>
      </c>
      <c r="F58" s="559">
        <f t="shared" ca="1" si="3"/>
        <v>3272.0743910188794</v>
      </c>
      <c r="G58" s="560">
        <f t="shared" ca="1" si="4"/>
        <v>2636633.3963912823</v>
      </c>
    </row>
    <row r="59" spans="2:8">
      <c r="B59" s="557">
        <v>31</v>
      </c>
      <c r="C59" s="558">
        <f t="shared" si="1"/>
        <v>31</v>
      </c>
      <c r="D59" s="559">
        <f t="shared" ca="1" si="5"/>
        <v>2636633.3963912823</v>
      </c>
      <c r="E59" s="559">
        <f t="shared" ca="1" si="2"/>
        <v>12633.868357708223</v>
      </c>
      <c r="F59" s="559">
        <f t="shared" ca="1" si="3"/>
        <v>3287.7530808091788</v>
      </c>
      <c r="G59" s="560">
        <f t="shared" ca="1" si="4"/>
        <v>2633345.6433104733</v>
      </c>
    </row>
    <row r="60" spans="2:8">
      <c r="B60" s="557">
        <v>32</v>
      </c>
      <c r="C60" s="558">
        <f t="shared" si="1"/>
        <v>32</v>
      </c>
      <c r="D60" s="559">
        <f t="shared" ca="1" si="5"/>
        <v>2633345.6433104733</v>
      </c>
      <c r="E60" s="559">
        <f t="shared" ca="1" si="2"/>
        <v>12618.11454086268</v>
      </c>
      <c r="F60" s="559">
        <f t="shared" ca="1" si="3"/>
        <v>3303.5068976547232</v>
      </c>
      <c r="G60" s="560">
        <f t="shared" ca="1" si="4"/>
        <v>2630042.1364128185</v>
      </c>
    </row>
    <row r="61" spans="2:8">
      <c r="B61" s="557">
        <v>33</v>
      </c>
      <c r="C61" s="558">
        <f t="shared" si="1"/>
        <v>33</v>
      </c>
      <c r="D61" s="559">
        <f t="shared" ca="1" si="5"/>
        <v>2630042.1364128185</v>
      </c>
      <c r="E61" s="559">
        <f t="shared" ca="1" si="2"/>
        <v>12602.285236978083</v>
      </c>
      <c r="F61" s="559">
        <f t="shared" ca="1" si="3"/>
        <v>3319.3362015393172</v>
      </c>
      <c r="G61" s="560">
        <f t="shared" ca="1" si="4"/>
        <v>2626722.8002112792</v>
      </c>
    </row>
    <row r="62" spans="2:8">
      <c r="B62" s="557">
        <v>34</v>
      </c>
      <c r="C62" s="558">
        <f t="shared" si="1"/>
        <v>34</v>
      </c>
      <c r="D62" s="559">
        <f t="shared" ca="1" si="5"/>
        <v>2626722.8002112792</v>
      </c>
      <c r="E62" s="559">
        <f t="shared" ca="1" si="2"/>
        <v>12586.380084345707</v>
      </c>
      <c r="F62" s="559">
        <f t="shared" ca="1" si="3"/>
        <v>3335.2413541716937</v>
      </c>
      <c r="G62" s="560">
        <f t="shared" ca="1" si="4"/>
        <v>2623387.5588571075</v>
      </c>
    </row>
    <row r="63" spans="2:8">
      <c r="B63" s="557">
        <v>35</v>
      </c>
      <c r="C63" s="558">
        <f t="shared" si="1"/>
        <v>35</v>
      </c>
      <c r="D63" s="559">
        <f t="shared" ca="1" si="5"/>
        <v>2623387.5588571075</v>
      </c>
      <c r="E63" s="559">
        <f t="shared" ca="1" si="2"/>
        <v>12570.398719523635</v>
      </c>
      <c r="F63" s="559">
        <f t="shared" ca="1" si="3"/>
        <v>3351.2227189937666</v>
      </c>
      <c r="G63" s="560">
        <f t="shared" ca="1" si="4"/>
        <v>2620036.3361381139</v>
      </c>
    </row>
    <row r="64" spans="2:8">
      <c r="B64" s="562">
        <v>36</v>
      </c>
      <c r="C64" s="563">
        <f t="shared" si="1"/>
        <v>36</v>
      </c>
      <c r="D64" s="564">
        <f t="shared" ca="1" si="5"/>
        <v>2620036.3361381139</v>
      </c>
      <c r="E64" s="564">
        <f t="shared" ca="1" si="2"/>
        <v>12554.340777328456</v>
      </c>
      <c r="F64" s="564">
        <f t="shared" ca="1" si="3"/>
        <v>3367.2806611889446</v>
      </c>
      <c r="G64" s="565">
        <f t="shared" ca="1" si="4"/>
        <v>2616669.0554769249</v>
      </c>
      <c r="H64" s="561"/>
    </row>
    <row r="65" spans="2:8">
      <c r="B65" s="574">
        <v>37</v>
      </c>
      <c r="C65" s="575">
        <f t="shared" si="1"/>
        <v>37</v>
      </c>
      <c r="D65" s="576">
        <f t="shared" ca="1" si="5"/>
        <v>2616669.0554769249</v>
      </c>
      <c r="E65" s="576">
        <f t="shared" ca="1" si="2"/>
        <v>12538.205890826925</v>
      </c>
      <c r="F65" s="576">
        <f t="shared" ca="1" si="3"/>
        <v>3383.4155476904753</v>
      </c>
      <c r="G65" s="577">
        <f t="shared" ca="1" si="4"/>
        <v>2613285.6399292345</v>
      </c>
    </row>
    <row r="66" spans="2:8">
      <c r="B66" s="566">
        <v>38</v>
      </c>
      <c r="C66" s="567">
        <f t="shared" si="1"/>
        <v>38</v>
      </c>
      <c r="D66" s="568">
        <f t="shared" ca="1" si="5"/>
        <v>2613285.6399292345</v>
      </c>
      <c r="E66" s="568">
        <f t="shared" ca="1" si="2"/>
        <v>12521.993691327574</v>
      </c>
      <c r="F66" s="568">
        <f t="shared" ca="1" si="3"/>
        <v>3399.6277471898261</v>
      </c>
      <c r="G66" s="569">
        <f t="shared" ca="1" si="4"/>
        <v>2609886.0121820448</v>
      </c>
    </row>
    <row r="67" spans="2:8">
      <c r="B67" s="566">
        <v>39</v>
      </c>
      <c r="C67" s="567">
        <f t="shared" si="1"/>
        <v>39</v>
      </c>
      <c r="D67" s="568">
        <f t="shared" ca="1" si="5"/>
        <v>2609886.0121820448</v>
      </c>
      <c r="E67" s="568">
        <f t="shared" ca="1" si="2"/>
        <v>12505.703808372291</v>
      </c>
      <c r="F67" s="568">
        <f t="shared" ca="1" si="3"/>
        <v>3415.9176301451093</v>
      </c>
      <c r="G67" s="569">
        <f t="shared" ca="1" si="4"/>
        <v>2606470.0945518995</v>
      </c>
    </row>
    <row r="68" spans="2:8">
      <c r="B68" s="566">
        <v>40</v>
      </c>
      <c r="C68" s="567">
        <f t="shared" si="1"/>
        <v>40</v>
      </c>
      <c r="D68" s="568">
        <f t="shared" ca="1" si="5"/>
        <v>2606470.0945518995</v>
      </c>
      <c r="E68" s="568">
        <f t="shared" ca="1" si="2"/>
        <v>12489.335869727845</v>
      </c>
      <c r="F68" s="568">
        <f t="shared" ca="1" si="3"/>
        <v>3432.2855687895553</v>
      </c>
      <c r="G68" s="569">
        <f t="shared" ca="1" si="4"/>
        <v>2603037.8089831099</v>
      </c>
    </row>
    <row r="69" spans="2:8">
      <c r="B69" s="566">
        <v>41</v>
      </c>
      <c r="C69" s="567">
        <f t="shared" si="1"/>
        <v>41</v>
      </c>
      <c r="D69" s="568">
        <f t="shared" ca="1" si="5"/>
        <v>2603037.8089831099</v>
      </c>
      <c r="E69" s="568">
        <f t="shared" ca="1" si="2"/>
        <v>12472.889501377396</v>
      </c>
      <c r="F69" s="568">
        <f t="shared" ca="1" si="3"/>
        <v>3448.7319371400054</v>
      </c>
      <c r="G69" s="569">
        <f t="shared" ca="1" si="4"/>
        <v>2599589.0770459697</v>
      </c>
    </row>
    <row r="70" spans="2:8">
      <c r="B70" s="566">
        <v>42</v>
      </c>
      <c r="C70" s="567">
        <f t="shared" si="1"/>
        <v>42</v>
      </c>
      <c r="D70" s="568">
        <f t="shared" ca="1" si="5"/>
        <v>2599589.0770459697</v>
      </c>
      <c r="E70" s="568">
        <f t="shared" ca="1" si="2"/>
        <v>12456.364327511932</v>
      </c>
      <c r="F70" s="568">
        <f t="shared" ca="1" si="3"/>
        <v>3465.2571110054673</v>
      </c>
      <c r="G70" s="569">
        <f t="shared" ca="1" si="4"/>
        <v>2596123.8199349642</v>
      </c>
    </row>
    <row r="71" spans="2:8">
      <c r="B71" s="566">
        <v>43</v>
      </c>
      <c r="C71" s="567">
        <f t="shared" si="1"/>
        <v>43</v>
      </c>
      <c r="D71" s="568">
        <f t="shared" ca="1" si="5"/>
        <v>2596123.8199349642</v>
      </c>
      <c r="E71" s="568">
        <f t="shared" ca="1" si="2"/>
        <v>12439.759970521698</v>
      </c>
      <c r="F71" s="568">
        <f t="shared" ca="1" si="3"/>
        <v>3481.8614679957027</v>
      </c>
      <c r="G71" s="569">
        <f t="shared" ca="1" si="4"/>
        <v>2592641.9584669685</v>
      </c>
    </row>
    <row r="72" spans="2:8">
      <c r="B72" s="566">
        <v>44</v>
      </c>
      <c r="C72" s="567">
        <f t="shared" si="1"/>
        <v>44</v>
      </c>
      <c r="D72" s="568">
        <f t="shared" ca="1" si="5"/>
        <v>2592641.9584669685</v>
      </c>
      <c r="E72" s="568">
        <f t="shared" ca="1" si="2"/>
        <v>12423.076050987553</v>
      </c>
      <c r="F72" s="568">
        <f t="shared" ca="1" si="3"/>
        <v>3498.545387529849</v>
      </c>
      <c r="G72" s="569">
        <f t="shared" ca="1" si="4"/>
        <v>2589143.4130794387</v>
      </c>
    </row>
    <row r="73" spans="2:8">
      <c r="B73" s="566">
        <v>45</v>
      </c>
      <c r="C73" s="567">
        <f t="shared" si="1"/>
        <v>45</v>
      </c>
      <c r="D73" s="568">
        <f t="shared" ca="1" si="5"/>
        <v>2589143.4130794387</v>
      </c>
      <c r="E73" s="568">
        <f t="shared" ca="1" si="2"/>
        <v>12406.312187672305</v>
      </c>
      <c r="F73" s="568">
        <f t="shared" ca="1" si="3"/>
        <v>3515.3092508450954</v>
      </c>
      <c r="G73" s="569">
        <f t="shared" ca="1" si="4"/>
        <v>2585628.1038285936</v>
      </c>
    </row>
    <row r="74" spans="2:8">
      <c r="B74" s="566">
        <v>46</v>
      </c>
      <c r="C74" s="567">
        <f t="shared" si="1"/>
        <v>46</v>
      </c>
      <c r="D74" s="568">
        <f t="shared" ca="1" si="5"/>
        <v>2585628.1038285936</v>
      </c>
      <c r="E74" s="568">
        <f t="shared" ca="1" si="2"/>
        <v>12389.467997512005</v>
      </c>
      <c r="F74" s="568">
        <f t="shared" ca="1" si="3"/>
        <v>3532.1534410053946</v>
      </c>
      <c r="G74" s="569">
        <f t="shared" ca="1" si="4"/>
        <v>2582095.9503875882</v>
      </c>
    </row>
    <row r="75" spans="2:8">
      <c r="B75" s="566">
        <v>47</v>
      </c>
      <c r="C75" s="567">
        <f t="shared" si="1"/>
        <v>47</v>
      </c>
      <c r="D75" s="568">
        <f t="shared" ca="1" si="5"/>
        <v>2582095.9503875882</v>
      </c>
      <c r="E75" s="568">
        <f t="shared" ca="1" si="2"/>
        <v>12372.543095607189</v>
      </c>
      <c r="F75" s="568">
        <f t="shared" ca="1" si="3"/>
        <v>3549.078342910213</v>
      </c>
      <c r="G75" s="569">
        <f t="shared" ca="1" si="4"/>
        <v>2578546.8720446778</v>
      </c>
    </row>
    <row r="76" spans="2:8">
      <c r="B76" s="570">
        <v>48</v>
      </c>
      <c r="C76" s="571">
        <f t="shared" si="1"/>
        <v>48</v>
      </c>
      <c r="D76" s="572">
        <f t="shared" ca="1" si="5"/>
        <v>2578546.8720446778</v>
      </c>
      <c r="E76" s="572">
        <f t="shared" ca="1" si="2"/>
        <v>12355.537095214077</v>
      </c>
      <c r="F76" s="572">
        <f t="shared" ca="1" si="3"/>
        <v>3566.0843433033237</v>
      </c>
      <c r="G76" s="573">
        <f t="shared" ca="1" si="4"/>
        <v>2574980.7877013744</v>
      </c>
      <c r="H76" s="561"/>
    </row>
    <row r="77" spans="2:8">
      <c r="B77" s="553">
        <v>49</v>
      </c>
      <c r="C77" s="554">
        <f t="shared" si="1"/>
        <v>49</v>
      </c>
      <c r="D77" s="555">
        <f t="shared" ca="1" si="5"/>
        <v>2574980.7877013744</v>
      </c>
      <c r="E77" s="555">
        <f t="shared" ca="1" si="2"/>
        <v>12338.449607735749</v>
      </c>
      <c r="F77" s="555">
        <f t="shared" ca="1" si="3"/>
        <v>3583.1718307816518</v>
      </c>
      <c r="G77" s="556">
        <f t="shared" ca="1" si="4"/>
        <v>2571397.6158705927</v>
      </c>
    </row>
    <row r="78" spans="2:8">
      <c r="B78" s="557">
        <v>50</v>
      </c>
      <c r="C78" s="558">
        <f t="shared" si="1"/>
        <v>50</v>
      </c>
      <c r="D78" s="559">
        <f t="shared" ca="1" si="5"/>
        <v>2571397.6158705927</v>
      </c>
      <c r="E78" s="559">
        <f t="shared" ca="1" si="2"/>
        <v>12321.280242713254</v>
      </c>
      <c r="F78" s="559">
        <f t="shared" ca="1" si="3"/>
        <v>3600.3411958041479</v>
      </c>
      <c r="G78" s="560">
        <f t="shared" ca="1" si="4"/>
        <v>2567797.2746747886</v>
      </c>
    </row>
    <row r="79" spans="2:8">
      <c r="B79" s="557">
        <v>51</v>
      </c>
      <c r="C79" s="558">
        <f t="shared" si="1"/>
        <v>51</v>
      </c>
      <c r="D79" s="559">
        <f t="shared" ca="1" si="5"/>
        <v>2567797.2746747886</v>
      </c>
      <c r="E79" s="559">
        <f t="shared" ca="1" si="2"/>
        <v>12304.02860781669</v>
      </c>
      <c r="F79" s="559">
        <f t="shared" ca="1" si="3"/>
        <v>3617.5928307007102</v>
      </c>
      <c r="G79" s="560">
        <f t="shared" ca="1" si="4"/>
        <v>2564179.6818440878</v>
      </c>
    </row>
    <row r="80" spans="2:8">
      <c r="B80" s="557">
        <v>52</v>
      </c>
      <c r="C80" s="558">
        <f t="shared" si="1"/>
        <v>52</v>
      </c>
      <c r="D80" s="559">
        <f t="shared" ca="1" si="5"/>
        <v>2564179.6818440878</v>
      </c>
      <c r="E80" s="559">
        <f t="shared" ca="1" si="2"/>
        <v>12286.694308836251</v>
      </c>
      <c r="F80" s="559">
        <f t="shared" ca="1" si="3"/>
        <v>3634.9271296811503</v>
      </c>
      <c r="G80" s="560">
        <f t="shared" ca="1" si="4"/>
        <v>2560544.7547144066</v>
      </c>
    </row>
    <row r="81" spans="2:8">
      <c r="B81" s="557">
        <v>53</v>
      </c>
      <c r="C81" s="558">
        <f t="shared" si="1"/>
        <v>53</v>
      </c>
      <c r="D81" s="559">
        <f t="shared" ca="1" si="5"/>
        <v>2560544.7547144066</v>
      </c>
      <c r="E81" s="559">
        <f t="shared" ca="1" si="2"/>
        <v>12269.276949673194</v>
      </c>
      <c r="F81" s="559">
        <f t="shared" ca="1" si="3"/>
        <v>3652.3444888442059</v>
      </c>
      <c r="G81" s="560">
        <f t="shared" ca="1" si="4"/>
        <v>2556892.4102255623</v>
      </c>
    </row>
    <row r="82" spans="2:8">
      <c r="B82" s="557">
        <v>54</v>
      </c>
      <c r="C82" s="558">
        <f t="shared" si="1"/>
        <v>54</v>
      </c>
      <c r="D82" s="559">
        <f t="shared" ca="1" si="5"/>
        <v>2556892.4102255623</v>
      </c>
      <c r="E82" s="559">
        <f t="shared" ca="1" si="2"/>
        <v>12251.776132330817</v>
      </c>
      <c r="F82" s="559">
        <f t="shared" ca="1" si="3"/>
        <v>3669.8453061865844</v>
      </c>
      <c r="G82" s="560">
        <f t="shared" ca="1" si="4"/>
        <v>2553222.5649193758</v>
      </c>
    </row>
    <row r="83" spans="2:8">
      <c r="B83" s="557">
        <v>55</v>
      </c>
      <c r="C83" s="558">
        <f t="shared" si="1"/>
        <v>55</v>
      </c>
      <c r="D83" s="559">
        <f t="shared" ca="1" si="5"/>
        <v>2553222.5649193758</v>
      </c>
      <c r="E83" s="559">
        <f t="shared" ca="1" si="2"/>
        <v>12234.191456905339</v>
      </c>
      <c r="F83" s="559">
        <f t="shared" ca="1" si="3"/>
        <v>3687.429981612062</v>
      </c>
      <c r="G83" s="560">
        <f t="shared" ca="1" si="4"/>
        <v>2549535.1349377637</v>
      </c>
    </row>
    <row r="84" spans="2:8">
      <c r="B84" s="557">
        <v>56</v>
      </c>
      <c r="C84" s="558">
        <f t="shared" si="1"/>
        <v>56</v>
      </c>
      <c r="D84" s="559">
        <f t="shared" ca="1" si="5"/>
        <v>2549535.1349377637</v>
      </c>
      <c r="E84" s="559">
        <f t="shared" ca="1" si="2"/>
        <v>12216.522521576784</v>
      </c>
      <c r="F84" s="559">
        <f t="shared" ca="1" si="3"/>
        <v>3705.0989169406193</v>
      </c>
      <c r="G84" s="560">
        <f t="shared" ca="1" si="4"/>
        <v>2545830.0360208233</v>
      </c>
    </row>
    <row r="85" spans="2:8">
      <c r="B85" s="557">
        <v>57</v>
      </c>
      <c r="C85" s="558">
        <f t="shared" si="1"/>
        <v>57</v>
      </c>
      <c r="D85" s="559">
        <f t="shared" ca="1" si="5"/>
        <v>2545830.0360208233</v>
      </c>
      <c r="E85" s="559">
        <f t="shared" ca="1" si="2"/>
        <v>12198.768922599773</v>
      </c>
      <c r="F85" s="559">
        <f t="shared" ca="1" si="3"/>
        <v>3722.852515917627</v>
      </c>
      <c r="G85" s="560">
        <f t="shared" ca="1" si="4"/>
        <v>2542107.1835049056</v>
      </c>
    </row>
    <row r="86" spans="2:8">
      <c r="B86" s="557">
        <v>58</v>
      </c>
      <c r="C86" s="558">
        <f t="shared" si="1"/>
        <v>58</v>
      </c>
      <c r="D86" s="559">
        <f t="shared" ca="1" si="5"/>
        <v>2542107.1835049056</v>
      </c>
      <c r="E86" s="559">
        <f t="shared" ca="1" si="2"/>
        <v>12180.930254294335</v>
      </c>
      <c r="F86" s="559">
        <f t="shared" ca="1" si="3"/>
        <v>3740.6911842230652</v>
      </c>
      <c r="G86" s="560">
        <f t="shared" ca="1" si="4"/>
        <v>2538366.4923206824</v>
      </c>
    </row>
    <row r="87" spans="2:8">
      <c r="B87" s="557">
        <v>59</v>
      </c>
      <c r="C87" s="558">
        <f t="shared" si="1"/>
        <v>59</v>
      </c>
      <c r="D87" s="559">
        <f t="shared" ca="1" si="5"/>
        <v>2538366.4923206824</v>
      </c>
      <c r="E87" s="559">
        <f t="shared" ca="1" si="2"/>
        <v>12163.0061090366</v>
      </c>
      <c r="F87" s="559">
        <f t="shared" ca="1" si="3"/>
        <v>3758.6153294808009</v>
      </c>
      <c r="G87" s="560">
        <f t="shared" ca="1" si="4"/>
        <v>2534607.8769912017</v>
      </c>
    </row>
    <row r="88" spans="2:8">
      <c r="B88" s="562">
        <v>60</v>
      </c>
      <c r="C88" s="563">
        <f t="shared" si="1"/>
        <v>60</v>
      </c>
      <c r="D88" s="564">
        <f t="shared" ca="1" si="5"/>
        <v>2534607.8769912017</v>
      </c>
      <c r="E88" s="564">
        <f t="shared" ca="1" si="2"/>
        <v>12144.996077249503</v>
      </c>
      <c r="F88" s="564">
        <f t="shared" ca="1" si="3"/>
        <v>3776.625361267897</v>
      </c>
      <c r="G88" s="565">
        <f t="shared" ca="1" si="4"/>
        <v>2530831.2516299337</v>
      </c>
      <c r="H88" s="561"/>
    </row>
    <row r="89" spans="2:8">
      <c r="B89" s="574">
        <v>61</v>
      </c>
      <c r="C89" s="575">
        <f t="shared" si="1"/>
        <v>61</v>
      </c>
      <c r="D89" s="576">
        <f t="shared" ca="1" si="5"/>
        <v>2530831.2516299337</v>
      </c>
      <c r="E89" s="576">
        <f t="shared" ca="1" si="2"/>
        <v>12126.899747393429</v>
      </c>
      <c r="F89" s="576">
        <f t="shared" ca="1" si="3"/>
        <v>3794.7216911239711</v>
      </c>
      <c r="G89" s="577">
        <f t="shared" ca="1" si="4"/>
        <v>2527036.5299388096</v>
      </c>
    </row>
    <row r="90" spans="2:8">
      <c r="B90" s="566">
        <v>62</v>
      </c>
      <c r="C90" s="567">
        <f t="shared" si="1"/>
        <v>62</v>
      </c>
      <c r="D90" s="568">
        <f t="shared" ca="1" si="5"/>
        <v>2527036.5299388096</v>
      </c>
      <c r="E90" s="568">
        <f t="shared" ca="1" si="2"/>
        <v>12108.716705956793</v>
      </c>
      <c r="F90" s="568">
        <f t="shared" ca="1" si="3"/>
        <v>3812.904732560607</v>
      </c>
      <c r="G90" s="569">
        <f t="shared" ca="1" si="4"/>
        <v>2523223.6252062488</v>
      </c>
    </row>
    <row r="91" spans="2:8">
      <c r="B91" s="566">
        <v>63</v>
      </c>
      <c r="C91" s="567">
        <f t="shared" si="1"/>
        <v>63</v>
      </c>
      <c r="D91" s="568">
        <f t="shared" ca="1" si="5"/>
        <v>2523223.6252062488</v>
      </c>
      <c r="E91" s="568">
        <f t="shared" ca="1" si="2"/>
        <v>12090.446537446607</v>
      </c>
      <c r="F91" s="568">
        <f t="shared" ca="1" si="3"/>
        <v>3831.174901070794</v>
      </c>
      <c r="G91" s="569">
        <f t="shared" ca="1" si="4"/>
        <v>2519392.4503051778</v>
      </c>
    </row>
    <row r="92" spans="2:8">
      <c r="B92" s="566">
        <v>64</v>
      </c>
      <c r="C92" s="567">
        <f t="shared" si="1"/>
        <v>64</v>
      </c>
      <c r="D92" s="568">
        <f t="shared" ca="1" si="5"/>
        <v>2519392.4503051778</v>
      </c>
      <c r="E92" s="568">
        <f t="shared" ca="1" si="2"/>
        <v>12072.088824378976</v>
      </c>
      <c r="F92" s="568">
        <f t="shared" ca="1" si="3"/>
        <v>3849.5326141384244</v>
      </c>
      <c r="G92" s="569">
        <f t="shared" ca="1" si="4"/>
        <v>2515542.9176910394</v>
      </c>
    </row>
    <row r="93" spans="2:8">
      <c r="B93" s="566">
        <v>65</v>
      </c>
      <c r="C93" s="567">
        <f t="shared" ref="C93:C156" si="6">IF(C$9*12&gt;=B93,"I/O",B93-(C$9*12))</f>
        <v>65</v>
      </c>
      <c r="D93" s="568">
        <f t="shared" ca="1" si="5"/>
        <v>2515542.9176910394</v>
      </c>
      <c r="E93" s="568">
        <f t="shared" ref="E93:E156" ca="1" si="7">IF(C93="I/O",C$5*C$6/12,-IPMT(C$6/12,C93,C$8*12,C$5))</f>
        <v>12053.643147269562</v>
      </c>
      <c r="F93" s="568">
        <f t="shared" ref="F93:F156" ca="1" si="8">IF(C93&lt;&gt;"I/O",-PPMT(C$6/12,C93,C$8*12,C$5),0)</f>
        <v>3867.9782912478377</v>
      </c>
      <c r="G93" s="569">
        <f t="shared" ref="G93:G156" ca="1" si="9">D93-F93</f>
        <v>2511674.9393997914</v>
      </c>
    </row>
    <row r="94" spans="2:8">
      <c r="B94" s="566">
        <v>66</v>
      </c>
      <c r="C94" s="567">
        <f t="shared" si="6"/>
        <v>66</v>
      </c>
      <c r="D94" s="568">
        <f t="shared" ref="D94:D157" ca="1" si="10">G93</f>
        <v>2511674.9393997914</v>
      </c>
      <c r="E94" s="568">
        <f t="shared" ca="1" si="7"/>
        <v>12035.109084624</v>
      </c>
      <c r="F94" s="568">
        <f t="shared" ca="1" si="8"/>
        <v>3886.5123538934008</v>
      </c>
      <c r="G94" s="569">
        <f t="shared" ca="1" si="9"/>
        <v>2507788.427045898</v>
      </c>
    </row>
    <row r="95" spans="2:8">
      <c r="B95" s="566">
        <v>67</v>
      </c>
      <c r="C95" s="567">
        <f t="shared" si="6"/>
        <v>67</v>
      </c>
      <c r="D95" s="568">
        <f t="shared" ca="1" si="10"/>
        <v>2507788.427045898</v>
      </c>
      <c r="E95" s="568">
        <f t="shared" ca="1" si="7"/>
        <v>12016.486212928263</v>
      </c>
      <c r="F95" s="568">
        <f t="shared" ca="1" si="8"/>
        <v>3905.1352255891393</v>
      </c>
      <c r="G95" s="569">
        <f t="shared" ca="1" si="9"/>
        <v>2503883.2918203091</v>
      </c>
    </row>
    <row r="96" spans="2:8">
      <c r="B96" s="566">
        <v>68</v>
      </c>
      <c r="C96" s="567">
        <f t="shared" si="6"/>
        <v>68</v>
      </c>
      <c r="D96" s="568">
        <f t="shared" ca="1" si="10"/>
        <v>2503883.2918203091</v>
      </c>
      <c r="E96" s="568">
        <f t="shared" ca="1" si="7"/>
        <v>11997.774106638981</v>
      </c>
      <c r="F96" s="568">
        <f t="shared" ca="1" si="8"/>
        <v>3923.8473318784208</v>
      </c>
      <c r="G96" s="569">
        <f t="shared" ca="1" si="9"/>
        <v>2499959.4444884309</v>
      </c>
    </row>
    <row r="97" spans="2:8">
      <c r="B97" s="566">
        <v>69</v>
      </c>
      <c r="C97" s="567">
        <f t="shared" si="6"/>
        <v>69</v>
      </c>
      <c r="D97" s="568">
        <f t="shared" ca="1" si="10"/>
        <v>2499959.4444884309</v>
      </c>
      <c r="E97" s="568">
        <f t="shared" ca="1" si="7"/>
        <v>11978.972338173728</v>
      </c>
      <c r="F97" s="568">
        <f t="shared" ca="1" si="8"/>
        <v>3942.6491003436718</v>
      </c>
      <c r="G97" s="569">
        <f t="shared" ca="1" si="9"/>
        <v>2496016.7953880872</v>
      </c>
    </row>
    <row r="98" spans="2:8">
      <c r="B98" s="566">
        <v>70</v>
      </c>
      <c r="C98" s="567">
        <f t="shared" si="6"/>
        <v>70</v>
      </c>
      <c r="D98" s="568">
        <f t="shared" ca="1" si="10"/>
        <v>2496016.7953880872</v>
      </c>
      <c r="E98" s="568">
        <f t="shared" ca="1" si="7"/>
        <v>11960.080477901251</v>
      </c>
      <c r="F98" s="568">
        <f t="shared" ca="1" si="8"/>
        <v>3961.5409606161516</v>
      </c>
      <c r="G98" s="569">
        <f t="shared" ca="1" si="9"/>
        <v>2492055.2544274712</v>
      </c>
    </row>
    <row r="99" spans="2:8">
      <c r="B99" s="566">
        <v>71</v>
      </c>
      <c r="C99" s="567">
        <f t="shared" si="6"/>
        <v>71</v>
      </c>
      <c r="D99" s="568">
        <f t="shared" ca="1" si="10"/>
        <v>2492055.2544274712</v>
      </c>
      <c r="E99" s="568">
        <f t="shared" ca="1" si="7"/>
        <v>11941.098094131632</v>
      </c>
      <c r="F99" s="568">
        <f t="shared" ca="1" si="8"/>
        <v>3980.523344385771</v>
      </c>
      <c r="G99" s="569">
        <f t="shared" ca="1" si="9"/>
        <v>2488074.7310830853</v>
      </c>
    </row>
    <row r="100" spans="2:8">
      <c r="B100" s="570">
        <v>72</v>
      </c>
      <c r="C100" s="571">
        <f t="shared" si="6"/>
        <v>72</v>
      </c>
      <c r="D100" s="572">
        <f t="shared" ca="1" si="10"/>
        <v>2488074.7310830853</v>
      </c>
      <c r="E100" s="572">
        <f t="shared" ca="1" si="7"/>
        <v>11922.024753106449</v>
      </c>
      <c r="F100" s="572">
        <f t="shared" ca="1" si="8"/>
        <v>3999.5966854109529</v>
      </c>
      <c r="G100" s="573">
        <f t="shared" ca="1" si="9"/>
        <v>2484075.1343976744</v>
      </c>
      <c r="H100" s="561"/>
    </row>
    <row r="101" spans="2:8">
      <c r="B101" s="553">
        <v>73</v>
      </c>
      <c r="C101" s="554">
        <f t="shared" si="6"/>
        <v>73</v>
      </c>
      <c r="D101" s="555">
        <f t="shared" ca="1" si="10"/>
        <v>2484075.1343976744</v>
      </c>
      <c r="E101" s="555">
        <f t="shared" ca="1" si="7"/>
        <v>11902.860018988853</v>
      </c>
      <c r="F101" s="555">
        <f t="shared" ca="1" si="8"/>
        <v>4018.7614195285464</v>
      </c>
      <c r="G101" s="556">
        <f t="shared" ca="1" si="9"/>
        <v>2480056.3729781457</v>
      </c>
    </row>
    <row r="102" spans="2:8">
      <c r="B102" s="557">
        <v>74</v>
      </c>
      <c r="C102" s="558">
        <f t="shared" si="6"/>
        <v>74</v>
      </c>
      <c r="D102" s="559">
        <f t="shared" ca="1" si="10"/>
        <v>2480056.3729781457</v>
      </c>
      <c r="E102" s="559">
        <f t="shared" ca="1" si="7"/>
        <v>11883.603453853613</v>
      </c>
      <c r="F102" s="559">
        <f t="shared" ca="1" si="8"/>
        <v>4038.0179846637875</v>
      </c>
      <c r="G102" s="560">
        <f t="shared" ca="1" si="9"/>
        <v>2476018.3549934821</v>
      </c>
    </row>
    <row r="103" spans="2:8">
      <c r="B103" s="557">
        <v>75</v>
      </c>
      <c r="C103" s="558">
        <f t="shared" si="6"/>
        <v>75</v>
      </c>
      <c r="D103" s="559">
        <f t="shared" ca="1" si="10"/>
        <v>2476018.3549934821</v>
      </c>
      <c r="E103" s="559">
        <f t="shared" ca="1" si="7"/>
        <v>11864.254617677099</v>
      </c>
      <c r="F103" s="559">
        <f t="shared" ca="1" si="8"/>
        <v>4057.3668208403024</v>
      </c>
      <c r="G103" s="560">
        <f t="shared" ca="1" si="9"/>
        <v>2471960.988172642</v>
      </c>
    </row>
    <row r="104" spans="2:8">
      <c r="B104" s="557">
        <v>76</v>
      </c>
      <c r="C104" s="558">
        <f t="shared" si="6"/>
        <v>76</v>
      </c>
      <c r="D104" s="559">
        <f t="shared" ca="1" si="10"/>
        <v>2471960.988172642</v>
      </c>
      <c r="E104" s="559">
        <f t="shared" ca="1" si="7"/>
        <v>11844.813068327239</v>
      </c>
      <c r="F104" s="559">
        <f t="shared" ca="1" si="8"/>
        <v>4076.8083701901614</v>
      </c>
      <c r="G104" s="560">
        <f t="shared" ca="1" si="9"/>
        <v>2467884.1798024517</v>
      </c>
    </row>
    <row r="105" spans="2:8">
      <c r="B105" s="557">
        <v>77</v>
      </c>
      <c r="C105" s="558">
        <f t="shared" si="6"/>
        <v>77</v>
      </c>
      <c r="D105" s="559">
        <f t="shared" ca="1" si="10"/>
        <v>2467884.1798024517</v>
      </c>
      <c r="E105" s="559">
        <f t="shared" ca="1" si="7"/>
        <v>11825.278361553412</v>
      </c>
      <c r="F105" s="559">
        <f t="shared" ca="1" si="8"/>
        <v>4096.343076963989</v>
      </c>
      <c r="G105" s="560">
        <f t="shared" ca="1" si="9"/>
        <v>2463787.8367254878</v>
      </c>
    </row>
    <row r="106" spans="2:8">
      <c r="B106" s="557">
        <v>78</v>
      </c>
      <c r="C106" s="558">
        <f t="shared" si="6"/>
        <v>78</v>
      </c>
      <c r="D106" s="559">
        <f t="shared" ca="1" si="10"/>
        <v>2463787.8367254878</v>
      </c>
      <c r="E106" s="559">
        <f t="shared" ca="1" si="7"/>
        <v>11805.650050976292</v>
      </c>
      <c r="F106" s="559">
        <f t="shared" ca="1" si="8"/>
        <v>4115.9713875411089</v>
      </c>
      <c r="G106" s="560">
        <f t="shared" ca="1" si="9"/>
        <v>2459671.8653379469</v>
      </c>
    </row>
    <row r="107" spans="2:8">
      <c r="B107" s="557">
        <v>79</v>
      </c>
      <c r="C107" s="558">
        <f t="shared" si="6"/>
        <v>79</v>
      </c>
      <c r="D107" s="559">
        <f t="shared" ca="1" si="10"/>
        <v>2459671.8653379469</v>
      </c>
      <c r="E107" s="559">
        <f t="shared" ca="1" si="7"/>
        <v>11785.92768807766</v>
      </c>
      <c r="F107" s="559">
        <f t="shared" ca="1" si="8"/>
        <v>4135.6937504397429</v>
      </c>
      <c r="G107" s="560">
        <f t="shared" ca="1" si="9"/>
        <v>2455536.1715875072</v>
      </c>
    </row>
    <row r="108" spans="2:8">
      <c r="B108" s="557">
        <v>80</v>
      </c>
      <c r="C108" s="558">
        <f t="shared" si="6"/>
        <v>80</v>
      </c>
      <c r="D108" s="559">
        <f t="shared" ca="1" si="10"/>
        <v>2455536.1715875072</v>
      </c>
      <c r="E108" s="559">
        <f t="shared" ca="1" si="7"/>
        <v>11766.110822190134</v>
      </c>
      <c r="F108" s="559">
        <f t="shared" ca="1" si="8"/>
        <v>4155.5106163272667</v>
      </c>
      <c r="G108" s="560">
        <f t="shared" ca="1" si="9"/>
        <v>2451380.6609711801</v>
      </c>
    </row>
    <row r="109" spans="2:8">
      <c r="B109" s="557">
        <v>81</v>
      </c>
      <c r="C109" s="558">
        <f t="shared" si="6"/>
        <v>81</v>
      </c>
      <c r="D109" s="559">
        <f t="shared" ca="1" si="10"/>
        <v>2451380.6609711801</v>
      </c>
      <c r="E109" s="559">
        <f t="shared" ca="1" si="7"/>
        <v>11746.199000486902</v>
      </c>
      <c r="F109" s="559">
        <f t="shared" ca="1" si="8"/>
        <v>4175.4224380305013</v>
      </c>
      <c r="G109" s="560">
        <f t="shared" ca="1" si="9"/>
        <v>2447205.2385331495</v>
      </c>
    </row>
    <row r="110" spans="2:8">
      <c r="B110" s="557">
        <v>82</v>
      </c>
      <c r="C110" s="558">
        <f t="shared" si="6"/>
        <v>82</v>
      </c>
      <c r="D110" s="559">
        <f t="shared" ca="1" si="10"/>
        <v>2447205.2385331495</v>
      </c>
      <c r="E110" s="559">
        <f t="shared" ca="1" si="7"/>
        <v>11726.191767971339</v>
      </c>
      <c r="F110" s="559">
        <f t="shared" ca="1" si="8"/>
        <v>4195.4296705460638</v>
      </c>
      <c r="G110" s="560">
        <f t="shared" ca="1" si="9"/>
        <v>2443009.8088626033</v>
      </c>
    </row>
    <row r="111" spans="2:8">
      <c r="B111" s="557">
        <v>83</v>
      </c>
      <c r="C111" s="558">
        <f t="shared" si="6"/>
        <v>83</v>
      </c>
      <c r="D111" s="559">
        <f t="shared" ca="1" si="10"/>
        <v>2443009.8088626033</v>
      </c>
      <c r="E111" s="559">
        <f t="shared" ca="1" si="7"/>
        <v>11706.088667466638</v>
      </c>
      <c r="F111" s="559">
        <f t="shared" ca="1" si="8"/>
        <v>4215.5327710507645</v>
      </c>
      <c r="G111" s="560">
        <f t="shared" ca="1" si="9"/>
        <v>2438794.2760915523</v>
      </c>
    </row>
    <row r="112" spans="2:8">
      <c r="B112" s="562">
        <v>84</v>
      </c>
      <c r="C112" s="563">
        <f t="shared" si="6"/>
        <v>84</v>
      </c>
      <c r="D112" s="564">
        <f t="shared" ca="1" si="10"/>
        <v>2438794.2760915523</v>
      </c>
      <c r="E112" s="564">
        <f t="shared" ca="1" si="7"/>
        <v>11685.889239605352</v>
      </c>
      <c r="F112" s="564">
        <f t="shared" ca="1" si="8"/>
        <v>4235.7321989120492</v>
      </c>
      <c r="G112" s="565">
        <f t="shared" ca="1" si="9"/>
        <v>2434558.5438926402</v>
      </c>
      <c r="H112" s="561"/>
    </row>
    <row r="113" spans="2:8">
      <c r="B113" s="574">
        <v>85</v>
      </c>
      <c r="C113" s="575">
        <f t="shared" si="6"/>
        <v>85</v>
      </c>
      <c r="D113" s="576">
        <f t="shared" ca="1" si="10"/>
        <v>2434558.5438926402</v>
      </c>
      <c r="E113" s="576">
        <f t="shared" ca="1" si="7"/>
        <v>11665.593022818899</v>
      </c>
      <c r="F113" s="576">
        <f t="shared" ca="1" si="8"/>
        <v>4256.0284156985026</v>
      </c>
      <c r="G113" s="577">
        <f t="shared" ca="1" si="9"/>
        <v>2430302.5154769416</v>
      </c>
    </row>
    <row r="114" spans="2:8">
      <c r="B114" s="566">
        <v>86</v>
      </c>
      <c r="C114" s="567">
        <f t="shared" si="6"/>
        <v>86</v>
      </c>
      <c r="D114" s="568">
        <f t="shared" ca="1" si="10"/>
        <v>2430302.5154769416</v>
      </c>
      <c r="E114" s="568">
        <f t="shared" ca="1" si="7"/>
        <v>11645.199553327011</v>
      </c>
      <c r="F114" s="568">
        <f t="shared" ca="1" si="8"/>
        <v>4276.4218851903906</v>
      </c>
      <c r="G114" s="569">
        <f t="shared" ca="1" si="9"/>
        <v>2426026.0935917511</v>
      </c>
    </row>
    <row r="115" spans="2:8">
      <c r="B115" s="566">
        <v>87</v>
      </c>
      <c r="C115" s="567">
        <f t="shared" si="6"/>
        <v>87</v>
      </c>
      <c r="D115" s="568">
        <f t="shared" ca="1" si="10"/>
        <v>2426026.0935917511</v>
      </c>
      <c r="E115" s="568">
        <f t="shared" ca="1" si="7"/>
        <v>11624.708365127139</v>
      </c>
      <c r="F115" s="568">
        <f t="shared" ca="1" si="8"/>
        <v>4296.913073390263</v>
      </c>
      <c r="G115" s="569">
        <f t="shared" ca="1" si="9"/>
        <v>2421729.1805183608</v>
      </c>
    </row>
    <row r="116" spans="2:8">
      <c r="B116" s="566">
        <v>88</v>
      </c>
      <c r="C116" s="567">
        <f t="shared" si="6"/>
        <v>88</v>
      </c>
      <c r="D116" s="568">
        <f t="shared" ca="1" si="10"/>
        <v>2421729.1805183608</v>
      </c>
      <c r="E116" s="568">
        <f t="shared" ca="1" si="7"/>
        <v>11604.118989983812</v>
      </c>
      <c r="F116" s="568">
        <f t="shared" ca="1" si="8"/>
        <v>4317.5024485335907</v>
      </c>
      <c r="G116" s="569">
        <f t="shared" ca="1" si="9"/>
        <v>2417411.6780698271</v>
      </c>
    </row>
    <row r="117" spans="2:8">
      <c r="B117" s="566">
        <v>89</v>
      </c>
      <c r="C117" s="567">
        <f t="shared" si="6"/>
        <v>89</v>
      </c>
      <c r="D117" s="568">
        <f t="shared" ca="1" si="10"/>
        <v>2417411.6780698271</v>
      </c>
      <c r="E117" s="568">
        <f t="shared" ca="1" si="7"/>
        <v>11583.430957417921</v>
      </c>
      <c r="F117" s="568">
        <f t="shared" ca="1" si="8"/>
        <v>4338.1904810994802</v>
      </c>
      <c r="G117" s="569">
        <f t="shared" ca="1" si="9"/>
        <v>2413073.4875887278</v>
      </c>
    </row>
    <row r="118" spans="2:8">
      <c r="B118" s="566">
        <v>90</v>
      </c>
      <c r="C118" s="567">
        <f t="shared" si="6"/>
        <v>90</v>
      </c>
      <c r="D118" s="568">
        <f t="shared" ca="1" si="10"/>
        <v>2413073.4875887278</v>
      </c>
      <c r="E118" s="568">
        <f t="shared" ca="1" si="7"/>
        <v>11562.643794695987</v>
      </c>
      <c r="F118" s="568">
        <f t="shared" ca="1" si="8"/>
        <v>4358.9776438214158</v>
      </c>
      <c r="G118" s="569">
        <f t="shared" ca="1" si="9"/>
        <v>2408714.5099449065</v>
      </c>
    </row>
    <row r="119" spans="2:8">
      <c r="B119" s="566">
        <v>91</v>
      </c>
      <c r="C119" s="567">
        <f t="shared" si="6"/>
        <v>91</v>
      </c>
      <c r="D119" s="568">
        <f t="shared" ca="1" si="10"/>
        <v>2408714.5099449065</v>
      </c>
      <c r="E119" s="568">
        <f t="shared" ca="1" si="7"/>
        <v>11541.757026819339</v>
      </c>
      <c r="F119" s="568">
        <f t="shared" ca="1" si="8"/>
        <v>4379.8644116980595</v>
      </c>
      <c r="G119" s="569">
        <f t="shared" ca="1" si="9"/>
        <v>2404334.6455332083</v>
      </c>
    </row>
    <row r="120" spans="2:8">
      <c r="B120" s="566">
        <v>92</v>
      </c>
      <c r="C120" s="567">
        <f t="shared" si="6"/>
        <v>92</v>
      </c>
      <c r="D120" s="568">
        <f t="shared" ca="1" si="10"/>
        <v>2404334.6455332083</v>
      </c>
      <c r="E120" s="568">
        <f t="shared" ca="1" si="7"/>
        <v>11520.770176513288</v>
      </c>
      <c r="F120" s="568">
        <f t="shared" ca="1" si="8"/>
        <v>4400.8512620041129</v>
      </c>
      <c r="G120" s="569">
        <f t="shared" ca="1" si="9"/>
        <v>2399933.7942712042</v>
      </c>
    </row>
    <row r="121" spans="2:8">
      <c r="B121" s="566">
        <v>93</v>
      </c>
      <c r="C121" s="567">
        <f t="shared" si="6"/>
        <v>93</v>
      </c>
      <c r="D121" s="568">
        <f t="shared" ca="1" si="10"/>
        <v>2399933.7942712042</v>
      </c>
      <c r="E121" s="568">
        <f t="shared" ca="1" si="7"/>
        <v>11499.682764216182</v>
      </c>
      <c r="F121" s="568">
        <f t="shared" ca="1" si="8"/>
        <v>4421.9386743012165</v>
      </c>
      <c r="G121" s="569">
        <f t="shared" ca="1" si="9"/>
        <v>2395511.8555969028</v>
      </c>
    </row>
    <row r="122" spans="2:8">
      <c r="B122" s="566">
        <v>94</v>
      </c>
      <c r="C122" s="567">
        <f t="shared" si="6"/>
        <v>94</v>
      </c>
      <c r="D122" s="568">
        <f t="shared" ca="1" si="10"/>
        <v>2395511.8555969028</v>
      </c>
      <c r="E122" s="568">
        <f t="shared" ca="1" si="7"/>
        <v>11478.494308068492</v>
      </c>
      <c r="F122" s="568">
        <f t="shared" ca="1" si="8"/>
        <v>4443.1271304489092</v>
      </c>
      <c r="G122" s="569">
        <f t="shared" ca="1" si="9"/>
        <v>2391068.728466454</v>
      </c>
    </row>
    <row r="123" spans="2:8">
      <c r="B123" s="566">
        <v>95</v>
      </c>
      <c r="C123" s="567">
        <f t="shared" si="6"/>
        <v>95</v>
      </c>
      <c r="D123" s="568">
        <f t="shared" ca="1" si="10"/>
        <v>2391068.728466454</v>
      </c>
      <c r="E123" s="568">
        <f t="shared" ca="1" si="7"/>
        <v>11457.204323901757</v>
      </c>
      <c r="F123" s="568">
        <f t="shared" ca="1" si="8"/>
        <v>4464.4171146156432</v>
      </c>
      <c r="G123" s="569">
        <f t="shared" ca="1" si="9"/>
        <v>2386604.3113518385</v>
      </c>
    </row>
    <row r="124" spans="2:8">
      <c r="B124" s="570">
        <v>96</v>
      </c>
      <c r="C124" s="571">
        <f t="shared" si="6"/>
        <v>96</v>
      </c>
      <c r="D124" s="572">
        <f t="shared" ca="1" si="10"/>
        <v>2386604.3113518385</v>
      </c>
      <c r="E124" s="572">
        <f t="shared" ca="1" si="7"/>
        <v>11435.812325227556</v>
      </c>
      <c r="F124" s="572">
        <f t="shared" ca="1" si="8"/>
        <v>4485.8091132898444</v>
      </c>
      <c r="G124" s="573">
        <f t="shared" ca="1" si="9"/>
        <v>2382118.5022385488</v>
      </c>
      <c r="H124" s="561"/>
    </row>
    <row r="125" spans="2:8">
      <c r="B125" s="553">
        <v>97</v>
      </c>
      <c r="C125" s="554">
        <f t="shared" si="6"/>
        <v>97</v>
      </c>
      <c r="D125" s="555">
        <f t="shared" ca="1" si="10"/>
        <v>2382118.5022385488</v>
      </c>
      <c r="E125" s="555">
        <f t="shared" ca="1" si="7"/>
        <v>11414.317823226376</v>
      </c>
      <c r="F125" s="555">
        <f t="shared" ca="1" si="8"/>
        <v>4507.3036152910236</v>
      </c>
      <c r="G125" s="556">
        <f t="shared" ca="1" si="9"/>
        <v>2377611.1986232577</v>
      </c>
    </row>
    <row r="126" spans="2:8">
      <c r="B126" s="557">
        <v>98</v>
      </c>
      <c r="C126" s="558">
        <f t="shared" si="6"/>
        <v>98</v>
      </c>
      <c r="D126" s="559">
        <f t="shared" ca="1" si="10"/>
        <v>2377611.1986232577</v>
      </c>
      <c r="E126" s="559">
        <f t="shared" ca="1" si="7"/>
        <v>11392.720326736442</v>
      </c>
      <c r="F126" s="559">
        <f t="shared" ca="1" si="8"/>
        <v>4528.9011117809605</v>
      </c>
      <c r="G126" s="560">
        <f t="shared" ca="1" si="9"/>
        <v>2373082.2975114766</v>
      </c>
    </row>
    <row r="127" spans="2:8">
      <c r="B127" s="557">
        <v>99</v>
      </c>
      <c r="C127" s="558">
        <f t="shared" si="6"/>
        <v>99</v>
      </c>
      <c r="D127" s="559">
        <f t="shared" ca="1" si="10"/>
        <v>2373082.2975114766</v>
      </c>
      <c r="E127" s="559">
        <f t="shared" ca="1" si="7"/>
        <v>11371.019342242491</v>
      </c>
      <c r="F127" s="559">
        <f t="shared" ca="1" si="8"/>
        <v>4550.6020962749099</v>
      </c>
      <c r="G127" s="560">
        <f t="shared" ca="1" si="9"/>
        <v>2368531.6954152016</v>
      </c>
    </row>
    <row r="128" spans="2:8">
      <c r="B128" s="557">
        <v>100</v>
      </c>
      <c r="C128" s="558">
        <f t="shared" si="6"/>
        <v>100</v>
      </c>
      <c r="D128" s="559">
        <f t="shared" ca="1" si="10"/>
        <v>2368531.6954152016</v>
      </c>
      <c r="E128" s="559">
        <f t="shared" ca="1" si="7"/>
        <v>11349.214373864506</v>
      </c>
      <c r="F128" s="559">
        <f t="shared" ca="1" si="8"/>
        <v>4572.4070646528953</v>
      </c>
      <c r="G128" s="560">
        <f t="shared" ca="1" si="9"/>
        <v>2363959.2883505486</v>
      </c>
    </row>
    <row r="129" spans="2:8">
      <c r="B129" s="557">
        <v>101</v>
      </c>
      <c r="C129" s="558">
        <f t="shared" si="6"/>
        <v>101</v>
      </c>
      <c r="D129" s="559">
        <f t="shared" ca="1" si="10"/>
        <v>2363959.2883505486</v>
      </c>
      <c r="E129" s="559">
        <f t="shared" ca="1" si="7"/>
        <v>11327.304923346377</v>
      </c>
      <c r="F129" s="559">
        <f t="shared" ca="1" si="8"/>
        <v>4594.3165151710227</v>
      </c>
      <c r="G129" s="560">
        <f t="shared" ca="1" si="9"/>
        <v>2359364.9718353776</v>
      </c>
    </row>
    <row r="130" spans="2:8">
      <c r="B130" s="557">
        <v>102</v>
      </c>
      <c r="C130" s="558">
        <f t="shared" si="6"/>
        <v>102</v>
      </c>
      <c r="D130" s="559">
        <f t="shared" ca="1" si="10"/>
        <v>2359364.9718353776</v>
      </c>
      <c r="E130" s="559">
        <f t="shared" ca="1" si="7"/>
        <v>11305.290490044519</v>
      </c>
      <c r="F130" s="559">
        <f t="shared" ca="1" si="8"/>
        <v>4616.3309484728834</v>
      </c>
      <c r="G130" s="560">
        <f t="shared" ca="1" si="9"/>
        <v>2354748.6408869047</v>
      </c>
    </row>
    <row r="131" spans="2:8">
      <c r="B131" s="557">
        <v>103</v>
      </c>
      <c r="C131" s="558">
        <f t="shared" si="6"/>
        <v>103</v>
      </c>
      <c r="D131" s="559">
        <f t="shared" ca="1" si="10"/>
        <v>2354748.6408869047</v>
      </c>
      <c r="E131" s="559">
        <f t="shared" ca="1" si="7"/>
        <v>11283.170570916418</v>
      </c>
      <c r="F131" s="559">
        <f t="shared" ca="1" si="8"/>
        <v>4638.4508676009837</v>
      </c>
      <c r="G131" s="560">
        <f t="shared" ca="1" si="9"/>
        <v>2350110.1900193035</v>
      </c>
    </row>
    <row r="132" spans="2:8">
      <c r="B132" s="557">
        <v>104</v>
      </c>
      <c r="C132" s="558">
        <f t="shared" si="6"/>
        <v>104</v>
      </c>
      <c r="D132" s="559">
        <f t="shared" ca="1" si="10"/>
        <v>2350110.1900193035</v>
      </c>
      <c r="E132" s="559">
        <f t="shared" ca="1" si="7"/>
        <v>11260.944660509163</v>
      </c>
      <c r="F132" s="559">
        <f t="shared" ca="1" si="8"/>
        <v>4660.6767780082373</v>
      </c>
      <c r="G132" s="560">
        <f t="shared" ca="1" si="9"/>
        <v>2345449.5132412952</v>
      </c>
    </row>
    <row r="133" spans="2:8">
      <c r="B133" s="557">
        <v>105</v>
      </c>
      <c r="C133" s="558">
        <f t="shared" si="6"/>
        <v>105</v>
      </c>
      <c r="D133" s="559">
        <f t="shared" ca="1" si="10"/>
        <v>2345449.5132412952</v>
      </c>
      <c r="E133" s="559">
        <f t="shared" ca="1" si="7"/>
        <v>11238.612250947872</v>
      </c>
      <c r="F133" s="559">
        <f t="shared" ca="1" si="8"/>
        <v>4683.009187569528</v>
      </c>
      <c r="G133" s="560">
        <f t="shared" ca="1" si="9"/>
        <v>2340766.5040537259</v>
      </c>
    </row>
    <row r="134" spans="2:8">
      <c r="B134" s="557">
        <v>106</v>
      </c>
      <c r="C134" s="558">
        <f t="shared" si="6"/>
        <v>106</v>
      </c>
      <c r="D134" s="559">
        <f t="shared" ca="1" si="10"/>
        <v>2340766.5040537259</v>
      </c>
      <c r="E134" s="559">
        <f t="shared" ca="1" si="7"/>
        <v>11216.172831924103</v>
      </c>
      <c r="F134" s="559">
        <f t="shared" ca="1" si="8"/>
        <v>4705.4486065932988</v>
      </c>
      <c r="G134" s="560">
        <f t="shared" ca="1" si="9"/>
        <v>2336061.0554471328</v>
      </c>
    </row>
    <row r="135" spans="2:8">
      <c r="B135" s="557">
        <v>107</v>
      </c>
      <c r="C135" s="558">
        <f t="shared" si="6"/>
        <v>107</v>
      </c>
      <c r="D135" s="559">
        <f t="shared" ca="1" si="10"/>
        <v>2336061.0554471328</v>
      </c>
      <c r="E135" s="559">
        <f t="shared" ca="1" si="7"/>
        <v>11193.625890684178</v>
      </c>
      <c r="F135" s="559">
        <f t="shared" ca="1" si="8"/>
        <v>4727.995547833224</v>
      </c>
      <c r="G135" s="560">
        <f t="shared" ca="1" si="9"/>
        <v>2331333.0598992994</v>
      </c>
    </row>
    <row r="136" spans="2:8">
      <c r="B136" s="562">
        <v>108</v>
      </c>
      <c r="C136" s="563">
        <f t="shared" si="6"/>
        <v>108</v>
      </c>
      <c r="D136" s="564">
        <f t="shared" ca="1" si="10"/>
        <v>2331333.0598992994</v>
      </c>
      <c r="E136" s="564">
        <f t="shared" ca="1" si="7"/>
        <v>11170.970912017478</v>
      </c>
      <c r="F136" s="564">
        <f t="shared" ca="1" si="8"/>
        <v>4750.650526499925</v>
      </c>
      <c r="G136" s="565">
        <f t="shared" ca="1" si="9"/>
        <v>2326582.4093727996</v>
      </c>
      <c r="H136" s="561"/>
    </row>
    <row r="137" spans="2:8">
      <c r="B137" s="574">
        <v>109</v>
      </c>
      <c r="C137" s="575">
        <f t="shared" si="6"/>
        <v>109</v>
      </c>
      <c r="D137" s="576">
        <f t="shared" ca="1" si="10"/>
        <v>2326582.4093727996</v>
      </c>
      <c r="E137" s="576">
        <f t="shared" ca="1" si="7"/>
        <v>11148.207378244664</v>
      </c>
      <c r="F137" s="576">
        <f t="shared" ca="1" si="8"/>
        <v>4773.4140602727375</v>
      </c>
      <c r="G137" s="577">
        <f t="shared" ca="1" si="9"/>
        <v>2321808.9953125268</v>
      </c>
    </row>
    <row r="138" spans="2:8">
      <c r="B138" s="566">
        <v>110</v>
      </c>
      <c r="C138" s="567">
        <f t="shared" si="6"/>
        <v>110</v>
      </c>
      <c r="D138" s="568">
        <f t="shared" ca="1" si="10"/>
        <v>2321808.9953125268</v>
      </c>
      <c r="E138" s="568">
        <f t="shared" ca="1" si="7"/>
        <v>11125.334769205856</v>
      </c>
      <c r="F138" s="568">
        <f t="shared" ca="1" si="8"/>
        <v>4796.2866693115438</v>
      </c>
      <c r="G138" s="569">
        <f t="shared" ca="1" si="9"/>
        <v>2317012.7086432152</v>
      </c>
    </row>
    <row r="139" spans="2:8">
      <c r="B139" s="566">
        <v>111</v>
      </c>
      <c r="C139" s="567">
        <f t="shared" si="6"/>
        <v>111</v>
      </c>
      <c r="D139" s="568">
        <f t="shared" ca="1" si="10"/>
        <v>2317012.7086432152</v>
      </c>
      <c r="E139" s="568">
        <f t="shared" ca="1" si="7"/>
        <v>11102.352562248738</v>
      </c>
      <c r="F139" s="568">
        <f t="shared" ca="1" si="8"/>
        <v>4819.2688762686621</v>
      </c>
      <c r="G139" s="569">
        <f t="shared" ca="1" si="9"/>
        <v>2312193.4397669467</v>
      </c>
    </row>
    <row r="140" spans="2:8">
      <c r="B140" s="566">
        <v>112</v>
      </c>
      <c r="C140" s="567">
        <f t="shared" si="6"/>
        <v>112</v>
      </c>
      <c r="D140" s="568">
        <f t="shared" ca="1" si="10"/>
        <v>2312193.4397669467</v>
      </c>
      <c r="E140" s="568">
        <f t="shared" ca="1" si="7"/>
        <v>11079.260232216619</v>
      </c>
      <c r="F140" s="568">
        <f t="shared" ca="1" si="8"/>
        <v>4842.3612063007831</v>
      </c>
      <c r="G140" s="569">
        <f t="shared" ca="1" si="9"/>
        <v>2307351.0785606462</v>
      </c>
    </row>
    <row r="141" spans="2:8">
      <c r="B141" s="566">
        <v>113</v>
      </c>
      <c r="C141" s="567">
        <f t="shared" si="6"/>
        <v>113</v>
      </c>
      <c r="D141" s="568">
        <f t="shared" ca="1" si="10"/>
        <v>2307351.0785606462</v>
      </c>
      <c r="E141" s="568">
        <f t="shared" ca="1" si="7"/>
        <v>11056.057251436427</v>
      </c>
      <c r="F141" s="568">
        <f t="shared" ca="1" si="8"/>
        <v>4865.5641870809741</v>
      </c>
      <c r="G141" s="569">
        <f t="shared" ca="1" si="9"/>
        <v>2302485.5143735651</v>
      </c>
    </row>
    <row r="142" spans="2:8">
      <c r="B142" s="566">
        <v>114</v>
      </c>
      <c r="C142" s="567">
        <f t="shared" si="6"/>
        <v>114</v>
      </c>
      <c r="D142" s="568">
        <f t="shared" ca="1" si="10"/>
        <v>2302485.5143735651</v>
      </c>
      <c r="E142" s="568">
        <f t="shared" ca="1" si="7"/>
        <v>11032.743089706664</v>
      </c>
      <c r="F142" s="568">
        <f t="shared" ca="1" si="8"/>
        <v>4888.8783488107374</v>
      </c>
      <c r="G142" s="569">
        <f t="shared" ca="1" si="9"/>
        <v>2297596.6360247545</v>
      </c>
    </row>
    <row r="143" spans="2:8">
      <c r="B143" s="566">
        <v>115</v>
      </c>
      <c r="C143" s="567">
        <f t="shared" si="6"/>
        <v>115</v>
      </c>
      <c r="D143" s="568">
        <f t="shared" ca="1" si="10"/>
        <v>2297596.6360247545</v>
      </c>
      <c r="E143" s="568">
        <f t="shared" ca="1" si="7"/>
        <v>11009.317214285278</v>
      </c>
      <c r="F143" s="568">
        <f t="shared" ca="1" si="8"/>
        <v>4912.3042242321217</v>
      </c>
      <c r="G143" s="569">
        <f t="shared" ca="1" si="9"/>
        <v>2292684.3318005223</v>
      </c>
    </row>
    <row r="144" spans="2:8">
      <c r="B144" s="566">
        <v>116</v>
      </c>
      <c r="C144" s="567">
        <f t="shared" si="6"/>
        <v>116</v>
      </c>
      <c r="D144" s="568">
        <f t="shared" ca="1" si="10"/>
        <v>2292684.3318005223</v>
      </c>
      <c r="E144" s="568">
        <f t="shared" ca="1" si="7"/>
        <v>10985.779089877502</v>
      </c>
      <c r="F144" s="568">
        <f t="shared" ca="1" si="8"/>
        <v>4935.8423486399006</v>
      </c>
      <c r="G144" s="569">
        <f t="shared" ca="1" si="9"/>
        <v>2287748.4894518824</v>
      </c>
    </row>
    <row r="145" spans="2:8">
      <c r="B145" s="566">
        <v>117</v>
      </c>
      <c r="C145" s="567">
        <f t="shared" si="6"/>
        <v>117</v>
      </c>
      <c r="D145" s="568">
        <f t="shared" ca="1" si="10"/>
        <v>2287748.4894518824</v>
      </c>
      <c r="E145" s="568">
        <f t="shared" ca="1" si="7"/>
        <v>10962.128178623601</v>
      </c>
      <c r="F145" s="568">
        <f t="shared" ca="1" si="8"/>
        <v>4959.4932598938003</v>
      </c>
      <c r="G145" s="569">
        <f t="shared" ca="1" si="9"/>
        <v>2282788.9961919887</v>
      </c>
    </row>
    <row r="146" spans="2:8">
      <c r="B146" s="566">
        <v>118</v>
      </c>
      <c r="C146" s="567">
        <f t="shared" si="6"/>
        <v>118</v>
      </c>
      <c r="D146" s="568">
        <f t="shared" ca="1" si="10"/>
        <v>2282788.9961919887</v>
      </c>
      <c r="E146" s="568">
        <f t="shared" ca="1" si="7"/>
        <v>10938.363940086609</v>
      </c>
      <c r="F146" s="568">
        <f t="shared" ca="1" si="8"/>
        <v>4983.2574984307921</v>
      </c>
      <c r="G146" s="569">
        <f t="shared" ca="1" si="9"/>
        <v>2277805.7386935577</v>
      </c>
    </row>
    <row r="147" spans="2:8">
      <c r="B147" s="566">
        <v>119</v>
      </c>
      <c r="C147" s="567">
        <f t="shared" si="6"/>
        <v>119</v>
      </c>
      <c r="D147" s="568">
        <f t="shared" ca="1" si="10"/>
        <v>2277805.7386935577</v>
      </c>
      <c r="E147" s="568">
        <f t="shared" ca="1" si="7"/>
        <v>10914.485831239963</v>
      </c>
      <c r="F147" s="568">
        <f t="shared" ca="1" si="8"/>
        <v>5007.1356072774388</v>
      </c>
      <c r="G147" s="569">
        <f t="shared" ca="1" si="9"/>
        <v>2272798.6030862802</v>
      </c>
    </row>
    <row r="148" spans="2:8">
      <c r="B148" s="570">
        <v>120</v>
      </c>
      <c r="C148" s="571">
        <f t="shared" si="6"/>
        <v>120</v>
      </c>
      <c r="D148" s="572">
        <f t="shared" ca="1" si="10"/>
        <v>2272798.6030862802</v>
      </c>
      <c r="E148" s="572">
        <f t="shared" ca="1" si="7"/>
        <v>10890.493306455091</v>
      </c>
      <c r="F148" s="572">
        <f t="shared" ca="1" si="8"/>
        <v>5031.1281320623093</v>
      </c>
      <c r="G148" s="573">
        <f t="shared" ca="1" si="9"/>
        <v>2267767.4749542177</v>
      </c>
      <c r="H148" s="561"/>
    </row>
    <row r="149" spans="2:8">
      <c r="B149" s="553">
        <v>121</v>
      </c>
      <c r="C149" s="554">
        <f t="shared" si="6"/>
        <v>121</v>
      </c>
      <c r="D149" s="555">
        <f t="shared" ca="1" si="10"/>
        <v>2267767.4749542177</v>
      </c>
      <c r="E149" s="555">
        <f t="shared" ca="1" si="7"/>
        <v>10866.385817488959</v>
      </c>
      <c r="F149" s="555">
        <f t="shared" ca="1" si="8"/>
        <v>5055.2356210284424</v>
      </c>
      <c r="G149" s="556">
        <f t="shared" ca="1" si="9"/>
        <v>2262712.2393331891</v>
      </c>
    </row>
    <row r="150" spans="2:8">
      <c r="B150" s="557">
        <v>122</v>
      </c>
      <c r="C150" s="558">
        <f t="shared" si="6"/>
        <v>122</v>
      </c>
      <c r="D150" s="559">
        <f t="shared" ca="1" si="10"/>
        <v>2262712.2393331891</v>
      </c>
      <c r="E150" s="559">
        <f t="shared" ca="1" si="7"/>
        <v>10842.162813471532</v>
      </c>
      <c r="F150" s="559">
        <f t="shared" ca="1" si="8"/>
        <v>5079.4586250458697</v>
      </c>
      <c r="G150" s="560">
        <f t="shared" ca="1" si="9"/>
        <v>2257632.780708143</v>
      </c>
    </row>
    <row r="151" spans="2:8">
      <c r="B151" s="557">
        <v>123</v>
      </c>
      <c r="C151" s="558">
        <f t="shared" si="6"/>
        <v>123</v>
      </c>
      <c r="D151" s="559">
        <f t="shared" ca="1" si="10"/>
        <v>2257632.780708143</v>
      </c>
      <c r="E151" s="559">
        <f t="shared" ca="1" si="7"/>
        <v>10817.823740893187</v>
      </c>
      <c r="F151" s="559">
        <f t="shared" ca="1" si="8"/>
        <v>5103.7976976242144</v>
      </c>
      <c r="G151" s="560">
        <f t="shared" ca="1" si="9"/>
        <v>2252528.9830105188</v>
      </c>
    </row>
    <row r="152" spans="2:8">
      <c r="B152" s="557">
        <v>124</v>
      </c>
      <c r="C152" s="558">
        <f t="shared" si="6"/>
        <v>124</v>
      </c>
      <c r="D152" s="559">
        <f t="shared" ca="1" si="10"/>
        <v>2252528.9830105188</v>
      </c>
      <c r="E152" s="559">
        <f t="shared" ca="1" si="7"/>
        <v>10793.368043592071</v>
      </c>
      <c r="F152" s="559">
        <f t="shared" ca="1" si="8"/>
        <v>5128.2533949253302</v>
      </c>
      <c r="G152" s="560">
        <f t="shared" ca="1" si="9"/>
        <v>2247400.7296155933</v>
      </c>
    </row>
    <row r="153" spans="2:8">
      <c r="B153" s="557">
        <v>125</v>
      </c>
      <c r="C153" s="558">
        <f t="shared" si="6"/>
        <v>125</v>
      </c>
      <c r="D153" s="559">
        <f t="shared" ca="1" si="10"/>
        <v>2247400.7296155933</v>
      </c>
      <c r="E153" s="559">
        <f t="shared" ca="1" si="7"/>
        <v>10768.795162741386</v>
      </c>
      <c r="F153" s="559">
        <f t="shared" ca="1" si="8"/>
        <v>5152.8262757760149</v>
      </c>
      <c r="G153" s="560">
        <f t="shared" ca="1" si="9"/>
        <v>2242247.9033398172</v>
      </c>
    </row>
    <row r="154" spans="2:8">
      <c r="B154" s="557">
        <v>126</v>
      </c>
      <c r="C154" s="558">
        <f t="shared" si="6"/>
        <v>126</v>
      </c>
      <c r="D154" s="559">
        <f t="shared" ca="1" si="10"/>
        <v>2242247.9033398172</v>
      </c>
      <c r="E154" s="559">
        <f t="shared" ca="1" si="7"/>
        <v>10744.104536836627</v>
      </c>
      <c r="F154" s="559">
        <f t="shared" ca="1" si="8"/>
        <v>5177.5169016807749</v>
      </c>
      <c r="G154" s="560">
        <f t="shared" ca="1" si="9"/>
        <v>2237070.3864381365</v>
      </c>
    </row>
    <row r="155" spans="2:8">
      <c r="B155" s="557">
        <v>127</v>
      </c>
      <c r="C155" s="558">
        <f t="shared" si="6"/>
        <v>127</v>
      </c>
      <c r="D155" s="559">
        <f t="shared" ca="1" si="10"/>
        <v>2237070.3864381365</v>
      </c>
      <c r="E155" s="559">
        <f t="shared" ca="1" si="7"/>
        <v>10719.295601682737</v>
      </c>
      <c r="F155" s="559">
        <f t="shared" ca="1" si="8"/>
        <v>5202.3258368346615</v>
      </c>
      <c r="G155" s="560">
        <f t="shared" ca="1" si="9"/>
        <v>2231868.060601302</v>
      </c>
    </row>
    <row r="156" spans="2:8">
      <c r="B156" s="557">
        <v>128</v>
      </c>
      <c r="C156" s="558">
        <f t="shared" si="6"/>
        <v>128</v>
      </c>
      <c r="D156" s="559">
        <f t="shared" ca="1" si="10"/>
        <v>2231868.060601302</v>
      </c>
      <c r="E156" s="559">
        <f t="shared" ca="1" si="7"/>
        <v>10694.36779038124</v>
      </c>
      <c r="F156" s="559">
        <f t="shared" ca="1" si="8"/>
        <v>5227.2536481361612</v>
      </c>
      <c r="G156" s="560">
        <f t="shared" ca="1" si="9"/>
        <v>2226640.8069531657</v>
      </c>
    </row>
    <row r="157" spans="2:8">
      <c r="B157" s="557">
        <v>129</v>
      </c>
      <c r="C157" s="558">
        <f t="shared" ref="C157:C220" si="11">IF(C$9*12&gt;=B157,"I/O",B157-(C$9*12))</f>
        <v>129</v>
      </c>
      <c r="D157" s="559">
        <f t="shared" ca="1" si="10"/>
        <v>2226640.8069531657</v>
      </c>
      <c r="E157" s="559">
        <f t="shared" ref="E157:E220" ca="1" si="12">IF(C157="I/O",C$5*C$6/12,-IPMT(C$6/12,C157,C$8*12,C$5))</f>
        <v>10669.320533317254</v>
      </c>
      <c r="F157" s="559">
        <f t="shared" ref="F157:F220" ca="1" si="13">IF(C157&lt;&gt;"I/O",-PPMT(C$6/12,C157,C$8*12,C$5),0)</f>
        <v>5252.3009052001462</v>
      </c>
      <c r="G157" s="560">
        <f t="shared" ref="G157:G220" ca="1" si="14">D157-F157</f>
        <v>2221388.5060479655</v>
      </c>
    </row>
    <row r="158" spans="2:8">
      <c r="B158" s="557">
        <v>130</v>
      </c>
      <c r="C158" s="558">
        <f t="shared" si="11"/>
        <v>130</v>
      </c>
      <c r="D158" s="559">
        <f t="shared" ref="D158:D221" ca="1" si="15">G157</f>
        <v>2221388.5060479655</v>
      </c>
      <c r="E158" s="559">
        <f t="shared" ca="1" si="12"/>
        <v>10644.153258146502</v>
      </c>
      <c r="F158" s="559">
        <f t="shared" ca="1" si="13"/>
        <v>5277.4681803708972</v>
      </c>
      <c r="G158" s="560">
        <f t="shared" ca="1" si="14"/>
        <v>2216111.0378675945</v>
      </c>
    </row>
    <row r="159" spans="2:8">
      <c r="B159" s="557">
        <v>131</v>
      </c>
      <c r="C159" s="558">
        <f t="shared" si="11"/>
        <v>131</v>
      </c>
      <c r="D159" s="559">
        <f t="shared" ca="1" si="15"/>
        <v>2216111.0378675945</v>
      </c>
      <c r="E159" s="559">
        <f t="shared" ca="1" si="12"/>
        <v>10618.865389782228</v>
      </c>
      <c r="F159" s="559">
        <f t="shared" ca="1" si="13"/>
        <v>5302.7560487351748</v>
      </c>
      <c r="G159" s="560">
        <f t="shared" ca="1" si="14"/>
        <v>2210808.2818188593</v>
      </c>
    </row>
    <row r="160" spans="2:8">
      <c r="B160" s="562">
        <v>132</v>
      </c>
      <c r="C160" s="563">
        <f t="shared" si="11"/>
        <v>132</v>
      </c>
      <c r="D160" s="564">
        <f t="shared" ca="1" si="15"/>
        <v>2210808.2818188593</v>
      </c>
      <c r="E160" s="564">
        <f t="shared" ca="1" si="12"/>
        <v>10593.456350382037</v>
      </c>
      <c r="F160" s="564">
        <f t="shared" ca="1" si="13"/>
        <v>5328.1650881353644</v>
      </c>
      <c r="G160" s="565">
        <f t="shared" ca="1" si="14"/>
        <v>2205480.116730724</v>
      </c>
      <c r="H160" s="561"/>
    </row>
    <row r="161" spans="2:8">
      <c r="B161" s="574">
        <v>133</v>
      </c>
      <c r="C161" s="575">
        <f t="shared" si="11"/>
        <v>133</v>
      </c>
      <c r="D161" s="576">
        <f t="shared" ca="1" si="15"/>
        <v>2205480.116730724</v>
      </c>
      <c r="E161" s="576">
        <f t="shared" ca="1" si="12"/>
        <v>10567.925559334721</v>
      </c>
      <c r="F161" s="576">
        <f t="shared" ca="1" si="13"/>
        <v>5353.6958791826801</v>
      </c>
      <c r="G161" s="577">
        <f t="shared" ca="1" si="14"/>
        <v>2200126.4208515412</v>
      </c>
    </row>
    <row r="162" spans="2:8">
      <c r="B162" s="566">
        <v>134</v>
      </c>
      <c r="C162" s="567">
        <f t="shared" si="11"/>
        <v>134</v>
      </c>
      <c r="D162" s="568">
        <f t="shared" ca="1" si="15"/>
        <v>2200126.4208515412</v>
      </c>
      <c r="E162" s="568">
        <f t="shared" ca="1" si="12"/>
        <v>10542.272433246972</v>
      </c>
      <c r="F162" s="568">
        <f t="shared" ca="1" si="13"/>
        <v>5379.3490052704301</v>
      </c>
      <c r="G162" s="569">
        <f t="shared" ca="1" si="14"/>
        <v>2194747.0718462709</v>
      </c>
    </row>
    <row r="163" spans="2:8">
      <c r="B163" s="566">
        <v>135</v>
      </c>
      <c r="C163" s="567">
        <f t="shared" si="11"/>
        <v>135</v>
      </c>
      <c r="D163" s="568">
        <f t="shared" ca="1" si="15"/>
        <v>2194747.0718462709</v>
      </c>
      <c r="E163" s="568">
        <f t="shared" ca="1" si="12"/>
        <v>10516.496385930051</v>
      </c>
      <c r="F163" s="568">
        <f t="shared" ca="1" si="13"/>
        <v>5405.1250525873502</v>
      </c>
      <c r="G163" s="569">
        <f t="shared" ca="1" si="14"/>
        <v>2189341.9467936838</v>
      </c>
    </row>
    <row r="164" spans="2:8">
      <c r="B164" s="566">
        <v>136</v>
      </c>
      <c r="C164" s="567">
        <f t="shared" si="11"/>
        <v>136</v>
      </c>
      <c r="D164" s="568">
        <f t="shared" ca="1" si="15"/>
        <v>2189341.9467936838</v>
      </c>
      <c r="E164" s="568">
        <f t="shared" ca="1" si="12"/>
        <v>10490.596828386402</v>
      </c>
      <c r="F164" s="568">
        <f t="shared" ca="1" si="13"/>
        <v>5431.0246101309986</v>
      </c>
      <c r="G164" s="569">
        <f t="shared" ca="1" si="14"/>
        <v>2183910.9221835528</v>
      </c>
    </row>
    <row r="165" spans="2:8">
      <c r="B165" s="566">
        <v>137</v>
      </c>
      <c r="C165" s="567">
        <f t="shared" si="11"/>
        <v>137</v>
      </c>
      <c r="D165" s="568">
        <f t="shared" ca="1" si="15"/>
        <v>2183910.9221835528</v>
      </c>
      <c r="E165" s="568">
        <f t="shared" ca="1" si="12"/>
        <v>10464.573168796191</v>
      </c>
      <c r="F165" s="568">
        <f t="shared" ca="1" si="13"/>
        <v>5457.048269721211</v>
      </c>
      <c r="G165" s="569">
        <f t="shared" ca="1" si="14"/>
        <v>2178453.8739138315</v>
      </c>
    </row>
    <row r="166" spans="2:8">
      <c r="B166" s="566">
        <v>138</v>
      </c>
      <c r="C166" s="567">
        <f t="shared" si="11"/>
        <v>138</v>
      </c>
      <c r="D166" s="568">
        <f t="shared" ca="1" si="15"/>
        <v>2178453.8739138315</v>
      </c>
      <c r="E166" s="568">
        <f t="shared" ca="1" si="12"/>
        <v>10438.424812503778</v>
      </c>
      <c r="F166" s="568">
        <f t="shared" ca="1" si="13"/>
        <v>5483.1966260136242</v>
      </c>
      <c r="G166" s="569">
        <f t="shared" ca="1" si="14"/>
        <v>2172970.6772878179</v>
      </c>
    </row>
    <row r="167" spans="2:8">
      <c r="B167" s="566">
        <v>139</v>
      </c>
      <c r="C167" s="567">
        <f t="shared" si="11"/>
        <v>139</v>
      </c>
      <c r="D167" s="568">
        <f t="shared" ca="1" si="15"/>
        <v>2172970.6772878179</v>
      </c>
      <c r="E167" s="568">
        <f t="shared" ca="1" si="12"/>
        <v>10412.151162004129</v>
      </c>
      <c r="F167" s="568">
        <f t="shared" ca="1" si="13"/>
        <v>5509.4702765132724</v>
      </c>
      <c r="G167" s="569">
        <f t="shared" ca="1" si="14"/>
        <v>2167461.2070113048</v>
      </c>
    </row>
    <row r="168" spans="2:8">
      <c r="B168" s="566">
        <v>140</v>
      </c>
      <c r="C168" s="567">
        <f t="shared" si="11"/>
        <v>140</v>
      </c>
      <c r="D168" s="568">
        <f t="shared" ca="1" si="15"/>
        <v>2167461.2070113048</v>
      </c>
      <c r="E168" s="568">
        <f t="shared" ca="1" si="12"/>
        <v>10385.751616929168</v>
      </c>
      <c r="F168" s="568">
        <f t="shared" ca="1" si="13"/>
        <v>5535.8698215882323</v>
      </c>
      <c r="G168" s="569">
        <f t="shared" ca="1" si="14"/>
        <v>2161925.3371897168</v>
      </c>
    </row>
    <row r="169" spans="2:8">
      <c r="B169" s="566">
        <v>141</v>
      </c>
      <c r="C169" s="567">
        <f t="shared" si="11"/>
        <v>141</v>
      </c>
      <c r="D169" s="568">
        <f t="shared" ca="1" si="15"/>
        <v>2161925.3371897168</v>
      </c>
      <c r="E169" s="568">
        <f t="shared" ca="1" si="12"/>
        <v>10359.225574034059</v>
      </c>
      <c r="F169" s="568">
        <f t="shared" ca="1" si="13"/>
        <v>5562.3958644833419</v>
      </c>
      <c r="G169" s="569">
        <f t="shared" ca="1" si="14"/>
        <v>2156362.9413252333</v>
      </c>
    </row>
    <row r="170" spans="2:8">
      <c r="B170" s="566">
        <v>142</v>
      </c>
      <c r="C170" s="567">
        <f t="shared" si="11"/>
        <v>142</v>
      </c>
      <c r="D170" s="568">
        <f t="shared" ca="1" si="15"/>
        <v>2156362.9413252333</v>
      </c>
      <c r="E170" s="568">
        <f t="shared" ca="1" si="12"/>
        <v>10332.572427183408</v>
      </c>
      <c r="F170" s="568">
        <f t="shared" ca="1" si="13"/>
        <v>5589.0490113339911</v>
      </c>
      <c r="G170" s="569">
        <f t="shared" ca="1" si="14"/>
        <v>2150773.8923138995</v>
      </c>
    </row>
    <row r="171" spans="2:8">
      <c r="B171" s="566">
        <v>143</v>
      </c>
      <c r="C171" s="567">
        <f t="shared" si="11"/>
        <v>143</v>
      </c>
      <c r="D171" s="568">
        <f t="shared" ca="1" si="15"/>
        <v>2150773.8923138995</v>
      </c>
      <c r="E171" s="568">
        <f t="shared" ca="1" si="12"/>
        <v>10305.791567337434</v>
      </c>
      <c r="F171" s="568">
        <f t="shared" ca="1" si="13"/>
        <v>5615.8298711799671</v>
      </c>
      <c r="G171" s="569">
        <f t="shared" ca="1" si="14"/>
        <v>2145158.0624427195</v>
      </c>
    </row>
    <row r="172" spans="2:8">
      <c r="B172" s="570">
        <v>144</v>
      </c>
      <c r="C172" s="571">
        <f t="shared" si="11"/>
        <v>144</v>
      </c>
      <c r="D172" s="572">
        <f t="shared" ca="1" si="15"/>
        <v>2145158.0624427195</v>
      </c>
      <c r="E172" s="572">
        <f t="shared" ca="1" si="12"/>
        <v>10278.882382538031</v>
      </c>
      <c r="F172" s="572">
        <f t="shared" ca="1" si="13"/>
        <v>5642.7390559793703</v>
      </c>
      <c r="G172" s="573">
        <f t="shared" ca="1" si="14"/>
        <v>2139515.3233867399</v>
      </c>
      <c r="H172" s="561"/>
    </row>
    <row r="173" spans="2:8">
      <c r="B173" s="553">
        <v>145</v>
      </c>
      <c r="C173" s="554">
        <f t="shared" si="11"/>
        <v>145</v>
      </c>
      <c r="D173" s="555">
        <f t="shared" ca="1" si="15"/>
        <v>2139515.3233867399</v>
      </c>
      <c r="E173" s="555">
        <f t="shared" ca="1" si="12"/>
        <v>10251.844257894796</v>
      </c>
      <c r="F173" s="555">
        <f t="shared" ca="1" si="13"/>
        <v>5669.7771806226046</v>
      </c>
      <c r="G173" s="556">
        <f t="shared" ca="1" si="14"/>
        <v>2133845.5462061171</v>
      </c>
    </row>
    <row r="174" spans="2:8">
      <c r="B174" s="557">
        <v>146</v>
      </c>
      <c r="C174" s="558">
        <f t="shared" si="11"/>
        <v>146</v>
      </c>
      <c r="D174" s="559">
        <f t="shared" ca="1" si="15"/>
        <v>2133845.5462061171</v>
      </c>
      <c r="E174" s="559">
        <f t="shared" ca="1" si="12"/>
        <v>10224.676575570978</v>
      </c>
      <c r="F174" s="559">
        <f t="shared" ca="1" si="13"/>
        <v>5696.9448629464223</v>
      </c>
      <c r="G174" s="560">
        <f t="shared" ca="1" si="14"/>
        <v>2128148.6013431707</v>
      </c>
    </row>
    <row r="175" spans="2:8">
      <c r="B175" s="557">
        <v>147</v>
      </c>
      <c r="C175" s="558">
        <f t="shared" si="11"/>
        <v>147</v>
      </c>
      <c r="D175" s="559">
        <f t="shared" ca="1" si="15"/>
        <v>2128148.6013431707</v>
      </c>
      <c r="E175" s="559">
        <f t="shared" ca="1" si="12"/>
        <v>10197.37871476936</v>
      </c>
      <c r="F175" s="559">
        <f t="shared" ca="1" si="13"/>
        <v>5724.2427237480406</v>
      </c>
      <c r="G175" s="560">
        <f t="shared" ca="1" si="14"/>
        <v>2122424.3586194227</v>
      </c>
    </row>
    <row r="176" spans="2:8">
      <c r="B176" s="557">
        <v>148</v>
      </c>
      <c r="C176" s="558">
        <f t="shared" si="11"/>
        <v>148</v>
      </c>
      <c r="D176" s="559">
        <f t="shared" ca="1" si="15"/>
        <v>2122424.3586194227</v>
      </c>
      <c r="E176" s="559">
        <f t="shared" ca="1" si="12"/>
        <v>10169.950051718068</v>
      </c>
      <c r="F176" s="559">
        <f t="shared" ca="1" si="13"/>
        <v>5751.6713867993321</v>
      </c>
      <c r="G176" s="560">
        <f t="shared" ca="1" si="14"/>
        <v>2116672.6872326233</v>
      </c>
    </row>
    <row r="177" spans="2:8">
      <c r="B177" s="557">
        <v>149</v>
      </c>
      <c r="C177" s="558">
        <f t="shared" si="11"/>
        <v>149</v>
      </c>
      <c r="D177" s="559">
        <f t="shared" ca="1" si="15"/>
        <v>2116672.6872326233</v>
      </c>
      <c r="E177" s="559">
        <f t="shared" ca="1" si="12"/>
        <v>10142.389959656321</v>
      </c>
      <c r="F177" s="559">
        <f t="shared" ca="1" si="13"/>
        <v>5779.2314788610802</v>
      </c>
      <c r="G177" s="560">
        <f t="shared" ca="1" si="14"/>
        <v>2110893.4557537623</v>
      </c>
    </row>
    <row r="178" spans="2:8">
      <c r="B178" s="557">
        <v>150</v>
      </c>
      <c r="C178" s="558">
        <f t="shared" si="11"/>
        <v>150</v>
      </c>
      <c r="D178" s="559">
        <f t="shared" ca="1" si="15"/>
        <v>2110893.4557537623</v>
      </c>
      <c r="E178" s="559">
        <f t="shared" ca="1" si="12"/>
        <v>10114.697808820114</v>
      </c>
      <c r="F178" s="559">
        <f t="shared" ca="1" si="13"/>
        <v>5806.9236296972877</v>
      </c>
      <c r="G178" s="560">
        <f t="shared" ca="1" si="14"/>
        <v>2105086.5321240649</v>
      </c>
    </row>
    <row r="179" spans="2:8">
      <c r="B179" s="557">
        <v>151</v>
      </c>
      <c r="C179" s="558">
        <f t="shared" si="11"/>
        <v>151</v>
      </c>
      <c r="D179" s="559">
        <f t="shared" ca="1" si="15"/>
        <v>2105086.5321240649</v>
      </c>
      <c r="E179" s="559">
        <f t="shared" ca="1" si="12"/>
        <v>10086.872966427814</v>
      </c>
      <c r="F179" s="559">
        <f t="shared" ca="1" si="13"/>
        <v>5834.7484720895882</v>
      </c>
      <c r="G179" s="560">
        <f t="shared" ca="1" si="14"/>
        <v>2099251.7836519754</v>
      </c>
    </row>
    <row r="180" spans="2:8">
      <c r="B180" s="557">
        <v>152</v>
      </c>
      <c r="C180" s="558">
        <f t="shared" si="11"/>
        <v>152</v>
      </c>
      <c r="D180" s="559">
        <f t="shared" ca="1" si="15"/>
        <v>2099251.7836519754</v>
      </c>
      <c r="E180" s="559">
        <f t="shared" ca="1" si="12"/>
        <v>10058.914796665716</v>
      </c>
      <c r="F180" s="559">
        <f t="shared" ca="1" si="13"/>
        <v>5862.7066418516843</v>
      </c>
      <c r="G180" s="560">
        <f t="shared" ca="1" si="14"/>
        <v>2093389.0770101238</v>
      </c>
    </row>
    <row r="181" spans="2:8">
      <c r="B181" s="557">
        <v>153</v>
      </c>
      <c r="C181" s="558">
        <f t="shared" si="11"/>
        <v>153</v>
      </c>
      <c r="D181" s="559">
        <f t="shared" ca="1" si="15"/>
        <v>2093389.0770101238</v>
      </c>
      <c r="E181" s="559">
        <f t="shared" ca="1" si="12"/>
        <v>10030.82266067351</v>
      </c>
      <c r="F181" s="559">
        <f t="shared" ca="1" si="13"/>
        <v>5890.7987778438901</v>
      </c>
      <c r="G181" s="560">
        <f t="shared" ca="1" si="14"/>
        <v>2087498.2782322799</v>
      </c>
    </row>
    <row r="182" spans="2:8">
      <c r="B182" s="557">
        <v>154</v>
      </c>
      <c r="C182" s="558">
        <f t="shared" si="11"/>
        <v>154</v>
      </c>
      <c r="D182" s="559">
        <f t="shared" ca="1" si="15"/>
        <v>2087498.2782322799</v>
      </c>
      <c r="E182" s="559">
        <f t="shared" ca="1" si="12"/>
        <v>10002.595916529675</v>
      </c>
      <c r="F182" s="559">
        <f t="shared" ca="1" si="13"/>
        <v>5919.0255219877263</v>
      </c>
      <c r="G182" s="560">
        <f t="shared" ca="1" si="14"/>
        <v>2081579.2527102921</v>
      </c>
    </row>
    <row r="183" spans="2:8">
      <c r="B183" s="557">
        <v>155</v>
      </c>
      <c r="C183" s="558">
        <f t="shared" si="11"/>
        <v>155</v>
      </c>
      <c r="D183" s="559">
        <f t="shared" ca="1" si="15"/>
        <v>2081579.2527102921</v>
      </c>
      <c r="E183" s="559">
        <f t="shared" ca="1" si="12"/>
        <v>9974.2339192368181</v>
      </c>
      <c r="F183" s="559">
        <f t="shared" ca="1" si="13"/>
        <v>5947.3875192805835</v>
      </c>
      <c r="G183" s="560">
        <f t="shared" ca="1" si="14"/>
        <v>2075631.8651910115</v>
      </c>
    </row>
    <row r="184" spans="2:8">
      <c r="B184" s="562">
        <v>156</v>
      </c>
      <c r="C184" s="563">
        <f t="shared" si="11"/>
        <v>156</v>
      </c>
      <c r="D184" s="564">
        <f t="shared" ca="1" si="15"/>
        <v>2075631.8651910115</v>
      </c>
      <c r="E184" s="564">
        <f t="shared" ca="1" si="12"/>
        <v>9945.7360207069305</v>
      </c>
      <c r="F184" s="564">
        <f t="shared" ca="1" si="13"/>
        <v>5975.8854178104702</v>
      </c>
      <c r="G184" s="565">
        <f t="shared" ca="1" si="14"/>
        <v>2069655.979773201</v>
      </c>
      <c r="H184" s="561"/>
    </row>
    <row r="185" spans="2:8">
      <c r="B185" s="574">
        <v>157</v>
      </c>
      <c r="C185" s="575">
        <f t="shared" si="11"/>
        <v>157</v>
      </c>
      <c r="D185" s="576">
        <f t="shared" ca="1" si="15"/>
        <v>2069655.979773201</v>
      </c>
      <c r="E185" s="576">
        <f t="shared" ca="1" si="12"/>
        <v>9917.10156974659</v>
      </c>
      <c r="F185" s="576">
        <f t="shared" ca="1" si="13"/>
        <v>6004.5198687708116</v>
      </c>
      <c r="G185" s="577">
        <f t="shared" ca="1" si="14"/>
        <v>2063651.4599044302</v>
      </c>
    </row>
    <row r="186" spans="2:8">
      <c r="B186" s="566">
        <v>158</v>
      </c>
      <c r="C186" s="567">
        <f t="shared" si="11"/>
        <v>158</v>
      </c>
      <c r="D186" s="568">
        <f t="shared" ca="1" si="15"/>
        <v>2063651.4599044302</v>
      </c>
      <c r="E186" s="568">
        <f t="shared" ca="1" si="12"/>
        <v>9888.3299120420616</v>
      </c>
      <c r="F186" s="568">
        <f t="shared" ca="1" si="13"/>
        <v>6033.2915264753383</v>
      </c>
      <c r="G186" s="569">
        <f t="shared" ca="1" si="14"/>
        <v>2057618.168377955</v>
      </c>
    </row>
    <row r="187" spans="2:8">
      <c r="B187" s="566">
        <v>159</v>
      </c>
      <c r="C187" s="567">
        <f t="shared" si="11"/>
        <v>159</v>
      </c>
      <c r="D187" s="568">
        <f t="shared" ca="1" si="15"/>
        <v>2057618.168377955</v>
      </c>
      <c r="E187" s="568">
        <f t="shared" ca="1" si="12"/>
        <v>9859.4203901443689</v>
      </c>
      <c r="F187" s="568">
        <f t="shared" ca="1" si="13"/>
        <v>6062.2010483730328</v>
      </c>
      <c r="G187" s="569">
        <f t="shared" ca="1" si="14"/>
        <v>2051555.967329582</v>
      </c>
    </row>
    <row r="188" spans="2:8">
      <c r="B188" s="566">
        <v>160</v>
      </c>
      <c r="C188" s="567">
        <f t="shared" si="11"/>
        <v>160</v>
      </c>
      <c r="D188" s="568">
        <f t="shared" ca="1" si="15"/>
        <v>2051555.967329582</v>
      </c>
      <c r="E188" s="568">
        <f t="shared" ca="1" si="12"/>
        <v>9830.372343454248</v>
      </c>
      <c r="F188" s="568">
        <f t="shared" ca="1" si="13"/>
        <v>6091.2490950631527</v>
      </c>
      <c r="G188" s="569">
        <f t="shared" ca="1" si="14"/>
        <v>2045464.7182345188</v>
      </c>
    </row>
    <row r="189" spans="2:8">
      <c r="B189" s="566">
        <v>161</v>
      </c>
      <c r="C189" s="567">
        <f t="shared" si="11"/>
        <v>161</v>
      </c>
      <c r="D189" s="568">
        <f t="shared" ca="1" si="15"/>
        <v>2045464.7182345188</v>
      </c>
      <c r="E189" s="568">
        <f t="shared" ca="1" si="12"/>
        <v>9801.1851082070698</v>
      </c>
      <c r="F189" s="568">
        <f t="shared" ca="1" si="13"/>
        <v>6120.436330310331</v>
      </c>
      <c r="G189" s="569">
        <f t="shared" ca="1" si="14"/>
        <v>2039344.2819042085</v>
      </c>
    </row>
    <row r="190" spans="2:8">
      <c r="B190" s="566">
        <v>162</v>
      </c>
      <c r="C190" s="567">
        <f t="shared" si="11"/>
        <v>162</v>
      </c>
      <c r="D190" s="568">
        <f t="shared" ca="1" si="15"/>
        <v>2039344.2819042085</v>
      </c>
      <c r="E190" s="568">
        <f t="shared" ca="1" si="12"/>
        <v>9771.8580174576673</v>
      </c>
      <c r="F190" s="568">
        <f t="shared" ca="1" si="13"/>
        <v>6149.7634210597344</v>
      </c>
      <c r="G190" s="569">
        <f t="shared" ca="1" si="14"/>
        <v>2033194.5184831487</v>
      </c>
    </row>
    <row r="191" spans="2:8">
      <c r="B191" s="566">
        <v>163</v>
      </c>
      <c r="C191" s="567">
        <f t="shared" si="11"/>
        <v>163</v>
      </c>
      <c r="D191" s="568">
        <f t="shared" ca="1" si="15"/>
        <v>2033194.5184831487</v>
      </c>
      <c r="E191" s="568">
        <f t="shared" ca="1" si="12"/>
        <v>9742.3904010650876</v>
      </c>
      <c r="F191" s="568">
        <f t="shared" ca="1" si="13"/>
        <v>6179.2310374523131</v>
      </c>
      <c r="G191" s="569">
        <f t="shared" ca="1" si="14"/>
        <v>2027015.2874456963</v>
      </c>
    </row>
    <row r="192" spans="2:8">
      <c r="B192" s="566">
        <v>164</v>
      </c>
      <c r="C192" s="567">
        <f t="shared" si="11"/>
        <v>164</v>
      </c>
      <c r="D192" s="568">
        <f t="shared" ca="1" si="15"/>
        <v>2027015.2874456963</v>
      </c>
      <c r="E192" s="568">
        <f t="shared" ca="1" si="12"/>
        <v>9712.7815856772959</v>
      </c>
      <c r="F192" s="568">
        <f t="shared" ca="1" si="13"/>
        <v>6208.8398528401049</v>
      </c>
      <c r="G192" s="569">
        <f t="shared" ca="1" si="14"/>
        <v>2020806.4475928561</v>
      </c>
    </row>
    <row r="193" spans="2:8">
      <c r="B193" s="566">
        <v>165</v>
      </c>
      <c r="C193" s="567">
        <f t="shared" si="11"/>
        <v>165</v>
      </c>
      <c r="D193" s="568">
        <f t="shared" ca="1" si="15"/>
        <v>2020806.4475928561</v>
      </c>
      <c r="E193" s="568">
        <f t="shared" ca="1" si="12"/>
        <v>9683.0308947157719</v>
      </c>
      <c r="F193" s="568">
        <f t="shared" ca="1" si="13"/>
        <v>6238.5905438016298</v>
      </c>
      <c r="G193" s="569">
        <f t="shared" ca="1" si="14"/>
        <v>2014567.8570490545</v>
      </c>
    </row>
    <row r="194" spans="2:8">
      <c r="B194" s="566">
        <v>166</v>
      </c>
      <c r="C194" s="567">
        <f t="shared" si="11"/>
        <v>166</v>
      </c>
      <c r="D194" s="568">
        <f t="shared" ca="1" si="15"/>
        <v>2014567.8570490545</v>
      </c>
      <c r="E194" s="568">
        <f t="shared" ca="1" si="12"/>
        <v>9653.1376483600543</v>
      </c>
      <c r="F194" s="568">
        <f t="shared" ca="1" si="13"/>
        <v>6268.4837901573464</v>
      </c>
      <c r="G194" s="569">
        <f t="shared" ca="1" si="14"/>
        <v>2008299.3732588971</v>
      </c>
    </row>
    <row r="195" spans="2:8">
      <c r="B195" s="566">
        <v>167</v>
      </c>
      <c r="C195" s="567">
        <f t="shared" si="11"/>
        <v>167</v>
      </c>
      <c r="D195" s="568">
        <f t="shared" ca="1" si="15"/>
        <v>2008299.3732588971</v>
      </c>
      <c r="E195" s="568">
        <f t="shared" ca="1" si="12"/>
        <v>9623.1011635322157</v>
      </c>
      <c r="F195" s="568">
        <f t="shared" ca="1" si="13"/>
        <v>6298.5202749851851</v>
      </c>
      <c r="G195" s="569">
        <f t="shared" ca="1" si="14"/>
        <v>2002000.852983912</v>
      </c>
    </row>
    <row r="196" spans="2:8">
      <c r="B196" s="570">
        <v>168</v>
      </c>
      <c r="C196" s="571">
        <f t="shared" si="11"/>
        <v>168</v>
      </c>
      <c r="D196" s="572">
        <f t="shared" ca="1" si="15"/>
        <v>2002000.852983912</v>
      </c>
      <c r="E196" s="572">
        <f t="shared" ca="1" si="12"/>
        <v>9592.9207538812443</v>
      </c>
      <c r="F196" s="572">
        <f t="shared" ca="1" si="13"/>
        <v>6328.7006846361537</v>
      </c>
      <c r="G196" s="573">
        <f t="shared" ca="1" si="14"/>
        <v>1995672.1522992759</v>
      </c>
      <c r="H196" s="561"/>
    </row>
    <row r="197" spans="2:8">
      <c r="B197" s="553">
        <v>169</v>
      </c>
      <c r="C197" s="554">
        <f t="shared" si="11"/>
        <v>169</v>
      </c>
      <c r="D197" s="555">
        <f t="shared" ca="1" si="15"/>
        <v>1995672.1522992759</v>
      </c>
      <c r="E197" s="555">
        <f t="shared" ca="1" si="12"/>
        <v>9562.5957297673649</v>
      </c>
      <c r="F197" s="555">
        <f t="shared" ca="1" si="13"/>
        <v>6359.0257087500358</v>
      </c>
      <c r="G197" s="556">
        <f t="shared" ca="1" si="14"/>
        <v>1989313.1265905257</v>
      </c>
    </row>
    <row r="198" spans="2:8">
      <c r="B198" s="557">
        <v>170</v>
      </c>
      <c r="C198" s="558">
        <f t="shared" si="11"/>
        <v>170</v>
      </c>
      <c r="D198" s="559">
        <f t="shared" ca="1" si="15"/>
        <v>1989313.1265905257</v>
      </c>
      <c r="E198" s="559">
        <f t="shared" ca="1" si="12"/>
        <v>9532.1253982462713</v>
      </c>
      <c r="F198" s="559">
        <f t="shared" ca="1" si="13"/>
        <v>6389.4960402711295</v>
      </c>
      <c r="G198" s="560">
        <f t="shared" ca="1" si="14"/>
        <v>1982923.6305502546</v>
      </c>
    </row>
    <row r="199" spans="2:8">
      <c r="B199" s="557">
        <v>171</v>
      </c>
      <c r="C199" s="558">
        <f t="shared" si="11"/>
        <v>171</v>
      </c>
      <c r="D199" s="559">
        <f t="shared" ca="1" si="15"/>
        <v>1982923.6305502546</v>
      </c>
      <c r="E199" s="559">
        <f t="shared" ca="1" si="12"/>
        <v>9501.509063053305</v>
      </c>
      <c r="F199" s="559">
        <f t="shared" ca="1" si="13"/>
        <v>6420.1123754640957</v>
      </c>
      <c r="G199" s="560">
        <f t="shared" ca="1" si="14"/>
        <v>1976503.5181747905</v>
      </c>
    </row>
    <row r="200" spans="2:8">
      <c r="B200" s="557">
        <v>172</v>
      </c>
      <c r="C200" s="558">
        <f t="shared" si="11"/>
        <v>172</v>
      </c>
      <c r="D200" s="559">
        <f t="shared" ca="1" si="15"/>
        <v>1976503.5181747905</v>
      </c>
      <c r="E200" s="559">
        <f t="shared" ca="1" si="12"/>
        <v>9470.7460245875391</v>
      </c>
      <c r="F200" s="559">
        <f t="shared" ca="1" si="13"/>
        <v>6450.8754139298617</v>
      </c>
      <c r="G200" s="560">
        <f t="shared" ca="1" si="14"/>
        <v>1970052.6427608607</v>
      </c>
    </row>
    <row r="201" spans="2:8">
      <c r="B201" s="557">
        <v>173</v>
      </c>
      <c r="C201" s="558">
        <f t="shared" si="11"/>
        <v>173</v>
      </c>
      <c r="D201" s="559">
        <f t="shared" ca="1" si="15"/>
        <v>1970052.6427608607</v>
      </c>
      <c r="E201" s="559">
        <f t="shared" ca="1" si="12"/>
        <v>9439.8355798957909</v>
      </c>
      <c r="F201" s="559">
        <f t="shared" ca="1" si="13"/>
        <v>6481.7858586216089</v>
      </c>
      <c r="G201" s="560">
        <f t="shared" ca="1" si="14"/>
        <v>1963570.8569022391</v>
      </c>
    </row>
    <row r="202" spans="2:8">
      <c r="B202" s="557">
        <v>174</v>
      </c>
      <c r="C202" s="558">
        <f t="shared" si="11"/>
        <v>174</v>
      </c>
      <c r="D202" s="559">
        <f t="shared" ca="1" si="15"/>
        <v>1963570.8569022391</v>
      </c>
      <c r="E202" s="559">
        <f t="shared" ca="1" si="12"/>
        <v>9408.7770226565644</v>
      </c>
      <c r="F202" s="559">
        <f t="shared" ca="1" si="13"/>
        <v>6512.8444158608372</v>
      </c>
      <c r="G202" s="560">
        <f t="shared" ca="1" si="14"/>
        <v>1957058.0124863782</v>
      </c>
    </row>
    <row r="203" spans="2:8">
      <c r="B203" s="557">
        <v>175</v>
      </c>
      <c r="C203" s="558">
        <f t="shared" si="11"/>
        <v>175</v>
      </c>
      <c r="D203" s="559">
        <f t="shared" ca="1" si="15"/>
        <v>1957058.0124863782</v>
      </c>
      <c r="E203" s="559">
        <f t="shared" ca="1" si="12"/>
        <v>9377.5696431638971</v>
      </c>
      <c r="F203" s="559">
        <f t="shared" ca="1" si="13"/>
        <v>6544.0517953535045</v>
      </c>
      <c r="G203" s="560">
        <f t="shared" ca="1" si="14"/>
        <v>1950513.9606910248</v>
      </c>
    </row>
    <row r="204" spans="2:8">
      <c r="B204" s="557">
        <v>176</v>
      </c>
      <c r="C204" s="558">
        <f t="shared" si="11"/>
        <v>176</v>
      </c>
      <c r="D204" s="559">
        <f t="shared" ca="1" si="15"/>
        <v>1950513.9606910248</v>
      </c>
      <c r="E204" s="559">
        <f t="shared" ca="1" si="12"/>
        <v>9346.2127283111586</v>
      </c>
      <c r="F204" s="559">
        <f t="shared" ca="1" si="13"/>
        <v>6575.4087102062394</v>
      </c>
      <c r="G204" s="560">
        <f t="shared" ca="1" si="14"/>
        <v>1943938.5519808186</v>
      </c>
    </row>
    <row r="205" spans="2:8">
      <c r="B205" s="557">
        <v>177</v>
      </c>
      <c r="C205" s="558">
        <f t="shared" si="11"/>
        <v>177</v>
      </c>
      <c r="D205" s="559">
        <f t="shared" ca="1" si="15"/>
        <v>1943938.5519808186</v>
      </c>
      <c r="E205" s="559">
        <f t="shared" ca="1" si="12"/>
        <v>9314.7055615747577</v>
      </c>
      <c r="F205" s="559">
        <f t="shared" ca="1" si="13"/>
        <v>6606.915876942644</v>
      </c>
      <c r="G205" s="560">
        <f t="shared" ca="1" si="14"/>
        <v>1937331.6361038759</v>
      </c>
    </row>
    <row r="206" spans="2:8">
      <c r="B206" s="557">
        <v>178</v>
      </c>
      <c r="C206" s="558">
        <f t="shared" si="11"/>
        <v>178</v>
      </c>
      <c r="D206" s="559">
        <f t="shared" ca="1" si="15"/>
        <v>1937331.6361038759</v>
      </c>
      <c r="E206" s="559">
        <f t="shared" ca="1" si="12"/>
        <v>9283.0474229977408</v>
      </c>
      <c r="F206" s="559">
        <f t="shared" ca="1" si="13"/>
        <v>6638.5740155196609</v>
      </c>
      <c r="G206" s="560">
        <f t="shared" ca="1" si="14"/>
        <v>1930693.0620883564</v>
      </c>
    </row>
    <row r="207" spans="2:8">
      <c r="B207" s="557">
        <v>179</v>
      </c>
      <c r="C207" s="558">
        <f t="shared" si="11"/>
        <v>179</v>
      </c>
      <c r="D207" s="559">
        <f t="shared" ca="1" si="15"/>
        <v>1930693.0620883564</v>
      </c>
      <c r="E207" s="559">
        <f t="shared" ca="1" si="12"/>
        <v>9251.2375891733755</v>
      </c>
      <c r="F207" s="559">
        <f t="shared" ca="1" si="13"/>
        <v>6670.3838493440262</v>
      </c>
      <c r="G207" s="560">
        <f t="shared" ca="1" si="14"/>
        <v>1924022.6782390124</v>
      </c>
    </row>
    <row r="208" spans="2:8">
      <c r="B208" s="562">
        <v>180</v>
      </c>
      <c r="C208" s="563">
        <f t="shared" si="11"/>
        <v>180</v>
      </c>
      <c r="D208" s="564">
        <f t="shared" ca="1" si="15"/>
        <v>1924022.6782390124</v>
      </c>
      <c r="E208" s="564">
        <f t="shared" ca="1" si="12"/>
        <v>9219.2753332286011</v>
      </c>
      <c r="F208" s="564">
        <f t="shared" ca="1" si="13"/>
        <v>6702.3461052887988</v>
      </c>
      <c r="G208" s="565">
        <f t="shared" ca="1" si="14"/>
        <v>1917320.3321337237</v>
      </c>
      <c r="H208" s="561"/>
    </row>
    <row r="209" spans="2:8">
      <c r="B209" s="574">
        <v>181</v>
      </c>
      <c r="C209" s="575">
        <f t="shared" si="11"/>
        <v>181</v>
      </c>
      <c r="D209" s="576">
        <f t="shared" ca="1" si="15"/>
        <v>1917320.3321337237</v>
      </c>
      <c r="E209" s="576">
        <f t="shared" ca="1" si="12"/>
        <v>9187.1599248074253</v>
      </c>
      <c r="F209" s="576">
        <f t="shared" ca="1" si="13"/>
        <v>6734.4615137099754</v>
      </c>
      <c r="G209" s="577">
        <f t="shared" ca="1" si="14"/>
        <v>1910585.8706200137</v>
      </c>
    </row>
    <row r="210" spans="2:8">
      <c r="B210" s="566">
        <v>182</v>
      </c>
      <c r="C210" s="567">
        <f t="shared" si="11"/>
        <v>182</v>
      </c>
      <c r="D210" s="568">
        <f t="shared" ca="1" si="15"/>
        <v>1910585.8706200137</v>
      </c>
      <c r="E210" s="568">
        <f t="shared" ca="1" si="12"/>
        <v>9154.8906300542312</v>
      </c>
      <c r="F210" s="568">
        <f t="shared" ca="1" si="13"/>
        <v>6766.7308084631686</v>
      </c>
      <c r="G210" s="569">
        <f t="shared" ca="1" si="14"/>
        <v>1903819.1398115505</v>
      </c>
    </row>
    <row r="211" spans="2:8">
      <c r="B211" s="566">
        <v>183</v>
      </c>
      <c r="C211" s="567">
        <f t="shared" si="11"/>
        <v>183</v>
      </c>
      <c r="D211" s="568">
        <f t="shared" ca="1" si="15"/>
        <v>1903819.1398115505</v>
      </c>
      <c r="E211" s="568">
        <f t="shared" ca="1" si="12"/>
        <v>9122.4667115970133</v>
      </c>
      <c r="F211" s="568">
        <f t="shared" ca="1" si="13"/>
        <v>6799.1547269203875</v>
      </c>
      <c r="G211" s="569">
        <f t="shared" ca="1" si="14"/>
        <v>1897019.9850846301</v>
      </c>
    </row>
    <row r="212" spans="2:8">
      <c r="B212" s="566">
        <v>184</v>
      </c>
      <c r="C212" s="567">
        <f t="shared" si="11"/>
        <v>184</v>
      </c>
      <c r="D212" s="568">
        <f t="shared" ca="1" si="15"/>
        <v>1897019.9850846301</v>
      </c>
      <c r="E212" s="568">
        <f t="shared" ca="1" si="12"/>
        <v>9089.887428530521</v>
      </c>
      <c r="F212" s="568">
        <f t="shared" ca="1" si="13"/>
        <v>6831.7340099868825</v>
      </c>
      <c r="G212" s="569">
        <f t="shared" ca="1" si="14"/>
        <v>1890188.2510746431</v>
      </c>
    </row>
    <row r="213" spans="2:8">
      <c r="B213" s="566">
        <v>185</v>
      </c>
      <c r="C213" s="567">
        <f t="shared" si="11"/>
        <v>185</v>
      </c>
      <c r="D213" s="568">
        <f t="shared" ca="1" si="15"/>
        <v>1890188.2510746431</v>
      </c>
      <c r="E213" s="568">
        <f t="shared" ca="1" si="12"/>
        <v>9057.1520363993313</v>
      </c>
      <c r="F213" s="568">
        <f t="shared" ca="1" si="13"/>
        <v>6864.4694021180685</v>
      </c>
      <c r="G213" s="569">
        <f t="shared" ca="1" si="14"/>
        <v>1883323.781672525</v>
      </c>
    </row>
    <row r="214" spans="2:8">
      <c r="B214" s="566">
        <v>186</v>
      </c>
      <c r="C214" s="567">
        <f t="shared" si="11"/>
        <v>186</v>
      </c>
      <c r="D214" s="568">
        <f t="shared" ca="1" si="15"/>
        <v>1883323.781672525</v>
      </c>
      <c r="E214" s="568">
        <f t="shared" ca="1" si="12"/>
        <v>9024.2597871808503</v>
      </c>
      <c r="F214" s="568">
        <f t="shared" ca="1" si="13"/>
        <v>6897.3616513365505</v>
      </c>
      <c r="G214" s="569">
        <f t="shared" ca="1" si="14"/>
        <v>1876426.4200211884</v>
      </c>
    </row>
    <row r="215" spans="2:8">
      <c r="B215" s="566">
        <v>187</v>
      </c>
      <c r="C215" s="567">
        <f t="shared" si="11"/>
        <v>187</v>
      </c>
      <c r="D215" s="568">
        <f t="shared" ca="1" si="15"/>
        <v>1876426.4200211884</v>
      </c>
      <c r="E215" s="568">
        <f t="shared" ca="1" si="12"/>
        <v>8991.209929268196</v>
      </c>
      <c r="F215" s="568">
        <f t="shared" ca="1" si="13"/>
        <v>6930.4115092492057</v>
      </c>
      <c r="G215" s="569">
        <f t="shared" ca="1" si="14"/>
        <v>1869496.0085119393</v>
      </c>
    </row>
    <row r="216" spans="2:8">
      <c r="B216" s="566">
        <v>188</v>
      </c>
      <c r="C216" s="567">
        <f t="shared" si="11"/>
        <v>188</v>
      </c>
      <c r="D216" s="568">
        <f t="shared" ca="1" si="15"/>
        <v>1869496.0085119393</v>
      </c>
      <c r="E216" s="568">
        <f t="shared" ca="1" si="12"/>
        <v>8958.0017074530442</v>
      </c>
      <c r="F216" s="568">
        <f t="shared" ca="1" si="13"/>
        <v>6963.6197310643574</v>
      </c>
      <c r="G216" s="569">
        <f t="shared" ca="1" si="14"/>
        <v>1862532.3887808749</v>
      </c>
    </row>
    <row r="217" spans="2:8">
      <c r="B217" s="566">
        <v>189</v>
      </c>
      <c r="C217" s="567">
        <f t="shared" si="11"/>
        <v>189</v>
      </c>
      <c r="D217" s="568">
        <f t="shared" ca="1" si="15"/>
        <v>1862532.3887808749</v>
      </c>
      <c r="E217" s="568">
        <f t="shared" ca="1" si="12"/>
        <v>8924.6343629083603</v>
      </c>
      <c r="F217" s="568">
        <f t="shared" ca="1" si="13"/>
        <v>6996.9870756090413</v>
      </c>
      <c r="G217" s="569">
        <f t="shared" ca="1" si="14"/>
        <v>1855535.4017052657</v>
      </c>
    </row>
    <row r="218" spans="2:8">
      <c r="B218" s="566">
        <v>190</v>
      </c>
      <c r="C218" s="567">
        <f t="shared" si="11"/>
        <v>190</v>
      </c>
      <c r="D218" s="568">
        <f t="shared" ca="1" si="15"/>
        <v>1855535.4017052657</v>
      </c>
      <c r="E218" s="568">
        <f t="shared" ca="1" si="12"/>
        <v>8891.1071331710664</v>
      </c>
      <c r="F218" s="568">
        <f t="shared" ca="1" si="13"/>
        <v>7030.5143053463353</v>
      </c>
      <c r="G218" s="569">
        <f t="shared" ca="1" si="14"/>
        <v>1848504.8873999193</v>
      </c>
    </row>
    <row r="219" spans="2:8">
      <c r="B219" s="566">
        <v>191</v>
      </c>
      <c r="C219" s="567">
        <f t="shared" si="11"/>
        <v>191</v>
      </c>
      <c r="D219" s="568">
        <f t="shared" ca="1" si="15"/>
        <v>1848504.8873999193</v>
      </c>
      <c r="E219" s="568">
        <f t="shared" ca="1" si="12"/>
        <v>8857.419252124615</v>
      </c>
      <c r="F219" s="568">
        <f t="shared" ca="1" si="13"/>
        <v>7064.2021863927857</v>
      </c>
      <c r="G219" s="569">
        <f t="shared" ca="1" si="14"/>
        <v>1841440.6852135265</v>
      </c>
    </row>
    <row r="220" spans="2:8">
      <c r="B220" s="570">
        <v>192</v>
      </c>
      <c r="C220" s="571">
        <f t="shared" si="11"/>
        <v>192</v>
      </c>
      <c r="D220" s="572">
        <f t="shared" ca="1" si="15"/>
        <v>1841440.6852135265</v>
      </c>
      <c r="E220" s="572">
        <f t="shared" ca="1" si="12"/>
        <v>8823.5699499814837</v>
      </c>
      <c r="F220" s="572">
        <f t="shared" ca="1" si="13"/>
        <v>7098.051488535918</v>
      </c>
      <c r="G220" s="573">
        <f t="shared" ca="1" si="14"/>
        <v>1834342.6337249905</v>
      </c>
      <c r="H220" s="561"/>
    </row>
    <row r="221" spans="2:8">
      <c r="B221" s="553">
        <v>193</v>
      </c>
      <c r="C221" s="554">
        <f t="shared" ref="C221:C284" si="16">IF(C$9*12&gt;=B221,"I/O",B221-(C$9*12))</f>
        <v>193</v>
      </c>
      <c r="D221" s="555">
        <f t="shared" ca="1" si="15"/>
        <v>1834342.6337249905</v>
      </c>
      <c r="E221" s="555">
        <f t="shared" ref="E221:E284" ca="1" si="17">IF(C221="I/O",C$5*C$6/12,-IPMT(C$6/12,C221,C$8*12,C$5))</f>
        <v>8789.5584532655812</v>
      </c>
      <c r="F221" s="555">
        <f t="shared" ref="F221:F284" ca="1" si="18">IF(C221&lt;&gt;"I/O",-PPMT(C$6/12,C221,C$8*12,C$5),0)</f>
        <v>7132.0629852518196</v>
      </c>
      <c r="G221" s="556">
        <f t="shared" ref="G221:G284" ca="1" si="19">D221-F221</f>
        <v>1827210.5707397386</v>
      </c>
    </row>
    <row r="222" spans="2:8">
      <c r="B222" s="557">
        <v>194</v>
      </c>
      <c r="C222" s="558">
        <f t="shared" si="16"/>
        <v>194</v>
      </c>
      <c r="D222" s="559">
        <f t="shared" ref="D222:D285" ca="1" si="20">G221</f>
        <v>1827210.5707397386</v>
      </c>
      <c r="E222" s="559">
        <f t="shared" ca="1" si="17"/>
        <v>8755.3839847945837</v>
      </c>
      <c r="F222" s="559">
        <f t="shared" ca="1" si="18"/>
        <v>7166.237453722817</v>
      </c>
      <c r="G222" s="560">
        <f t="shared" ca="1" si="19"/>
        <v>1820044.3332860158</v>
      </c>
    </row>
    <row r="223" spans="2:8">
      <c r="B223" s="557">
        <v>195</v>
      </c>
      <c r="C223" s="558">
        <f t="shared" si="16"/>
        <v>195</v>
      </c>
      <c r="D223" s="559">
        <f t="shared" ca="1" si="20"/>
        <v>1820044.3332860158</v>
      </c>
      <c r="E223" s="559">
        <f t="shared" ca="1" si="17"/>
        <v>8721.0457636621613</v>
      </c>
      <c r="F223" s="559">
        <f t="shared" ca="1" si="18"/>
        <v>7200.5756748552385</v>
      </c>
      <c r="G223" s="560">
        <f t="shared" ca="1" si="19"/>
        <v>1812843.7576111606</v>
      </c>
    </row>
    <row r="224" spans="2:8">
      <c r="B224" s="557">
        <v>196</v>
      </c>
      <c r="C224" s="558">
        <f t="shared" si="16"/>
        <v>196</v>
      </c>
      <c r="D224" s="559">
        <f t="shared" ca="1" si="20"/>
        <v>1812843.7576111606</v>
      </c>
      <c r="E224" s="559">
        <f t="shared" ca="1" si="17"/>
        <v>8686.5430052201464</v>
      </c>
      <c r="F224" s="559">
        <f t="shared" ca="1" si="18"/>
        <v>7235.0784332972544</v>
      </c>
      <c r="G224" s="560">
        <f t="shared" ca="1" si="19"/>
        <v>1805608.6791778633</v>
      </c>
    </row>
    <row r="225" spans="2:8">
      <c r="B225" s="557">
        <v>197</v>
      </c>
      <c r="C225" s="558">
        <f t="shared" si="16"/>
        <v>197</v>
      </c>
      <c r="D225" s="559">
        <f t="shared" ca="1" si="20"/>
        <v>1805608.6791778633</v>
      </c>
      <c r="E225" s="559">
        <f t="shared" ca="1" si="17"/>
        <v>8651.8749210605984</v>
      </c>
      <c r="F225" s="559">
        <f t="shared" ca="1" si="18"/>
        <v>7269.7465174568033</v>
      </c>
      <c r="G225" s="560">
        <f t="shared" ca="1" si="19"/>
        <v>1798338.9326604065</v>
      </c>
    </row>
    <row r="226" spans="2:8">
      <c r="B226" s="557">
        <v>198</v>
      </c>
      <c r="C226" s="558">
        <f t="shared" si="16"/>
        <v>198</v>
      </c>
      <c r="D226" s="559">
        <f t="shared" ca="1" si="20"/>
        <v>1798338.9326604065</v>
      </c>
      <c r="E226" s="559">
        <f t="shared" ca="1" si="17"/>
        <v>8617.0407189977832</v>
      </c>
      <c r="F226" s="559">
        <f t="shared" ca="1" si="18"/>
        <v>7304.5807195196167</v>
      </c>
      <c r="G226" s="560">
        <f t="shared" ca="1" si="19"/>
        <v>1791034.3519408868</v>
      </c>
    </row>
    <row r="227" spans="2:8">
      <c r="B227" s="557">
        <v>199</v>
      </c>
      <c r="C227" s="558">
        <f t="shared" si="16"/>
        <v>199</v>
      </c>
      <c r="D227" s="559">
        <f t="shared" ca="1" si="20"/>
        <v>1791034.3519408868</v>
      </c>
      <c r="E227" s="559">
        <f t="shared" ca="1" si="17"/>
        <v>8582.0396030500851</v>
      </c>
      <c r="F227" s="559">
        <f t="shared" ca="1" si="18"/>
        <v>7339.5818354673156</v>
      </c>
      <c r="G227" s="560">
        <f t="shared" ca="1" si="19"/>
        <v>1783694.7701054194</v>
      </c>
    </row>
    <row r="228" spans="2:8">
      <c r="B228" s="557">
        <v>200</v>
      </c>
      <c r="C228" s="558">
        <f t="shared" si="16"/>
        <v>200</v>
      </c>
      <c r="D228" s="559">
        <f t="shared" ca="1" si="20"/>
        <v>1783694.7701054194</v>
      </c>
      <c r="E228" s="559">
        <f t="shared" ca="1" si="17"/>
        <v>8546.8707734218042</v>
      </c>
      <c r="F228" s="559">
        <f t="shared" ca="1" si="18"/>
        <v>7374.7506650955966</v>
      </c>
      <c r="G228" s="560">
        <f t="shared" ca="1" si="19"/>
        <v>1776320.0194403238</v>
      </c>
    </row>
    <row r="229" spans="2:8">
      <c r="B229" s="557">
        <v>201</v>
      </c>
      <c r="C229" s="558">
        <f t="shared" si="16"/>
        <v>201</v>
      </c>
      <c r="D229" s="559">
        <f t="shared" ca="1" si="20"/>
        <v>1776320.0194403238</v>
      </c>
      <c r="E229" s="559">
        <f t="shared" ca="1" si="17"/>
        <v>8511.533426484888</v>
      </c>
      <c r="F229" s="559">
        <f t="shared" ca="1" si="18"/>
        <v>7410.0880120325128</v>
      </c>
      <c r="G229" s="560">
        <f t="shared" ca="1" si="19"/>
        <v>1768909.9314282914</v>
      </c>
    </row>
    <row r="230" spans="2:8">
      <c r="B230" s="557">
        <v>202</v>
      </c>
      <c r="C230" s="558">
        <f t="shared" si="16"/>
        <v>202</v>
      </c>
      <c r="D230" s="559">
        <f t="shared" ca="1" si="20"/>
        <v>1768909.9314282914</v>
      </c>
      <c r="E230" s="559">
        <f t="shared" ca="1" si="17"/>
        <v>8476.0267547605654</v>
      </c>
      <c r="F230" s="559">
        <f t="shared" ca="1" si="18"/>
        <v>7445.5946837568354</v>
      </c>
      <c r="G230" s="560">
        <f t="shared" ca="1" si="19"/>
        <v>1761464.3367445346</v>
      </c>
    </row>
    <row r="231" spans="2:8">
      <c r="B231" s="557">
        <v>203</v>
      </c>
      <c r="C231" s="558">
        <f t="shared" si="16"/>
        <v>203</v>
      </c>
      <c r="D231" s="559">
        <f t="shared" ca="1" si="20"/>
        <v>1761464.3367445346</v>
      </c>
      <c r="E231" s="559">
        <f t="shared" ca="1" si="17"/>
        <v>8440.3499469008984</v>
      </c>
      <c r="F231" s="559">
        <f t="shared" ca="1" si="18"/>
        <v>7481.2714916165032</v>
      </c>
      <c r="G231" s="560">
        <f t="shared" ca="1" si="19"/>
        <v>1753983.0652529181</v>
      </c>
    </row>
    <row r="232" spans="2:8">
      <c r="B232" s="562">
        <v>204</v>
      </c>
      <c r="C232" s="563">
        <f t="shared" si="16"/>
        <v>204</v>
      </c>
      <c r="D232" s="564">
        <f t="shared" ca="1" si="20"/>
        <v>1753983.0652529181</v>
      </c>
      <c r="E232" s="564">
        <f t="shared" ca="1" si="17"/>
        <v>8404.5021876702358</v>
      </c>
      <c r="F232" s="564">
        <f t="shared" ca="1" si="18"/>
        <v>7517.1192508471659</v>
      </c>
      <c r="G232" s="565">
        <f t="shared" ca="1" si="19"/>
        <v>1746465.9460020708</v>
      </c>
      <c r="H232" s="561"/>
    </row>
    <row r="233" spans="2:8">
      <c r="B233" s="574">
        <v>205</v>
      </c>
      <c r="C233" s="575">
        <f t="shared" si="16"/>
        <v>205</v>
      </c>
      <c r="D233" s="576">
        <f t="shared" ca="1" si="20"/>
        <v>1746465.9460020708</v>
      </c>
      <c r="E233" s="576">
        <f t="shared" ca="1" si="17"/>
        <v>8368.4826579265919</v>
      </c>
      <c r="F233" s="576">
        <f t="shared" ca="1" si="18"/>
        <v>7553.1387805908089</v>
      </c>
      <c r="G233" s="577">
        <f t="shared" ca="1" si="19"/>
        <v>1738912.8072214799</v>
      </c>
    </row>
    <row r="234" spans="2:8">
      <c r="B234" s="566">
        <v>206</v>
      </c>
      <c r="C234" s="567">
        <f t="shared" si="16"/>
        <v>206</v>
      </c>
      <c r="D234" s="568">
        <f t="shared" ca="1" si="20"/>
        <v>1738912.8072214799</v>
      </c>
      <c r="E234" s="568">
        <f t="shared" ca="1" si="17"/>
        <v>8332.2905346029274</v>
      </c>
      <c r="F234" s="568">
        <f t="shared" ca="1" si="18"/>
        <v>7589.3309039144733</v>
      </c>
      <c r="G234" s="569">
        <f t="shared" ca="1" si="19"/>
        <v>1731323.4763175654</v>
      </c>
    </row>
    <row r="235" spans="2:8">
      <c r="B235" s="566">
        <v>207</v>
      </c>
      <c r="C235" s="567">
        <f t="shared" si="16"/>
        <v>207</v>
      </c>
      <c r="D235" s="568">
        <f t="shared" ca="1" si="20"/>
        <v>1731323.4763175654</v>
      </c>
      <c r="E235" s="568">
        <f t="shared" ca="1" si="17"/>
        <v>8295.9249906883379</v>
      </c>
      <c r="F235" s="568">
        <f t="shared" ca="1" si="18"/>
        <v>7625.6964478290629</v>
      </c>
      <c r="G235" s="569">
        <f t="shared" ca="1" si="19"/>
        <v>1723697.7798697364</v>
      </c>
    </row>
    <row r="236" spans="2:8">
      <c r="B236" s="566">
        <v>208</v>
      </c>
      <c r="C236" s="567">
        <f t="shared" si="16"/>
        <v>208</v>
      </c>
      <c r="D236" s="568">
        <f t="shared" ca="1" si="20"/>
        <v>1723697.7798697364</v>
      </c>
      <c r="E236" s="568">
        <f t="shared" ca="1" si="17"/>
        <v>8259.3851952091572</v>
      </c>
      <c r="F236" s="568">
        <f t="shared" ca="1" si="18"/>
        <v>7662.2362433082435</v>
      </c>
      <c r="G236" s="569">
        <f t="shared" ca="1" si="19"/>
        <v>1716035.5436264281</v>
      </c>
    </row>
    <row r="237" spans="2:8">
      <c r="B237" s="566">
        <v>209</v>
      </c>
      <c r="C237" s="567">
        <f t="shared" si="16"/>
        <v>209</v>
      </c>
      <c r="D237" s="568">
        <f t="shared" ca="1" si="20"/>
        <v>1716035.5436264281</v>
      </c>
      <c r="E237" s="568">
        <f t="shared" ca="1" si="17"/>
        <v>8222.6703132099719</v>
      </c>
      <c r="F237" s="568">
        <f t="shared" ca="1" si="18"/>
        <v>7698.9511253074297</v>
      </c>
      <c r="G237" s="569">
        <f t="shared" ca="1" si="19"/>
        <v>1708336.5925011206</v>
      </c>
    </row>
    <row r="238" spans="2:8">
      <c r="B238" s="566">
        <v>210</v>
      </c>
      <c r="C238" s="567">
        <f t="shared" si="16"/>
        <v>210</v>
      </c>
      <c r="D238" s="568">
        <f t="shared" ca="1" si="20"/>
        <v>1708336.5925011206</v>
      </c>
      <c r="E238" s="568">
        <f t="shared" ca="1" si="17"/>
        <v>8185.7795057345402</v>
      </c>
      <c r="F238" s="568">
        <f t="shared" ca="1" si="18"/>
        <v>7735.8419327828606</v>
      </c>
      <c r="G238" s="569">
        <f t="shared" ca="1" si="19"/>
        <v>1700600.7505683377</v>
      </c>
    </row>
    <row r="239" spans="2:8">
      <c r="B239" s="566">
        <v>211</v>
      </c>
      <c r="C239" s="567">
        <f t="shared" si="16"/>
        <v>211</v>
      </c>
      <c r="D239" s="568">
        <f t="shared" ca="1" si="20"/>
        <v>1700600.7505683377</v>
      </c>
      <c r="E239" s="568">
        <f t="shared" ca="1" si="17"/>
        <v>8148.7119298066236</v>
      </c>
      <c r="F239" s="568">
        <f t="shared" ca="1" si="18"/>
        <v>7772.9095087107771</v>
      </c>
      <c r="G239" s="569">
        <f t="shared" ca="1" si="19"/>
        <v>1692827.841059627</v>
      </c>
    </row>
    <row r="240" spans="2:8">
      <c r="B240" s="566">
        <v>212</v>
      </c>
      <c r="C240" s="567">
        <f t="shared" si="16"/>
        <v>212</v>
      </c>
      <c r="D240" s="568">
        <f t="shared" ca="1" si="20"/>
        <v>1692827.841059627</v>
      </c>
      <c r="E240" s="568">
        <f t="shared" ca="1" si="17"/>
        <v>8111.4667384107161</v>
      </c>
      <c r="F240" s="568">
        <f t="shared" ca="1" si="18"/>
        <v>7810.1547001066856</v>
      </c>
      <c r="G240" s="569">
        <f t="shared" ca="1" si="19"/>
        <v>1685017.6863595203</v>
      </c>
    </row>
    <row r="241" spans="2:8">
      <c r="B241" s="566">
        <v>213</v>
      </c>
      <c r="C241" s="567">
        <f t="shared" si="16"/>
        <v>213</v>
      </c>
      <c r="D241" s="568">
        <f t="shared" ca="1" si="20"/>
        <v>1685017.6863595203</v>
      </c>
      <c r="E241" s="568">
        <f t="shared" ca="1" si="17"/>
        <v>8074.0430804727048</v>
      </c>
      <c r="F241" s="568">
        <f t="shared" ca="1" si="18"/>
        <v>7847.5783580446951</v>
      </c>
      <c r="G241" s="569">
        <f t="shared" ca="1" si="19"/>
        <v>1677170.1080014757</v>
      </c>
    </row>
    <row r="242" spans="2:8">
      <c r="B242" s="566">
        <v>214</v>
      </c>
      <c r="C242" s="567">
        <f t="shared" si="16"/>
        <v>214</v>
      </c>
      <c r="D242" s="568">
        <f t="shared" ca="1" si="20"/>
        <v>1677170.1080014757</v>
      </c>
      <c r="E242" s="568">
        <f t="shared" ca="1" si="17"/>
        <v>8036.4401008404084</v>
      </c>
      <c r="F242" s="568">
        <f t="shared" ca="1" si="18"/>
        <v>7885.1813376769924</v>
      </c>
      <c r="G242" s="569">
        <f t="shared" ca="1" si="19"/>
        <v>1669284.9266637987</v>
      </c>
    </row>
    <row r="243" spans="2:8">
      <c r="B243" s="566">
        <v>215</v>
      </c>
      <c r="C243" s="567">
        <f t="shared" si="16"/>
        <v>215</v>
      </c>
      <c r="D243" s="568">
        <f t="shared" ca="1" si="20"/>
        <v>1669284.9266637987</v>
      </c>
      <c r="E243" s="568">
        <f t="shared" ca="1" si="17"/>
        <v>7998.6569402640389</v>
      </c>
      <c r="F243" s="568">
        <f t="shared" ca="1" si="18"/>
        <v>7922.9644982533619</v>
      </c>
      <c r="G243" s="569">
        <f t="shared" ca="1" si="19"/>
        <v>1661361.9621655454</v>
      </c>
    </row>
    <row r="244" spans="2:8">
      <c r="B244" s="570">
        <v>216</v>
      </c>
      <c r="C244" s="571">
        <f t="shared" si="16"/>
        <v>216</v>
      </c>
      <c r="D244" s="572">
        <f t="shared" ca="1" si="20"/>
        <v>1661361.9621655454</v>
      </c>
      <c r="E244" s="572">
        <f t="shared" ca="1" si="17"/>
        <v>7960.6927353765759</v>
      </c>
      <c r="F244" s="572">
        <f t="shared" ca="1" si="18"/>
        <v>7960.9287031408257</v>
      </c>
      <c r="G244" s="573">
        <f t="shared" ca="1" si="19"/>
        <v>1653401.0334624045</v>
      </c>
      <c r="H244" s="561"/>
    </row>
    <row r="245" spans="2:8">
      <c r="B245" s="553">
        <v>217</v>
      </c>
      <c r="C245" s="554">
        <f t="shared" si="16"/>
        <v>217</v>
      </c>
      <c r="D245" s="555">
        <f t="shared" ca="1" si="20"/>
        <v>1653401.0334624045</v>
      </c>
      <c r="E245" s="555">
        <f t="shared" ca="1" si="17"/>
        <v>7922.5466186740259</v>
      </c>
      <c r="F245" s="555">
        <f t="shared" ca="1" si="18"/>
        <v>7999.0748198433748</v>
      </c>
      <c r="G245" s="556">
        <f t="shared" ca="1" si="19"/>
        <v>1645401.9586425612</v>
      </c>
    </row>
    <row r="246" spans="2:8">
      <c r="B246" s="557">
        <v>218</v>
      </c>
      <c r="C246" s="558">
        <f t="shared" si="16"/>
        <v>218</v>
      </c>
      <c r="D246" s="559">
        <f t="shared" ca="1" si="20"/>
        <v>1645401.9586425612</v>
      </c>
      <c r="E246" s="559">
        <f t="shared" ca="1" si="17"/>
        <v>7884.217718495609</v>
      </c>
      <c r="F246" s="559">
        <f t="shared" ca="1" si="18"/>
        <v>8037.4037200217917</v>
      </c>
      <c r="G246" s="560">
        <f t="shared" ca="1" si="19"/>
        <v>1637364.5549225395</v>
      </c>
    </row>
    <row r="247" spans="2:8">
      <c r="B247" s="557">
        <v>219</v>
      </c>
      <c r="C247" s="558">
        <f t="shared" si="16"/>
        <v>219</v>
      </c>
      <c r="D247" s="559">
        <f t="shared" ca="1" si="20"/>
        <v>1637364.5549225395</v>
      </c>
      <c r="E247" s="559">
        <f t="shared" ca="1" si="17"/>
        <v>7845.7051590038382</v>
      </c>
      <c r="F247" s="559">
        <f t="shared" ca="1" si="18"/>
        <v>8075.9162795135617</v>
      </c>
      <c r="G247" s="560">
        <f t="shared" ca="1" si="19"/>
        <v>1629288.6386430259</v>
      </c>
    </row>
    <row r="248" spans="2:8">
      <c r="B248" s="557">
        <v>220</v>
      </c>
      <c r="C248" s="558">
        <f t="shared" si="16"/>
        <v>220</v>
      </c>
      <c r="D248" s="559">
        <f t="shared" ca="1" si="20"/>
        <v>1629288.6386430259</v>
      </c>
      <c r="E248" s="559">
        <f t="shared" ca="1" si="17"/>
        <v>7807.0080601645022</v>
      </c>
      <c r="F248" s="559">
        <f t="shared" ca="1" si="18"/>
        <v>8114.6133783528976</v>
      </c>
      <c r="G248" s="560">
        <f t="shared" ca="1" si="19"/>
        <v>1621174.0252646729</v>
      </c>
    </row>
    <row r="249" spans="2:8">
      <c r="B249" s="557">
        <v>221</v>
      </c>
      <c r="C249" s="558">
        <f t="shared" si="16"/>
        <v>221</v>
      </c>
      <c r="D249" s="559">
        <f t="shared" ca="1" si="20"/>
        <v>1621174.0252646729</v>
      </c>
      <c r="E249" s="559">
        <f t="shared" ca="1" si="17"/>
        <v>7768.1255377265607</v>
      </c>
      <c r="F249" s="559">
        <f t="shared" ca="1" si="18"/>
        <v>8153.4959007908401</v>
      </c>
      <c r="G249" s="560">
        <f t="shared" ca="1" si="19"/>
        <v>1613020.529363882</v>
      </c>
    </row>
    <row r="250" spans="2:8">
      <c r="B250" s="557">
        <v>222</v>
      </c>
      <c r="C250" s="558">
        <f t="shared" si="16"/>
        <v>222</v>
      </c>
      <c r="D250" s="559">
        <f t="shared" ca="1" si="20"/>
        <v>1613020.529363882</v>
      </c>
      <c r="E250" s="559">
        <f t="shared" ca="1" si="17"/>
        <v>7729.0567032019389</v>
      </c>
      <c r="F250" s="559">
        <f t="shared" ca="1" si="18"/>
        <v>8192.5647353154618</v>
      </c>
      <c r="G250" s="560">
        <f t="shared" ca="1" si="19"/>
        <v>1604827.9646285665</v>
      </c>
    </row>
    <row r="251" spans="2:8">
      <c r="B251" s="557">
        <v>223</v>
      </c>
      <c r="C251" s="558">
        <f t="shared" si="16"/>
        <v>223</v>
      </c>
      <c r="D251" s="559">
        <f t="shared" ca="1" si="20"/>
        <v>1604827.9646285665</v>
      </c>
      <c r="E251" s="559">
        <f t="shared" ca="1" si="17"/>
        <v>7689.8006638452198</v>
      </c>
      <c r="F251" s="559">
        <f t="shared" ca="1" si="18"/>
        <v>8231.8207746721819</v>
      </c>
      <c r="G251" s="560">
        <f t="shared" ca="1" si="19"/>
        <v>1596596.1438538944</v>
      </c>
    </row>
    <row r="252" spans="2:8">
      <c r="B252" s="557">
        <v>224</v>
      </c>
      <c r="C252" s="558">
        <f t="shared" si="16"/>
        <v>224</v>
      </c>
      <c r="D252" s="559">
        <f t="shared" ca="1" si="20"/>
        <v>1596596.1438538944</v>
      </c>
      <c r="E252" s="559">
        <f t="shared" ca="1" si="17"/>
        <v>7650.3565226332457</v>
      </c>
      <c r="F252" s="559">
        <f t="shared" ca="1" si="18"/>
        <v>8271.2649158841541</v>
      </c>
      <c r="G252" s="560">
        <f t="shared" ca="1" si="19"/>
        <v>1588324.8789380102</v>
      </c>
    </row>
    <row r="253" spans="2:8">
      <c r="B253" s="557">
        <v>225</v>
      </c>
      <c r="C253" s="558">
        <f t="shared" si="16"/>
        <v>225</v>
      </c>
      <c r="D253" s="559">
        <f t="shared" ca="1" si="20"/>
        <v>1588324.8789380102</v>
      </c>
      <c r="E253" s="559">
        <f t="shared" ca="1" si="17"/>
        <v>7610.7233782446365</v>
      </c>
      <c r="F253" s="559">
        <f t="shared" ca="1" si="18"/>
        <v>8310.8980602727643</v>
      </c>
      <c r="G253" s="560">
        <f t="shared" ca="1" si="19"/>
        <v>1580013.9808777375</v>
      </c>
    </row>
    <row r="254" spans="2:8">
      <c r="B254" s="557">
        <v>226</v>
      </c>
      <c r="C254" s="558">
        <f t="shared" si="16"/>
        <v>226</v>
      </c>
      <c r="D254" s="559">
        <f t="shared" ca="1" si="20"/>
        <v>1580013.9808777375</v>
      </c>
      <c r="E254" s="559">
        <f t="shared" ca="1" si="17"/>
        <v>7570.9003250391615</v>
      </c>
      <c r="F254" s="559">
        <f t="shared" ca="1" si="18"/>
        <v>8350.7211134782392</v>
      </c>
      <c r="G254" s="560">
        <f t="shared" ca="1" si="19"/>
        <v>1571663.2597642592</v>
      </c>
    </row>
    <row r="255" spans="2:8">
      <c r="B255" s="557">
        <v>227</v>
      </c>
      <c r="C255" s="558">
        <f t="shared" si="16"/>
        <v>227</v>
      </c>
      <c r="D255" s="559">
        <f t="shared" ca="1" si="20"/>
        <v>1571663.2597642592</v>
      </c>
      <c r="E255" s="559">
        <f t="shared" ca="1" si="17"/>
        <v>7530.8864530370793</v>
      </c>
      <c r="F255" s="559">
        <f t="shared" ca="1" si="18"/>
        <v>8390.7349854803215</v>
      </c>
      <c r="G255" s="560">
        <f t="shared" ca="1" si="19"/>
        <v>1563272.5247787789</v>
      </c>
    </row>
    <row r="256" spans="2:8">
      <c r="B256" s="562">
        <v>228</v>
      </c>
      <c r="C256" s="563">
        <f t="shared" si="16"/>
        <v>228</v>
      </c>
      <c r="D256" s="564">
        <f t="shared" ca="1" si="20"/>
        <v>1563272.5247787789</v>
      </c>
      <c r="E256" s="564">
        <f t="shared" ca="1" si="17"/>
        <v>7490.6808478983212</v>
      </c>
      <c r="F256" s="564">
        <f t="shared" ca="1" si="18"/>
        <v>8430.9405906190823</v>
      </c>
      <c r="G256" s="565">
        <f t="shared" ca="1" si="19"/>
        <v>1554841.5841881598</v>
      </c>
      <c r="H256" s="561"/>
    </row>
    <row r="257" spans="2:8">
      <c r="B257" s="574">
        <v>229</v>
      </c>
      <c r="C257" s="575">
        <f t="shared" si="16"/>
        <v>229</v>
      </c>
      <c r="D257" s="576">
        <f t="shared" ca="1" si="20"/>
        <v>1554841.5841881598</v>
      </c>
      <c r="E257" s="576">
        <f t="shared" ca="1" si="17"/>
        <v>7450.2825909016019</v>
      </c>
      <c r="F257" s="576">
        <f t="shared" ca="1" si="18"/>
        <v>8471.3388476157979</v>
      </c>
      <c r="G257" s="577">
        <f t="shared" ca="1" si="19"/>
        <v>1546370.245340544</v>
      </c>
    </row>
    <row r="258" spans="2:8">
      <c r="B258" s="566">
        <v>230</v>
      </c>
      <c r="C258" s="567">
        <f t="shared" si="16"/>
        <v>230</v>
      </c>
      <c r="D258" s="568">
        <f t="shared" ca="1" si="20"/>
        <v>1546370.245340544</v>
      </c>
      <c r="E258" s="568">
        <f t="shared" ca="1" si="17"/>
        <v>7409.6907589234443</v>
      </c>
      <c r="F258" s="568">
        <f t="shared" ca="1" si="18"/>
        <v>8511.9306795939574</v>
      </c>
      <c r="G258" s="569">
        <f t="shared" ca="1" si="19"/>
        <v>1537858.3146609501</v>
      </c>
    </row>
    <row r="259" spans="2:8">
      <c r="B259" s="566">
        <v>231</v>
      </c>
      <c r="C259" s="567">
        <f t="shared" si="16"/>
        <v>231</v>
      </c>
      <c r="D259" s="568">
        <f t="shared" ca="1" si="20"/>
        <v>1537858.3146609501</v>
      </c>
      <c r="E259" s="568">
        <f t="shared" ca="1" si="17"/>
        <v>7368.9044244170555</v>
      </c>
      <c r="F259" s="568">
        <f t="shared" ca="1" si="18"/>
        <v>8552.7170141003444</v>
      </c>
      <c r="G259" s="569">
        <f t="shared" ca="1" si="19"/>
        <v>1529305.5976468497</v>
      </c>
    </row>
    <row r="260" spans="2:8">
      <c r="B260" s="566">
        <v>232</v>
      </c>
      <c r="C260" s="567">
        <f t="shared" si="16"/>
        <v>232</v>
      </c>
      <c r="D260" s="568">
        <f t="shared" ca="1" si="20"/>
        <v>1529305.5976468497</v>
      </c>
      <c r="E260" s="568">
        <f t="shared" ca="1" si="17"/>
        <v>7327.9226553911585</v>
      </c>
      <c r="F260" s="568">
        <f t="shared" ca="1" si="18"/>
        <v>8593.6987831262431</v>
      </c>
      <c r="G260" s="569">
        <f t="shared" ca="1" si="19"/>
        <v>1520711.8988637235</v>
      </c>
    </row>
    <row r="261" spans="2:8">
      <c r="B261" s="566">
        <v>233</v>
      </c>
      <c r="C261" s="567">
        <f t="shared" si="16"/>
        <v>233</v>
      </c>
      <c r="D261" s="568">
        <f t="shared" ca="1" si="20"/>
        <v>1520711.8988637235</v>
      </c>
      <c r="E261" s="568">
        <f t="shared" ca="1" si="17"/>
        <v>7286.7445153886783</v>
      </c>
      <c r="F261" s="568">
        <f t="shared" ca="1" si="18"/>
        <v>8634.8769231287224</v>
      </c>
      <c r="G261" s="569">
        <f t="shared" ca="1" si="19"/>
        <v>1512077.0219405948</v>
      </c>
    </row>
    <row r="262" spans="2:8">
      <c r="B262" s="566">
        <v>234</v>
      </c>
      <c r="C262" s="567">
        <f t="shared" si="16"/>
        <v>234</v>
      </c>
      <c r="D262" s="568">
        <f t="shared" ca="1" si="20"/>
        <v>1512077.0219405948</v>
      </c>
      <c r="E262" s="568">
        <f t="shared" ca="1" si="17"/>
        <v>7245.369063465354</v>
      </c>
      <c r="F262" s="568">
        <f t="shared" ca="1" si="18"/>
        <v>8676.2523750520468</v>
      </c>
      <c r="G262" s="569">
        <f t="shared" ca="1" si="19"/>
        <v>1503400.7695655427</v>
      </c>
    </row>
    <row r="263" spans="2:8">
      <c r="B263" s="566">
        <v>235</v>
      </c>
      <c r="C263" s="567">
        <f t="shared" si="16"/>
        <v>235</v>
      </c>
      <c r="D263" s="568">
        <f t="shared" ca="1" si="20"/>
        <v>1503400.7695655427</v>
      </c>
      <c r="E263" s="568">
        <f t="shared" ca="1" si="17"/>
        <v>7203.7953541682282</v>
      </c>
      <c r="F263" s="568">
        <f t="shared" ca="1" si="18"/>
        <v>8717.8260843491717</v>
      </c>
      <c r="G263" s="569">
        <f t="shared" ca="1" si="19"/>
        <v>1494682.9434811936</v>
      </c>
    </row>
    <row r="264" spans="2:8">
      <c r="B264" s="566">
        <v>236</v>
      </c>
      <c r="C264" s="567">
        <f t="shared" si="16"/>
        <v>236</v>
      </c>
      <c r="D264" s="568">
        <f t="shared" ca="1" si="20"/>
        <v>1494682.9434811936</v>
      </c>
      <c r="E264" s="568">
        <f t="shared" ca="1" si="17"/>
        <v>7162.0224375140569</v>
      </c>
      <c r="F264" s="568">
        <f t="shared" ca="1" si="18"/>
        <v>8759.5990010033456</v>
      </c>
      <c r="G264" s="569">
        <f t="shared" ca="1" si="19"/>
        <v>1485923.3444801902</v>
      </c>
    </row>
    <row r="265" spans="2:8">
      <c r="B265" s="566">
        <v>237</v>
      </c>
      <c r="C265" s="567">
        <f t="shared" si="16"/>
        <v>237</v>
      </c>
      <c r="D265" s="568">
        <f t="shared" ca="1" si="20"/>
        <v>1485923.3444801902</v>
      </c>
      <c r="E265" s="568">
        <f t="shared" ca="1" si="17"/>
        <v>7120.0493589675834</v>
      </c>
      <c r="F265" s="568">
        <f t="shared" ca="1" si="18"/>
        <v>8801.5720795498182</v>
      </c>
      <c r="G265" s="569">
        <f t="shared" ca="1" si="19"/>
        <v>1477121.7724006404</v>
      </c>
    </row>
    <row r="266" spans="2:8">
      <c r="B266" s="566">
        <v>238</v>
      </c>
      <c r="C266" s="567">
        <f t="shared" si="16"/>
        <v>238</v>
      </c>
      <c r="D266" s="568">
        <f t="shared" ca="1" si="20"/>
        <v>1477121.7724006404</v>
      </c>
      <c r="E266" s="568">
        <f t="shared" ca="1" si="17"/>
        <v>7077.8751594197383</v>
      </c>
      <c r="F266" s="568">
        <f t="shared" ca="1" si="18"/>
        <v>8843.7462790976624</v>
      </c>
      <c r="G266" s="569">
        <f t="shared" ca="1" si="19"/>
        <v>1468278.0261215428</v>
      </c>
    </row>
    <row r="267" spans="2:8">
      <c r="B267" s="566">
        <v>239</v>
      </c>
      <c r="C267" s="567">
        <f t="shared" si="16"/>
        <v>239</v>
      </c>
      <c r="D267" s="568">
        <f t="shared" ca="1" si="20"/>
        <v>1468278.0261215428</v>
      </c>
      <c r="E267" s="568">
        <f t="shared" ca="1" si="17"/>
        <v>7035.4988751657302</v>
      </c>
      <c r="F267" s="568">
        <f t="shared" ca="1" si="18"/>
        <v>8886.1225633516715</v>
      </c>
      <c r="G267" s="569">
        <f t="shared" ca="1" si="19"/>
        <v>1459391.9035581911</v>
      </c>
    </row>
    <row r="268" spans="2:8">
      <c r="B268" s="570">
        <v>240</v>
      </c>
      <c r="C268" s="571">
        <f t="shared" si="16"/>
        <v>240</v>
      </c>
      <c r="D268" s="572">
        <f t="shared" ca="1" si="20"/>
        <v>1459391.9035581911</v>
      </c>
      <c r="E268" s="572">
        <f t="shared" ca="1" si="17"/>
        <v>6992.9195378830045</v>
      </c>
      <c r="F268" s="572">
        <f t="shared" ca="1" si="18"/>
        <v>8928.701900634398</v>
      </c>
      <c r="G268" s="573">
        <f t="shared" ca="1" si="19"/>
        <v>1450463.2016575567</v>
      </c>
      <c r="H268" s="561"/>
    </row>
    <row r="269" spans="2:8">
      <c r="B269" s="553">
        <v>241</v>
      </c>
      <c r="C269" s="554">
        <f t="shared" si="16"/>
        <v>241</v>
      </c>
      <c r="D269" s="555">
        <f t="shared" ca="1" si="20"/>
        <v>1450463.2016575567</v>
      </c>
      <c r="E269" s="555">
        <f t="shared" ca="1" si="17"/>
        <v>6950.1361746091288</v>
      </c>
      <c r="F269" s="555">
        <f t="shared" ca="1" si="18"/>
        <v>8971.4852639082728</v>
      </c>
      <c r="G269" s="556">
        <f t="shared" ca="1" si="19"/>
        <v>1441491.7163936484</v>
      </c>
    </row>
    <row r="270" spans="2:8">
      <c r="B270" s="557">
        <v>242</v>
      </c>
      <c r="C270" s="558">
        <f t="shared" si="16"/>
        <v>242</v>
      </c>
      <c r="D270" s="559">
        <f t="shared" ca="1" si="20"/>
        <v>1441491.7163936484</v>
      </c>
      <c r="E270" s="559">
        <f t="shared" ca="1" si="17"/>
        <v>6907.1478077195679</v>
      </c>
      <c r="F270" s="559">
        <f t="shared" ca="1" si="18"/>
        <v>9014.473630797831</v>
      </c>
      <c r="G270" s="560">
        <f t="shared" ca="1" si="19"/>
        <v>1432477.2427628506</v>
      </c>
    </row>
    <row r="271" spans="2:8">
      <c r="B271" s="557">
        <v>243</v>
      </c>
      <c r="C271" s="558">
        <f t="shared" si="16"/>
        <v>243</v>
      </c>
      <c r="D271" s="559">
        <f t="shared" ca="1" si="20"/>
        <v>1432477.2427628506</v>
      </c>
      <c r="E271" s="559">
        <f t="shared" ca="1" si="17"/>
        <v>6863.9534549053287</v>
      </c>
      <c r="F271" s="559">
        <f t="shared" ca="1" si="18"/>
        <v>9057.6679836120729</v>
      </c>
      <c r="G271" s="560">
        <f t="shared" ca="1" si="19"/>
        <v>1423419.5747792386</v>
      </c>
    </row>
    <row r="272" spans="2:8">
      <c r="B272" s="557">
        <v>244</v>
      </c>
      <c r="C272" s="558">
        <f t="shared" si="16"/>
        <v>244</v>
      </c>
      <c r="D272" s="559">
        <f t="shared" ca="1" si="20"/>
        <v>1423419.5747792386</v>
      </c>
      <c r="E272" s="559">
        <f t="shared" ca="1" si="17"/>
        <v>6820.5521291505211</v>
      </c>
      <c r="F272" s="559">
        <f t="shared" ca="1" si="18"/>
        <v>9101.0693093668797</v>
      </c>
      <c r="G272" s="560">
        <f t="shared" ca="1" si="19"/>
        <v>1414318.5054698717</v>
      </c>
    </row>
    <row r="273" spans="2:8">
      <c r="B273" s="557">
        <v>245</v>
      </c>
      <c r="C273" s="558">
        <f t="shared" si="16"/>
        <v>245</v>
      </c>
      <c r="D273" s="559">
        <f t="shared" ca="1" si="20"/>
        <v>1414318.5054698717</v>
      </c>
      <c r="E273" s="559">
        <f t="shared" ca="1" si="17"/>
        <v>6776.942838709806</v>
      </c>
      <c r="F273" s="559">
        <f t="shared" ca="1" si="18"/>
        <v>9144.6785998075957</v>
      </c>
      <c r="G273" s="560">
        <f t="shared" ca="1" si="19"/>
        <v>1405173.826870064</v>
      </c>
    </row>
    <row r="274" spans="2:8">
      <c r="B274" s="557">
        <v>246</v>
      </c>
      <c r="C274" s="558">
        <f t="shared" si="16"/>
        <v>246</v>
      </c>
      <c r="D274" s="559">
        <f t="shared" ca="1" si="20"/>
        <v>1405173.826870064</v>
      </c>
      <c r="E274" s="559">
        <f t="shared" ca="1" si="17"/>
        <v>6733.1245870857265</v>
      </c>
      <c r="F274" s="559">
        <f t="shared" ca="1" si="18"/>
        <v>9188.4968514316752</v>
      </c>
      <c r="G274" s="560">
        <f t="shared" ca="1" si="19"/>
        <v>1395985.3300186323</v>
      </c>
    </row>
    <row r="275" spans="2:8">
      <c r="B275" s="557">
        <v>247</v>
      </c>
      <c r="C275" s="558">
        <f t="shared" si="16"/>
        <v>247</v>
      </c>
      <c r="D275" s="559">
        <f t="shared" ca="1" si="20"/>
        <v>1395985.3300186323</v>
      </c>
      <c r="E275" s="559">
        <f t="shared" ca="1" si="17"/>
        <v>6689.0963730059511</v>
      </c>
      <c r="F275" s="559">
        <f t="shared" ca="1" si="18"/>
        <v>9232.5250655114505</v>
      </c>
      <c r="G275" s="560">
        <f t="shared" ca="1" si="19"/>
        <v>1386752.8049531209</v>
      </c>
    </row>
    <row r="276" spans="2:8">
      <c r="B276" s="557">
        <v>248</v>
      </c>
      <c r="C276" s="558">
        <f t="shared" si="16"/>
        <v>248</v>
      </c>
      <c r="D276" s="559">
        <f t="shared" ca="1" si="20"/>
        <v>1386752.8049531209</v>
      </c>
      <c r="E276" s="559">
        <f t="shared" ca="1" si="17"/>
        <v>6644.8571904003747</v>
      </c>
      <c r="F276" s="559">
        <f t="shared" ca="1" si="18"/>
        <v>9276.764248117026</v>
      </c>
      <c r="G276" s="560">
        <f t="shared" ca="1" si="19"/>
        <v>1377476.0407050038</v>
      </c>
    </row>
    <row r="277" spans="2:8">
      <c r="B277" s="557">
        <v>249</v>
      </c>
      <c r="C277" s="558">
        <f t="shared" si="16"/>
        <v>249</v>
      </c>
      <c r="D277" s="559">
        <f t="shared" ca="1" si="20"/>
        <v>1377476.0407050038</v>
      </c>
      <c r="E277" s="559">
        <f t="shared" ca="1" si="17"/>
        <v>6600.4060283781482</v>
      </c>
      <c r="F277" s="559">
        <f t="shared" ca="1" si="18"/>
        <v>9321.2154101392553</v>
      </c>
      <c r="G277" s="560">
        <f t="shared" ca="1" si="19"/>
        <v>1368154.8252948646</v>
      </c>
    </row>
    <row r="278" spans="2:8">
      <c r="B278" s="557">
        <v>250</v>
      </c>
      <c r="C278" s="558">
        <f t="shared" si="16"/>
        <v>250</v>
      </c>
      <c r="D278" s="559">
        <f t="shared" ca="1" si="20"/>
        <v>1368154.8252948646</v>
      </c>
      <c r="E278" s="559">
        <f t="shared" ca="1" si="17"/>
        <v>6555.7418712045637</v>
      </c>
      <c r="F278" s="559">
        <f t="shared" ca="1" si="18"/>
        <v>9365.879567312837</v>
      </c>
      <c r="G278" s="560">
        <f t="shared" ca="1" si="19"/>
        <v>1358788.9457275518</v>
      </c>
    </row>
    <row r="279" spans="2:8">
      <c r="B279" s="557">
        <v>251</v>
      </c>
      <c r="C279" s="558">
        <f t="shared" si="16"/>
        <v>251</v>
      </c>
      <c r="D279" s="559">
        <f t="shared" ca="1" si="20"/>
        <v>1358788.9457275518</v>
      </c>
      <c r="E279" s="559">
        <f t="shared" ca="1" si="17"/>
        <v>6510.8636982778562</v>
      </c>
      <c r="F279" s="559">
        <f t="shared" ca="1" si="18"/>
        <v>9410.7577402395436</v>
      </c>
      <c r="G279" s="560">
        <f t="shared" ca="1" si="19"/>
        <v>1349378.1879873122</v>
      </c>
    </row>
    <row r="280" spans="2:8">
      <c r="B280" s="562">
        <v>252</v>
      </c>
      <c r="C280" s="563">
        <f t="shared" si="16"/>
        <v>252</v>
      </c>
      <c r="D280" s="564">
        <f t="shared" ca="1" si="20"/>
        <v>1349378.1879873122</v>
      </c>
      <c r="E280" s="564">
        <f t="shared" ca="1" si="17"/>
        <v>6465.7704841058749</v>
      </c>
      <c r="F280" s="564">
        <f t="shared" ca="1" si="18"/>
        <v>9455.8509544115277</v>
      </c>
      <c r="G280" s="565">
        <f t="shared" ca="1" si="19"/>
        <v>1339922.3370329007</v>
      </c>
      <c r="H280" s="561"/>
    </row>
    <row r="281" spans="2:8">
      <c r="B281" s="574">
        <v>253</v>
      </c>
      <c r="C281" s="575">
        <f t="shared" si="16"/>
        <v>253</v>
      </c>
      <c r="D281" s="576">
        <f t="shared" ca="1" si="20"/>
        <v>1339922.3370329007</v>
      </c>
      <c r="E281" s="576">
        <f t="shared" ca="1" si="17"/>
        <v>6420.4611982826527</v>
      </c>
      <c r="F281" s="576">
        <f t="shared" ca="1" si="18"/>
        <v>9501.1602402347489</v>
      </c>
      <c r="G281" s="577">
        <f t="shared" ca="1" si="19"/>
        <v>1330421.1767926659</v>
      </c>
    </row>
    <row r="282" spans="2:8">
      <c r="B282" s="566">
        <v>254</v>
      </c>
      <c r="C282" s="567">
        <f t="shared" si="16"/>
        <v>254</v>
      </c>
      <c r="D282" s="568">
        <f t="shared" ca="1" si="20"/>
        <v>1330421.1767926659</v>
      </c>
      <c r="E282" s="568">
        <f t="shared" ca="1" si="17"/>
        <v>6374.9348054648608</v>
      </c>
      <c r="F282" s="568">
        <f t="shared" ca="1" si="18"/>
        <v>9546.686633052539</v>
      </c>
      <c r="G282" s="569">
        <f t="shared" ca="1" si="19"/>
        <v>1320874.4901596133</v>
      </c>
    </row>
    <row r="283" spans="2:8">
      <c r="B283" s="566">
        <v>255</v>
      </c>
      <c r="C283" s="567">
        <f t="shared" si="16"/>
        <v>255</v>
      </c>
      <c r="D283" s="568">
        <f t="shared" ca="1" si="20"/>
        <v>1320874.4901596133</v>
      </c>
      <c r="E283" s="568">
        <f t="shared" ca="1" si="17"/>
        <v>6329.1902653481511</v>
      </c>
      <c r="F283" s="568">
        <f t="shared" ca="1" si="18"/>
        <v>9592.4311731692505</v>
      </c>
      <c r="G283" s="569">
        <f t="shared" ca="1" si="19"/>
        <v>1311282.058986444</v>
      </c>
    </row>
    <row r="284" spans="2:8">
      <c r="B284" s="566">
        <v>256</v>
      </c>
      <c r="C284" s="567">
        <f t="shared" si="16"/>
        <v>256</v>
      </c>
      <c r="D284" s="568">
        <f t="shared" ca="1" si="20"/>
        <v>1311282.058986444</v>
      </c>
      <c r="E284" s="568">
        <f t="shared" ca="1" si="17"/>
        <v>6283.2265326433817</v>
      </c>
      <c r="F284" s="568">
        <f t="shared" ca="1" si="18"/>
        <v>9638.39490587402</v>
      </c>
      <c r="G284" s="569">
        <f t="shared" ca="1" si="19"/>
        <v>1301643.66408057</v>
      </c>
    </row>
    <row r="285" spans="2:8">
      <c r="B285" s="566">
        <v>257</v>
      </c>
      <c r="C285" s="567">
        <f t="shared" ref="C285:C348" si="21">IF(C$9*12&gt;=B285,"I/O",B285-(C$9*12))</f>
        <v>257</v>
      </c>
      <c r="D285" s="568">
        <f t="shared" ca="1" si="20"/>
        <v>1301643.66408057</v>
      </c>
      <c r="E285" s="568">
        <f t="shared" ref="E285:E348" ca="1" si="22">IF(C285="I/O",C$5*C$6/12,-IPMT(C$6/12,C285,C$8*12,C$5))</f>
        <v>6237.042557052735</v>
      </c>
      <c r="F285" s="568">
        <f t="shared" ref="F285:F348" ca="1" si="23">IF(C285&lt;&gt;"I/O",-PPMT(C$6/12,C285,C$8*12,C$5),0)</f>
        <v>9684.5788814646658</v>
      </c>
      <c r="G285" s="569">
        <f t="shared" ref="G285:G348" ca="1" si="24">D285-F285</f>
        <v>1291959.0851991053</v>
      </c>
    </row>
    <row r="286" spans="2:8">
      <c r="B286" s="566">
        <v>258</v>
      </c>
      <c r="C286" s="567">
        <f t="shared" si="21"/>
        <v>258</v>
      </c>
      <c r="D286" s="568">
        <f t="shared" ref="D286:D349" ca="1" si="25">G285</f>
        <v>1291959.0851991053</v>
      </c>
      <c r="E286" s="568">
        <f t="shared" ca="1" si="22"/>
        <v>6190.6372832457173</v>
      </c>
      <c r="F286" s="568">
        <f t="shared" ca="1" si="23"/>
        <v>9730.9841552716844</v>
      </c>
      <c r="G286" s="569">
        <f t="shared" ca="1" si="24"/>
        <v>1282228.1010438337</v>
      </c>
    </row>
    <row r="287" spans="2:8">
      <c r="B287" s="566">
        <v>259</v>
      </c>
      <c r="C287" s="567">
        <f t="shared" si="21"/>
        <v>259</v>
      </c>
      <c r="D287" s="568">
        <f t="shared" ca="1" si="25"/>
        <v>1282228.1010438337</v>
      </c>
      <c r="E287" s="568">
        <f t="shared" ca="1" si="22"/>
        <v>6144.0096508350398</v>
      </c>
      <c r="F287" s="568">
        <f t="shared" ca="1" si="23"/>
        <v>9777.611787682361</v>
      </c>
      <c r="G287" s="569">
        <f t="shared" ca="1" si="24"/>
        <v>1272450.4892561513</v>
      </c>
    </row>
    <row r="288" spans="2:8">
      <c r="B288" s="566">
        <v>260</v>
      </c>
      <c r="C288" s="567">
        <f t="shared" si="21"/>
        <v>260</v>
      </c>
      <c r="D288" s="568">
        <f t="shared" ca="1" si="25"/>
        <v>1272450.4892561513</v>
      </c>
      <c r="E288" s="568">
        <f t="shared" ca="1" si="22"/>
        <v>6097.1585943523969</v>
      </c>
      <c r="F288" s="568">
        <f t="shared" ca="1" si="23"/>
        <v>9824.4628441650038</v>
      </c>
      <c r="G288" s="569">
        <f t="shared" ca="1" si="24"/>
        <v>1262626.0264119862</v>
      </c>
    </row>
    <row r="289" spans="2:8">
      <c r="B289" s="566">
        <v>261</v>
      </c>
      <c r="C289" s="567">
        <f t="shared" si="21"/>
        <v>261</v>
      </c>
      <c r="D289" s="568">
        <f t="shared" ca="1" si="25"/>
        <v>1262626.0264119862</v>
      </c>
      <c r="E289" s="568">
        <f t="shared" ca="1" si="22"/>
        <v>6050.0830432241055</v>
      </c>
      <c r="F289" s="568">
        <f t="shared" ca="1" si="23"/>
        <v>9871.5383952932953</v>
      </c>
      <c r="G289" s="569">
        <f t="shared" ca="1" si="24"/>
        <v>1252754.4880166929</v>
      </c>
    </row>
    <row r="290" spans="2:8">
      <c r="B290" s="566">
        <v>262</v>
      </c>
      <c r="C290" s="567">
        <f t="shared" si="21"/>
        <v>262</v>
      </c>
      <c r="D290" s="568">
        <f t="shared" ca="1" si="25"/>
        <v>1252754.4880166929</v>
      </c>
      <c r="E290" s="568">
        <f t="shared" ca="1" si="22"/>
        <v>6002.7819217466586</v>
      </c>
      <c r="F290" s="568">
        <f t="shared" ca="1" si="23"/>
        <v>9918.8395167707422</v>
      </c>
      <c r="G290" s="569">
        <f t="shared" ca="1" si="24"/>
        <v>1242835.6484999221</v>
      </c>
    </row>
    <row r="291" spans="2:8">
      <c r="B291" s="566">
        <v>263</v>
      </c>
      <c r="C291" s="567">
        <f t="shared" si="21"/>
        <v>263</v>
      </c>
      <c r="D291" s="568">
        <f t="shared" ca="1" si="25"/>
        <v>1242835.6484999221</v>
      </c>
      <c r="E291" s="568">
        <f t="shared" ca="1" si="22"/>
        <v>5955.2541490621315</v>
      </c>
      <c r="F291" s="568">
        <f t="shared" ca="1" si="23"/>
        <v>9966.3672894552692</v>
      </c>
      <c r="G291" s="569">
        <f t="shared" ca="1" si="24"/>
        <v>1232869.2812104668</v>
      </c>
    </row>
    <row r="292" spans="2:8">
      <c r="B292" s="570">
        <v>264</v>
      </c>
      <c r="C292" s="571">
        <f t="shared" si="21"/>
        <v>264</v>
      </c>
      <c r="D292" s="572">
        <f t="shared" ca="1" si="25"/>
        <v>1232869.2812104668</v>
      </c>
      <c r="E292" s="572">
        <f t="shared" ca="1" si="22"/>
        <v>5907.4986391334924</v>
      </c>
      <c r="F292" s="572">
        <f t="shared" ca="1" si="23"/>
        <v>10014.122799383909</v>
      </c>
      <c r="G292" s="573">
        <f t="shared" ca="1" si="24"/>
        <v>1222855.1584110828</v>
      </c>
      <c r="H292" s="561"/>
    </row>
    <row r="293" spans="2:8">
      <c r="B293" s="553">
        <v>265</v>
      </c>
      <c r="C293" s="554">
        <f t="shared" si="21"/>
        <v>265</v>
      </c>
      <c r="D293" s="555">
        <f t="shared" ca="1" si="25"/>
        <v>1222855.1584110828</v>
      </c>
      <c r="E293" s="555">
        <f t="shared" ca="1" si="22"/>
        <v>5859.5143007197767</v>
      </c>
      <c r="F293" s="555">
        <f t="shared" ca="1" si="23"/>
        <v>10062.107137797622</v>
      </c>
      <c r="G293" s="556">
        <f t="shared" ca="1" si="24"/>
        <v>1212793.0512732852</v>
      </c>
    </row>
    <row r="294" spans="2:8">
      <c r="B294" s="557">
        <v>266</v>
      </c>
      <c r="C294" s="558">
        <f t="shared" si="21"/>
        <v>266</v>
      </c>
      <c r="D294" s="559">
        <f t="shared" ca="1" si="25"/>
        <v>1212793.0512732852</v>
      </c>
      <c r="E294" s="559">
        <f t="shared" ca="1" si="22"/>
        <v>5811.3000373511641</v>
      </c>
      <c r="F294" s="559">
        <f t="shared" ca="1" si="23"/>
        <v>10110.321401166239</v>
      </c>
      <c r="G294" s="560">
        <f t="shared" ca="1" si="24"/>
        <v>1202682.7298721189</v>
      </c>
    </row>
    <row r="295" spans="2:8">
      <c r="B295" s="557">
        <v>267</v>
      </c>
      <c r="C295" s="558">
        <f t="shared" si="21"/>
        <v>267</v>
      </c>
      <c r="D295" s="559">
        <f t="shared" ca="1" si="25"/>
        <v>1202682.7298721189</v>
      </c>
      <c r="E295" s="559">
        <f t="shared" ca="1" si="22"/>
        <v>5762.854747303908</v>
      </c>
      <c r="F295" s="559">
        <f t="shared" ca="1" si="23"/>
        <v>10158.766691213492</v>
      </c>
      <c r="G295" s="560">
        <f t="shared" ca="1" si="24"/>
        <v>1192523.9631809054</v>
      </c>
    </row>
    <row r="296" spans="2:8">
      <c r="B296" s="557">
        <v>268</v>
      </c>
      <c r="C296" s="558">
        <f t="shared" si="21"/>
        <v>268</v>
      </c>
      <c r="D296" s="559">
        <f t="shared" ca="1" si="25"/>
        <v>1192523.9631809054</v>
      </c>
      <c r="E296" s="559">
        <f t="shared" ca="1" si="22"/>
        <v>5714.1773235751771</v>
      </c>
      <c r="F296" s="559">
        <f t="shared" ca="1" si="23"/>
        <v>10207.444114942224</v>
      </c>
      <c r="G296" s="560">
        <f t="shared" ca="1" si="24"/>
        <v>1182316.5190659631</v>
      </c>
    </row>
    <row r="297" spans="2:8">
      <c r="B297" s="557">
        <v>269</v>
      </c>
      <c r="C297" s="558">
        <f t="shared" si="21"/>
        <v>269</v>
      </c>
      <c r="D297" s="559">
        <f t="shared" ca="1" si="25"/>
        <v>1182316.5190659631</v>
      </c>
      <c r="E297" s="559">
        <f t="shared" ca="1" si="22"/>
        <v>5665.266653857746</v>
      </c>
      <c r="F297" s="559">
        <f t="shared" ca="1" si="23"/>
        <v>10256.354784659656</v>
      </c>
      <c r="G297" s="560">
        <f t="shared" ca="1" si="24"/>
        <v>1172060.1642813035</v>
      </c>
    </row>
    <row r="298" spans="2:8">
      <c r="B298" s="557">
        <v>270</v>
      </c>
      <c r="C298" s="558">
        <f t="shared" si="21"/>
        <v>270</v>
      </c>
      <c r="D298" s="559">
        <f t="shared" ca="1" si="25"/>
        <v>1172060.1642813035</v>
      </c>
      <c r="E298" s="559">
        <f t="shared" ca="1" si="22"/>
        <v>5616.1216205145847</v>
      </c>
      <c r="F298" s="559">
        <f t="shared" ca="1" si="23"/>
        <v>10305.499818002816</v>
      </c>
      <c r="G298" s="560">
        <f t="shared" ca="1" si="24"/>
        <v>1161754.6644633007</v>
      </c>
    </row>
    <row r="299" spans="2:8">
      <c r="B299" s="557">
        <v>271</v>
      </c>
      <c r="C299" s="558">
        <f t="shared" si="21"/>
        <v>271</v>
      </c>
      <c r="D299" s="559">
        <f t="shared" ca="1" si="25"/>
        <v>1161754.6644633007</v>
      </c>
      <c r="E299" s="559">
        <f t="shared" ca="1" si="22"/>
        <v>5566.7411005533213</v>
      </c>
      <c r="F299" s="559">
        <f t="shared" ca="1" si="23"/>
        <v>10354.880337964079</v>
      </c>
      <c r="G299" s="560">
        <f t="shared" ca="1" si="24"/>
        <v>1151399.7841253367</v>
      </c>
    </row>
    <row r="300" spans="2:8">
      <c r="B300" s="557">
        <v>272</v>
      </c>
      <c r="C300" s="558">
        <f t="shared" si="21"/>
        <v>272</v>
      </c>
      <c r="D300" s="559">
        <f t="shared" ca="1" si="25"/>
        <v>1151399.7841253367</v>
      </c>
      <c r="E300" s="559">
        <f t="shared" ca="1" si="22"/>
        <v>5517.1239656005773</v>
      </c>
      <c r="F300" s="559">
        <f t="shared" ca="1" si="23"/>
        <v>10404.497472916826</v>
      </c>
      <c r="G300" s="560">
        <f t="shared" ca="1" si="24"/>
        <v>1140995.2866524199</v>
      </c>
    </row>
    <row r="301" spans="2:8">
      <c r="B301" s="557">
        <v>273</v>
      </c>
      <c r="C301" s="558">
        <f t="shared" si="21"/>
        <v>273</v>
      </c>
      <c r="D301" s="559">
        <f t="shared" ca="1" si="25"/>
        <v>1140995.2866524199</v>
      </c>
      <c r="E301" s="559">
        <f t="shared" ca="1" si="22"/>
        <v>5467.2690818761848</v>
      </c>
      <c r="F301" s="559">
        <f t="shared" ca="1" si="23"/>
        <v>10454.352356641219</v>
      </c>
      <c r="G301" s="560">
        <f t="shared" ca="1" si="24"/>
        <v>1130540.9342957786</v>
      </c>
    </row>
    <row r="302" spans="2:8">
      <c r="B302" s="557">
        <v>274</v>
      </c>
      <c r="C302" s="558">
        <f t="shared" si="21"/>
        <v>274</v>
      </c>
      <c r="D302" s="559">
        <f t="shared" ca="1" si="25"/>
        <v>1130540.9342957786</v>
      </c>
      <c r="E302" s="559">
        <f t="shared" ca="1" si="22"/>
        <v>5417.1753101672775</v>
      </c>
      <c r="F302" s="559">
        <f t="shared" ca="1" si="23"/>
        <v>10504.446128350124</v>
      </c>
      <c r="G302" s="560">
        <f t="shared" ca="1" si="24"/>
        <v>1120036.4881674284</v>
      </c>
    </row>
    <row r="303" spans="2:8">
      <c r="B303" s="557">
        <v>275</v>
      </c>
      <c r="C303" s="558">
        <f t="shared" si="21"/>
        <v>275</v>
      </c>
      <c r="D303" s="559">
        <f t="shared" ca="1" si="25"/>
        <v>1120036.4881674284</v>
      </c>
      <c r="E303" s="559">
        <f t="shared" ca="1" si="22"/>
        <v>5366.8415058022674</v>
      </c>
      <c r="F303" s="559">
        <f t="shared" ca="1" si="23"/>
        <v>10554.779932715135</v>
      </c>
      <c r="G303" s="560">
        <f t="shared" ca="1" si="24"/>
        <v>1109481.7082347132</v>
      </c>
    </row>
    <row r="304" spans="2:8">
      <c r="B304" s="562">
        <v>276</v>
      </c>
      <c r="C304" s="563">
        <f t="shared" si="21"/>
        <v>276</v>
      </c>
      <c r="D304" s="564">
        <f t="shared" ca="1" si="25"/>
        <v>1109481.7082347132</v>
      </c>
      <c r="E304" s="564">
        <f t="shared" ca="1" si="22"/>
        <v>5316.2665186246732</v>
      </c>
      <c r="F304" s="564">
        <f t="shared" ca="1" si="23"/>
        <v>10605.354919892727</v>
      </c>
      <c r="G304" s="565">
        <f t="shared" ca="1" si="24"/>
        <v>1098876.3533148204</v>
      </c>
      <c r="H304" s="561"/>
    </row>
    <row r="305" spans="2:8">
      <c r="B305" s="574">
        <v>277</v>
      </c>
      <c r="C305" s="575">
        <f t="shared" si="21"/>
        <v>277</v>
      </c>
      <c r="D305" s="576">
        <f t="shared" ca="1" si="25"/>
        <v>1098876.3533148204</v>
      </c>
      <c r="E305" s="576">
        <f t="shared" ca="1" si="22"/>
        <v>5265.4491929668538</v>
      </c>
      <c r="F305" s="576">
        <f t="shared" ca="1" si="23"/>
        <v>10656.172245550548</v>
      </c>
      <c r="G305" s="577">
        <f t="shared" ca="1" si="24"/>
        <v>1088220.18106927</v>
      </c>
    </row>
    <row r="306" spans="2:8">
      <c r="B306" s="566">
        <v>278</v>
      </c>
      <c r="C306" s="567">
        <f t="shared" si="21"/>
        <v>278</v>
      </c>
      <c r="D306" s="568">
        <f t="shared" ca="1" si="25"/>
        <v>1088220.18106927</v>
      </c>
      <c r="E306" s="568">
        <f t="shared" ca="1" si="22"/>
        <v>5214.3883676235919</v>
      </c>
      <c r="F306" s="568">
        <f t="shared" ca="1" si="23"/>
        <v>10707.233070893812</v>
      </c>
      <c r="G306" s="569">
        <f t="shared" ca="1" si="24"/>
        <v>1077512.9479983761</v>
      </c>
    </row>
    <row r="307" spans="2:8">
      <c r="B307" s="566">
        <v>279</v>
      </c>
      <c r="C307" s="567">
        <f t="shared" si="21"/>
        <v>279</v>
      </c>
      <c r="D307" s="568">
        <f t="shared" ca="1" si="25"/>
        <v>1077512.9479983761</v>
      </c>
      <c r="E307" s="568">
        <f t="shared" ca="1" si="22"/>
        <v>5163.0828758255584</v>
      </c>
      <c r="F307" s="568">
        <f t="shared" ca="1" si="23"/>
        <v>10758.538562691841</v>
      </c>
      <c r="G307" s="569">
        <f t="shared" ca="1" si="24"/>
        <v>1066754.4094356843</v>
      </c>
    </row>
    <row r="308" spans="2:8">
      <c r="B308" s="566">
        <v>280</v>
      </c>
      <c r="C308" s="567">
        <f t="shared" si="21"/>
        <v>280</v>
      </c>
      <c r="D308" s="568">
        <f t="shared" ca="1" si="25"/>
        <v>1066754.4094356843</v>
      </c>
      <c r="E308" s="568">
        <f t="shared" ca="1" si="22"/>
        <v>5111.5315452126606</v>
      </c>
      <c r="F308" s="568">
        <f t="shared" ca="1" si="23"/>
        <v>10810.089893304741</v>
      </c>
      <c r="G308" s="569">
        <f t="shared" ca="1" si="24"/>
        <v>1055944.3195423796</v>
      </c>
    </row>
    <row r="309" spans="2:8">
      <c r="B309" s="566">
        <v>281</v>
      </c>
      <c r="C309" s="567">
        <f t="shared" si="21"/>
        <v>281</v>
      </c>
      <c r="D309" s="568">
        <f t="shared" ca="1" si="25"/>
        <v>1055944.3195423796</v>
      </c>
      <c r="E309" s="568">
        <f t="shared" ca="1" si="22"/>
        <v>5059.7331978072416</v>
      </c>
      <c r="F309" s="568">
        <f t="shared" ca="1" si="23"/>
        <v>10861.888240710159</v>
      </c>
      <c r="G309" s="569">
        <f t="shared" ca="1" si="24"/>
        <v>1045082.4313016695</v>
      </c>
    </row>
    <row r="310" spans="2:8">
      <c r="B310" s="566">
        <v>282</v>
      </c>
      <c r="C310" s="567">
        <f t="shared" si="21"/>
        <v>282</v>
      </c>
      <c r="D310" s="568">
        <f t="shared" ca="1" si="25"/>
        <v>1045082.4313016695</v>
      </c>
      <c r="E310" s="568">
        <f t="shared" ca="1" si="22"/>
        <v>5007.686649987173</v>
      </c>
      <c r="F310" s="568">
        <f t="shared" ca="1" si="23"/>
        <v>10913.934788530229</v>
      </c>
      <c r="G310" s="569">
        <f t="shared" ca="1" si="24"/>
        <v>1034168.4965131392</v>
      </c>
    </row>
    <row r="311" spans="2:8">
      <c r="B311" s="566">
        <v>283</v>
      </c>
      <c r="C311" s="567">
        <f t="shared" si="21"/>
        <v>283</v>
      </c>
      <c r="D311" s="568">
        <f t="shared" ca="1" si="25"/>
        <v>1034168.4965131392</v>
      </c>
      <c r="E311" s="568">
        <f t="shared" ca="1" si="22"/>
        <v>4955.3907124587986</v>
      </c>
      <c r="F311" s="568">
        <f t="shared" ca="1" si="23"/>
        <v>10966.230726058602</v>
      </c>
      <c r="G311" s="569">
        <f t="shared" ca="1" si="24"/>
        <v>1023202.2657870806</v>
      </c>
    </row>
    <row r="312" spans="2:8">
      <c r="B312" s="566">
        <v>284</v>
      </c>
      <c r="C312" s="567">
        <f t="shared" si="21"/>
        <v>284</v>
      </c>
      <c r="D312" s="568">
        <f t="shared" ca="1" si="25"/>
        <v>1023202.2657870806</v>
      </c>
      <c r="E312" s="568">
        <f t="shared" ca="1" si="22"/>
        <v>4902.8441902297673</v>
      </c>
      <c r="F312" s="568">
        <f t="shared" ca="1" si="23"/>
        <v>11018.777248287633</v>
      </c>
      <c r="G312" s="569">
        <f t="shared" ca="1" si="24"/>
        <v>1012183.4885387929</v>
      </c>
    </row>
    <row r="313" spans="2:8">
      <c r="B313" s="566">
        <v>285</v>
      </c>
      <c r="C313" s="567">
        <f t="shared" si="21"/>
        <v>285</v>
      </c>
      <c r="D313" s="568">
        <f t="shared" ca="1" si="25"/>
        <v>1012183.4885387929</v>
      </c>
      <c r="E313" s="568">
        <f t="shared" ca="1" si="22"/>
        <v>4850.0458825817223</v>
      </c>
      <c r="F313" s="568">
        <f t="shared" ca="1" si="23"/>
        <v>11071.57555593568</v>
      </c>
      <c r="G313" s="569">
        <f t="shared" ca="1" si="24"/>
        <v>1001111.9129828572</v>
      </c>
    </row>
    <row r="314" spans="2:8">
      <c r="B314" s="566">
        <v>286</v>
      </c>
      <c r="C314" s="567">
        <f t="shared" si="21"/>
        <v>286</v>
      </c>
      <c r="D314" s="568">
        <f t="shared" ca="1" si="25"/>
        <v>1001111.9129828572</v>
      </c>
      <c r="E314" s="568">
        <f t="shared" ca="1" si="22"/>
        <v>4796.9945830428642</v>
      </c>
      <c r="F314" s="568">
        <f t="shared" ca="1" si="23"/>
        <v>11124.626855474537</v>
      </c>
      <c r="G314" s="569">
        <f t="shared" ca="1" si="24"/>
        <v>989987.28612738266</v>
      </c>
    </row>
    <row r="315" spans="2:8">
      <c r="B315" s="566">
        <v>287</v>
      </c>
      <c r="C315" s="567">
        <f t="shared" si="21"/>
        <v>287</v>
      </c>
      <c r="D315" s="568">
        <f t="shared" ca="1" si="25"/>
        <v>989987.28612738266</v>
      </c>
      <c r="E315" s="568">
        <f t="shared" ca="1" si="22"/>
        <v>4743.6890793603816</v>
      </c>
      <c r="F315" s="568">
        <f t="shared" ca="1" si="23"/>
        <v>11177.932359157019</v>
      </c>
      <c r="G315" s="569">
        <f t="shared" ca="1" si="24"/>
        <v>978809.35376822564</v>
      </c>
    </row>
    <row r="316" spans="2:8">
      <c r="B316" s="570">
        <v>288</v>
      </c>
      <c r="C316" s="571">
        <f t="shared" si="21"/>
        <v>288</v>
      </c>
      <c r="D316" s="572">
        <f t="shared" ca="1" si="25"/>
        <v>978809.35376822564</v>
      </c>
      <c r="E316" s="572">
        <f t="shared" ca="1" si="22"/>
        <v>4690.1281534727541</v>
      </c>
      <c r="F316" s="572">
        <f t="shared" ca="1" si="23"/>
        <v>11231.493285044648</v>
      </c>
      <c r="G316" s="573">
        <f t="shared" ca="1" si="24"/>
        <v>967577.86048318096</v>
      </c>
      <c r="H316" s="561"/>
    </row>
    <row r="317" spans="2:8">
      <c r="B317" s="553">
        <v>289</v>
      </c>
      <c r="C317" s="554">
        <f t="shared" si="21"/>
        <v>289</v>
      </c>
      <c r="D317" s="555">
        <f t="shared" ca="1" si="25"/>
        <v>967577.86048318096</v>
      </c>
      <c r="E317" s="555">
        <f t="shared" ca="1" si="22"/>
        <v>4636.3105814819155</v>
      </c>
      <c r="F317" s="555">
        <f t="shared" ca="1" si="23"/>
        <v>11285.310857035487</v>
      </c>
      <c r="G317" s="556">
        <f t="shared" ca="1" si="24"/>
        <v>956292.54962614551</v>
      </c>
    </row>
    <row r="318" spans="2:8">
      <c r="B318" s="557">
        <v>290</v>
      </c>
      <c r="C318" s="558">
        <f t="shared" si="21"/>
        <v>290</v>
      </c>
      <c r="D318" s="559">
        <f t="shared" ca="1" si="25"/>
        <v>956292.54962614551</v>
      </c>
      <c r="E318" s="559">
        <f t="shared" ca="1" si="22"/>
        <v>4582.2351336252868</v>
      </c>
      <c r="F318" s="559">
        <f t="shared" ca="1" si="23"/>
        <v>11339.386304892114</v>
      </c>
      <c r="G318" s="560">
        <f t="shared" ca="1" si="24"/>
        <v>944953.16332125338</v>
      </c>
    </row>
    <row r="319" spans="2:8">
      <c r="B319" s="557">
        <v>291</v>
      </c>
      <c r="C319" s="558">
        <f t="shared" si="21"/>
        <v>291</v>
      </c>
      <c r="D319" s="559">
        <f t="shared" ca="1" si="25"/>
        <v>944953.16332125338</v>
      </c>
      <c r="E319" s="559">
        <f t="shared" ca="1" si="22"/>
        <v>4527.9005742476784</v>
      </c>
      <c r="F319" s="559">
        <f t="shared" ca="1" si="23"/>
        <v>11393.720864269721</v>
      </c>
      <c r="G319" s="560">
        <f t="shared" ca="1" si="24"/>
        <v>933559.44245698361</v>
      </c>
    </row>
    <row r="320" spans="2:8">
      <c r="B320" s="557">
        <v>292</v>
      </c>
      <c r="C320" s="558">
        <f t="shared" si="21"/>
        <v>292</v>
      </c>
      <c r="D320" s="559">
        <f t="shared" ca="1" si="25"/>
        <v>933559.44245698361</v>
      </c>
      <c r="E320" s="559">
        <f t="shared" ca="1" si="22"/>
        <v>4473.3056617730526</v>
      </c>
      <c r="F320" s="559">
        <f t="shared" ca="1" si="23"/>
        <v>11448.315776744348</v>
      </c>
      <c r="G320" s="560">
        <f t="shared" ca="1" si="24"/>
        <v>922111.12668023922</v>
      </c>
    </row>
    <row r="321" spans="2:8">
      <c r="B321" s="557">
        <v>293</v>
      </c>
      <c r="C321" s="558">
        <f t="shared" si="21"/>
        <v>293</v>
      </c>
      <c r="D321" s="559">
        <f t="shared" ca="1" si="25"/>
        <v>922111.12668023922</v>
      </c>
      <c r="E321" s="559">
        <f t="shared" ca="1" si="22"/>
        <v>4418.4491486761535</v>
      </c>
      <c r="F321" s="559">
        <f t="shared" ca="1" si="23"/>
        <v>11503.172289841248</v>
      </c>
      <c r="G321" s="560">
        <f t="shared" ca="1" si="24"/>
        <v>910607.95439039799</v>
      </c>
    </row>
    <row r="322" spans="2:8">
      <c r="B322" s="557">
        <v>294</v>
      </c>
      <c r="C322" s="558">
        <f t="shared" si="21"/>
        <v>294</v>
      </c>
      <c r="D322" s="559">
        <f t="shared" ca="1" si="25"/>
        <v>910607.95439039799</v>
      </c>
      <c r="E322" s="559">
        <f t="shared" ca="1" si="22"/>
        <v>4363.3297814539974</v>
      </c>
      <c r="F322" s="559">
        <f t="shared" ca="1" si="23"/>
        <v>11558.291657063402</v>
      </c>
      <c r="G322" s="560">
        <f t="shared" ca="1" si="24"/>
        <v>899049.66273333458</v>
      </c>
    </row>
    <row r="323" spans="2:8">
      <c r="B323" s="557">
        <v>295</v>
      </c>
      <c r="C323" s="558">
        <f t="shared" si="21"/>
        <v>295</v>
      </c>
      <c r="D323" s="559">
        <f t="shared" ca="1" si="25"/>
        <v>899049.66273333458</v>
      </c>
      <c r="E323" s="559">
        <f t="shared" ca="1" si="22"/>
        <v>4307.9463005972348</v>
      </c>
      <c r="F323" s="559">
        <f t="shared" ca="1" si="23"/>
        <v>11613.675137920165</v>
      </c>
      <c r="G323" s="560">
        <f t="shared" ca="1" si="24"/>
        <v>887435.98759541439</v>
      </c>
    </row>
    <row r="324" spans="2:8">
      <c r="B324" s="557">
        <v>296</v>
      </c>
      <c r="C324" s="558">
        <f t="shared" si="21"/>
        <v>296</v>
      </c>
      <c r="D324" s="559">
        <f t="shared" ca="1" si="25"/>
        <v>887435.98759541439</v>
      </c>
      <c r="E324" s="559">
        <f t="shared" ca="1" si="22"/>
        <v>4252.2974405613677</v>
      </c>
      <c r="F324" s="559">
        <f t="shared" ca="1" si="23"/>
        <v>11669.323997956033</v>
      </c>
      <c r="G324" s="560">
        <f t="shared" ca="1" si="24"/>
        <v>875766.66359745839</v>
      </c>
    </row>
    <row r="325" spans="2:8">
      <c r="B325" s="557">
        <v>297</v>
      </c>
      <c r="C325" s="558">
        <f t="shared" si="21"/>
        <v>297</v>
      </c>
      <c r="D325" s="559">
        <f t="shared" ca="1" si="25"/>
        <v>875766.66359745839</v>
      </c>
      <c r="E325" s="559">
        <f t="shared" ca="1" si="22"/>
        <v>4196.3819297378277</v>
      </c>
      <c r="F325" s="559">
        <f t="shared" ca="1" si="23"/>
        <v>11725.239508779572</v>
      </c>
      <c r="G325" s="560">
        <f t="shared" ca="1" si="24"/>
        <v>864041.42408867879</v>
      </c>
    </row>
    <row r="326" spans="2:8">
      <c r="B326" s="557">
        <v>298</v>
      </c>
      <c r="C326" s="558">
        <f t="shared" si="21"/>
        <v>298</v>
      </c>
      <c r="D326" s="559">
        <f t="shared" ca="1" si="25"/>
        <v>864041.42408867879</v>
      </c>
      <c r="E326" s="559">
        <f t="shared" ca="1" si="22"/>
        <v>4140.1984904249257</v>
      </c>
      <c r="F326" s="559">
        <f t="shared" ca="1" si="23"/>
        <v>11781.422948092475</v>
      </c>
      <c r="G326" s="560">
        <f t="shared" ca="1" si="24"/>
        <v>852260.00114058633</v>
      </c>
    </row>
    <row r="327" spans="2:8">
      <c r="B327" s="557">
        <v>299</v>
      </c>
      <c r="C327" s="558">
        <f t="shared" si="21"/>
        <v>299</v>
      </c>
      <c r="D327" s="559">
        <f t="shared" ca="1" si="25"/>
        <v>852260.00114058633</v>
      </c>
      <c r="E327" s="559">
        <f t="shared" ca="1" si="22"/>
        <v>4083.7458387986499</v>
      </c>
      <c r="F327" s="559">
        <f t="shared" ca="1" si="23"/>
        <v>11837.875599718749</v>
      </c>
      <c r="G327" s="560">
        <f t="shared" ca="1" si="24"/>
        <v>840422.12554086756</v>
      </c>
    </row>
    <row r="328" spans="2:8">
      <c r="B328" s="562">
        <v>300</v>
      </c>
      <c r="C328" s="563">
        <f t="shared" si="21"/>
        <v>300</v>
      </c>
      <c r="D328" s="564">
        <f t="shared" ca="1" si="25"/>
        <v>840422.12554086756</v>
      </c>
      <c r="E328" s="564">
        <f t="shared" ca="1" si="22"/>
        <v>4027.0226848833308</v>
      </c>
      <c r="F328" s="564">
        <f t="shared" ca="1" si="23"/>
        <v>11894.598753634071</v>
      </c>
      <c r="G328" s="565">
        <f t="shared" ca="1" si="24"/>
        <v>828527.52678723354</v>
      </c>
      <c r="H328" s="561"/>
    </row>
    <row r="329" spans="2:8">
      <c r="B329" s="574">
        <v>301</v>
      </c>
      <c r="C329" s="575">
        <f t="shared" si="21"/>
        <v>301</v>
      </c>
      <c r="D329" s="576">
        <f t="shared" ca="1" si="25"/>
        <v>828527.52678723354</v>
      </c>
      <c r="E329" s="576">
        <f t="shared" ca="1" si="22"/>
        <v>3970.0277325221668</v>
      </c>
      <c r="F329" s="576">
        <f t="shared" ca="1" si="23"/>
        <v>11951.593705995234</v>
      </c>
      <c r="G329" s="577">
        <f t="shared" ca="1" si="24"/>
        <v>816575.9330812383</v>
      </c>
    </row>
    <row r="330" spans="2:8">
      <c r="B330" s="566">
        <v>302</v>
      </c>
      <c r="C330" s="567">
        <f t="shared" si="21"/>
        <v>302</v>
      </c>
      <c r="D330" s="568">
        <f t="shared" ca="1" si="25"/>
        <v>816575.9330812383</v>
      </c>
      <c r="E330" s="568">
        <f t="shared" ca="1" si="22"/>
        <v>3912.7596793476068</v>
      </c>
      <c r="F330" s="568">
        <f t="shared" ca="1" si="23"/>
        <v>12008.861759169795</v>
      </c>
      <c r="G330" s="569">
        <f t="shared" ca="1" si="24"/>
        <v>804567.07132206846</v>
      </c>
    </row>
    <row r="331" spans="2:8">
      <c r="B331" s="566">
        <v>303</v>
      </c>
      <c r="C331" s="567">
        <f t="shared" si="21"/>
        <v>303</v>
      </c>
      <c r="D331" s="568">
        <f t="shared" ca="1" si="25"/>
        <v>804567.07132206846</v>
      </c>
      <c r="E331" s="568">
        <f t="shared" ca="1" si="22"/>
        <v>3855.2172167515851</v>
      </c>
      <c r="F331" s="568">
        <f t="shared" ca="1" si="23"/>
        <v>12066.404221765817</v>
      </c>
      <c r="G331" s="569">
        <f t="shared" ca="1" si="24"/>
        <v>792500.66710030264</v>
      </c>
    </row>
    <row r="332" spans="2:8">
      <c r="B332" s="566">
        <v>304</v>
      </c>
      <c r="C332" s="567">
        <f t="shared" si="21"/>
        <v>304</v>
      </c>
      <c r="D332" s="568">
        <f t="shared" ca="1" si="25"/>
        <v>792500.66710030264</v>
      </c>
      <c r="E332" s="568">
        <f t="shared" ca="1" si="22"/>
        <v>3797.3990298556246</v>
      </c>
      <c r="F332" s="568">
        <f t="shared" ca="1" si="23"/>
        <v>12124.222408661779</v>
      </c>
      <c r="G332" s="569">
        <f t="shared" ca="1" si="24"/>
        <v>780376.44469164091</v>
      </c>
    </row>
    <row r="333" spans="2:8">
      <c r="B333" s="566">
        <v>305</v>
      </c>
      <c r="C333" s="567">
        <f t="shared" si="21"/>
        <v>305</v>
      </c>
      <c r="D333" s="568">
        <f t="shared" ca="1" si="25"/>
        <v>780376.44469164091</v>
      </c>
      <c r="E333" s="568">
        <f t="shared" ca="1" si="22"/>
        <v>3739.3037974807853</v>
      </c>
      <c r="F333" s="568">
        <f t="shared" ca="1" si="23"/>
        <v>12182.317641036616</v>
      </c>
      <c r="G333" s="569">
        <f t="shared" ca="1" si="24"/>
        <v>768194.12705060432</v>
      </c>
    </row>
    <row r="334" spans="2:8">
      <c r="B334" s="566">
        <v>306</v>
      </c>
      <c r="C334" s="567">
        <f t="shared" si="21"/>
        <v>306</v>
      </c>
      <c r="D334" s="568">
        <f t="shared" ca="1" si="25"/>
        <v>768194.12705060432</v>
      </c>
      <c r="E334" s="568">
        <f t="shared" ca="1" si="22"/>
        <v>3680.9301921174856</v>
      </c>
      <c r="F334" s="568">
        <f t="shared" ca="1" si="23"/>
        <v>12240.691246399916</v>
      </c>
      <c r="G334" s="569">
        <f t="shared" ca="1" si="24"/>
        <v>755953.43580420443</v>
      </c>
    </row>
    <row r="335" spans="2:8">
      <c r="B335" s="566">
        <v>307</v>
      </c>
      <c r="C335" s="567">
        <f t="shared" si="21"/>
        <v>307</v>
      </c>
      <c r="D335" s="568">
        <f t="shared" ca="1" si="25"/>
        <v>755953.43580420443</v>
      </c>
      <c r="E335" s="568">
        <f t="shared" ca="1" si="22"/>
        <v>3622.2768798951529</v>
      </c>
      <c r="F335" s="568">
        <f t="shared" ca="1" si="23"/>
        <v>12299.344558622248</v>
      </c>
      <c r="G335" s="569">
        <f t="shared" ca="1" si="24"/>
        <v>743654.09124558221</v>
      </c>
    </row>
    <row r="336" spans="2:8">
      <c r="B336" s="566">
        <v>308</v>
      </c>
      <c r="C336" s="567">
        <f t="shared" si="21"/>
        <v>308</v>
      </c>
      <c r="D336" s="568">
        <f t="shared" ca="1" si="25"/>
        <v>743654.09124558221</v>
      </c>
      <c r="E336" s="568">
        <f t="shared" ca="1" si="22"/>
        <v>3563.3425205517542</v>
      </c>
      <c r="F336" s="568">
        <f t="shared" ca="1" si="23"/>
        <v>12358.278917965645</v>
      </c>
      <c r="G336" s="569">
        <f t="shared" ca="1" si="24"/>
        <v>731295.81232761662</v>
      </c>
    </row>
    <row r="337" spans="2:8">
      <c r="B337" s="566">
        <v>309</v>
      </c>
      <c r="C337" s="567">
        <f t="shared" si="21"/>
        <v>309</v>
      </c>
      <c r="D337" s="568">
        <f t="shared" ca="1" si="25"/>
        <v>731295.81232761662</v>
      </c>
      <c r="E337" s="568">
        <f t="shared" ca="1" si="22"/>
        <v>3504.125767403169</v>
      </c>
      <c r="F337" s="568">
        <f t="shared" ca="1" si="23"/>
        <v>12417.495671114231</v>
      </c>
      <c r="G337" s="569">
        <f t="shared" ca="1" si="24"/>
        <v>718878.31665650243</v>
      </c>
    </row>
    <row r="338" spans="2:8">
      <c r="B338" s="566">
        <v>310</v>
      </c>
      <c r="C338" s="567">
        <f t="shared" si="21"/>
        <v>310</v>
      </c>
      <c r="D338" s="568">
        <f t="shared" ca="1" si="25"/>
        <v>718878.31665650243</v>
      </c>
      <c r="E338" s="568">
        <f t="shared" ca="1" si="22"/>
        <v>3444.6252673124136</v>
      </c>
      <c r="F338" s="568">
        <f t="shared" ca="1" si="23"/>
        <v>12476.996171204986</v>
      </c>
      <c r="G338" s="569">
        <f t="shared" ca="1" si="24"/>
        <v>706401.32048529747</v>
      </c>
    </row>
    <row r="339" spans="2:8">
      <c r="B339" s="566">
        <v>311</v>
      </c>
      <c r="C339" s="567">
        <f t="shared" si="21"/>
        <v>311</v>
      </c>
      <c r="D339" s="568">
        <f t="shared" ca="1" si="25"/>
        <v>706401.32048529747</v>
      </c>
      <c r="E339" s="568">
        <f t="shared" ca="1" si="22"/>
        <v>3384.839660658723</v>
      </c>
      <c r="F339" s="568">
        <f t="shared" ca="1" si="23"/>
        <v>12536.781777858678</v>
      </c>
      <c r="G339" s="569">
        <f t="shared" ca="1" si="24"/>
        <v>693864.53870743874</v>
      </c>
    </row>
    <row r="340" spans="2:8">
      <c r="B340" s="570">
        <v>312</v>
      </c>
      <c r="C340" s="571">
        <f t="shared" si="21"/>
        <v>312</v>
      </c>
      <c r="D340" s="572">
        <f t="shared" ca="1" si="25"/>
        <v>693864.53870743874</v>
      </c>
      <c r="E340" s="572">
        <f t="shared" ca="1" si="22"/>
        <v>3324.7675813064834</v>
      </c>
      <c r="F340" s="572">
        <f t="shared" ca="1" si="23"/>
        <v>12596.853857210919</v>
      </c>
      <c r="G340" s="573">
        <f t="shared" ca="1" si="24"/>
        <v>681267.68485022779</v>
      </c>
      <c r="H340" s="561"/>
    </row>
    <row r="341" spans="2:8">
      <c r="B341" s="553">
        <v>313</v>
      </c>
      <c r="C341" s="554">
        <f t="shared" si="21"/>
        <v>313</v>
      </c>
      <c r="D341" s="555">
        <f t="shared" ca="1" si="25"/>
        <v>681267.68485022779</v>
      </c>
      <c r="E341" s="555">
        <f t="shared" ca="1" si="22"/>
        <v>3264.4076565740143</v>
      </c>
      <c r="F341" s="555">
        <f t="shared" ca="1" si="23"/>
        <v>12657.213781943386</v>
      </c>
      <c r="G341" s="556">
        <f t="shared" ca="1" si="24"/>
        <v>668610.47106828436</v>
      </c>
    </row>
    <row r="342" spans="2:8">
      <c r="B342" s="557">
        <v>314</v>
      </c>
      <c r="C342" s="558">
        <f t="shared" si="21"/>
        <v>314</v>
      </c>
      <c r="D342" s="559">
        <f t="shared" ca="1" si="25"/>
        <v>668610.47106828436</v>
      </c>
      <c r="E342" s="559">
        <f t="shared" ca="1" si="22"/>
        <v>3203.7585072022025</v>
      </c>
      <c r="F342" s="559">
        <f t="shared" ca="1" si="23"/>
        <v>12717.8629313152</v>
      </c>
      <c r="G342" s="560">
        <f t="shared" ca="1" si="24"/>
        <v>655892.60813696915</v>
      </c>
    </row>
    <row r="343" spans="2:8">
      <c r="B343" s="557">
        <v>315</v>
      </c>
      <c r="C343" s="558">
        <f t="shared" si="21"/>
        <v>315</v>
      </c>
      <c r="D343" s="559">
        <f t="shared" ca="1" si="25"/>
        <v>655892.60813696915</v>
      </c>
      <c r="E343" s="559">
        <f t="shared" ca="1" si="22"/>
        <v>3142.8187473229837</v>
      </c>
      <c r="F343" s="559">
        <f t="shared" ca="1" si="23"/>
        <v>12778.802691194416</v>
      </c>
      <c r="G343" s="560">
        <f t="shared" ca="1" si="24"/>
        <v>643113.80544577469</v>
      </c>
    </row>
    <row r="344" spans="2:8">
      <c r="B344" s="557">
        <v>316</v>
      </c>
      <c r="C344" s="558">
        <f t="shared" si="21"/>
        <v>316</v>
      </c>
      <c r="D344" s="559">
        <f t="shared" ca="1" si="25"/>
        <v>643113.80544577469</v>
      </c>
      <c r="E344" s="559">
        <f t="shared" ca="1" si="22"/>
        <v>3081.5869844276767</v>
      </c>
      <c r="F344" s="559">
        <f t="shared" ca="1" si="23"/>
        <v>12840.034454089724</v>
      </c>
      <c r="G344" s="560">
        <f t="shared" ca="1" si="24"/>
        <v>630273.77099168499</v>
      </c>
    </row>
    <row r="345" spans="2:8">
      <c r="B345" s="557">
        <v>317</v>
      </c>
      <c r="C345" s="558">
        <f t="shared" si="21"/>
        <v>317</v>
      </c>
      <c r="D345" s="559">
        <f t="shared" ca="1" si="25"/>
        <v>630273.77099168499</v>
      </c>
      <c r="E345" s="559">
        <f t="shared" ca="1" si="22"/>
        <v>3020.0618193351638</v>
      </c>
      <c r="F345" s="559">
        <f t="shared" ca="1" si="23"/>
        <v>12901.559619182237</v>
      </c>
      <c r="G345" s="560">
        <f t="shared" ca="1" si="24"/>
        <v>617372.21137250273</v>
      </c>
    </row>
    <row r="346" spans="2:8">
      <c r="B346" s="557">
        <v>318</v>
      </c>
      <c r="C346" s="558">
        <f t="shared" si="21"/>
        <v>318</v>
      </c>
      <c r="D346" s="559">
        <f t="shared" ca="1" si="25"/>
        <v>617372.21137250273</v>
      </c>
      <c r="E346" s="559">
        <f t="shared" ca="1" si="22"/>
        <v>2958.2418461599154</v>
      </c>
      <c r="F346" s="559">
        <f t="shared" ca="1" si="23"/>
        <v>12963.379592357485</v>
      </c>
      <c r="G346" s="560">
        <f t="shared" ca="1" si="24"/>
        <v>604408.83178014529</v>
      </c>
    </row>
    <row r="347" spans="2:8">
      <c r="B347" s="557">
        <v>319</v>
      </c>
      <c r="C347" s="558">
        <f t="shared" si="21"/>
        <v>319</v>
      </c>
      <c r="D347" s="559">
        <f t="shared" ca="1" si="25"/>
        <v>604408.83178014529</v>
      </c>
      <c r="E347" s="559">
        <f t="shared" ca="1" si="22"/>
        <v>2896.1256522798699</v>
      </c>
      <c r="F347" s="559">
        <f t="shared" ca="1" si="23"/>
        <v>13025.49578623753</v>
      </c>
      <c r="G347" s="560">
        <f t="shared" ca="1" si="24"/>
        <v>591383.33599390776</v>
      </c>
    </row>
    <row r="348" spans="2:8">
      <c r="B348" s="557">
        <v>320</v>
      </c>
      <c r="C348" s="558">
        <f t="shared" si="21"/>
        <v>320</v>
      </c>
      <c r="D348" s="559">
        <f t="shared" ca="1" si="25"/>
        <v>591383.33599390776</v>
      </c>
      <c r="E348" s="559">
        <f t="shared" ca="1" si="22"/>
        <v>2833.7118183041484</v>
      </c>
      <c r="F348" s="559">
        <f t="shared" ca="1" si="23"/>
        <v>13087.909620213251</v>
      </c>
      <c r="G348" s="560">
        <f t="shared" ca="1" si="24"/>
        <v>578295.42637369456</v>
      </c>
    </row>
    <row r="349" spans="2:8">
      <c r="B349" s="557">
        <v>321</v>
      </c>
      <c r="C349" s="558">
        <f t="shared" ref="C349:C388" si="26">IF(C$9*12&gt;=B349,"I/O",B349-(C$9*12))</f>
        <v>321</v>
      </c>
      <c r="D349" s="559">
        <f t="shared" ca="1" si="25"/>
        <v>578295.42637369456</v>
      </c>
      <c r="E349" s="559">
        <f t="shared" ref="E349:E388" ca="1" si="27">IF(C349="I/O",C$5*C$6/12,-IPMT(C$6/12,C349,C$8*12,C$5))</f>
        <v>2770.998918040626</v>
      </c>
      <c r="F349" s="559">
        <f t="shared" ref="F349:F388" ca="1" si="28">IF(C349&lt;&gt;"I/O",-PPMT(C$6/12,C349,C$8*12,C$5),0)</f>
        <v>13150.622520476776</v>
      </c>
      <c r="G349" s="560">
        <f t="shared" ref="G349:G388" ca="1" si="29">D349-F349</f>
        <v>565144.80385321775</v>
      </c>
    </row>
    <row r="350" spans="2:8">
      <c r="B350" s="557">
        <v>322</v>
      </c>
      <c r="C350" s="558">
        <f t="shared" si="26"/>
        <v>322</v>
      </c>
      <c r="D350" s="559">
        <f t="shared" ref="D350:D388" ca="1" si="30">G349</f>
        <v>565144.80385321775</v>
      </c>
      <c r="E350" s="559">
        <f t="shared" ca="1" si="27"/>
        <v>2707.9855184633407</v>
      </c>
      <c r="F350" s="559">
        <f t="shared" ca="1" si="28"/>
        <v>13213.635920054061</v>
      </c>
      <c r="G350" s="560">
        <f t="shared" ca="1" si="29"/>
        <v>551931.1679331637</v>
      </c>
    </row>
    <row r="351" spans="2:8">
      <c r="B351" s="557">
        <v>323</v>
      </c>
      <c r="C351" s="558">
        <f t="shared" si="26"/>
        <v>323</v>
      </c>
      <c r="D351" s="559">
        <f t="shared" ca="1" si="30"/>
        <v>551931.1679331637</v>
      </c>
      <c r="E351" s="559">
        <f t="shared" ca="1" si="27"/>
        <v>2644.6701796797488</v>
      </c>
      <c r="F351" s="559">
        <f t="shared" ca="1" si="28"/>
        <v>13276.951258837651</v>
      </c>
      <c r="G351" s="560">
        <f t="shared" ca="1" si="29"/>
        <v>538654.2166743261</v>
      </c>
    </row>
    <row r="352" spans="2:8">
      <c r="B352" s="562">
        <v>324</v>
      </c>
      <c r="C352" s="563">
        <f t="shared" si="26"/>
        <v>324</v>
      </c>
      <c r="D352" s="564">
        <f t="shared" ca="1" si="30"/>
        <v>538654.2166743261</v>
      </c>
      <c r="E352" s="564">
        <f t="shared" ca="1" si="27"/>
        <v>2581.0514548978185</v>
      </c>
      <c r="F352" s="564">
        <f t="shared" ca="1" si="28"/>
        <v>13340.569983619582</v>
      </c>
      <c r="G352" s="565">
        <f t="shared" ca="1" si="29"/>
        <v>525313.64669070649</v>
      </c>
      <c r="H352" s="561"/>
    </row>
    <row r="353" spans="2:8">
      <c r="B353" s="574">
        <v>325</v>
      </c>
      <c r="C353" s="575">
        <f t="shared" si="26"/>
        <v>325</v>
      </c>
      <c r="D353" s="576">
        <f t="shared" ca="1" si="30"/>
        <v>525313.64669070649</v>
      </c>
      <c r="E353" s="576">
        <f t="shared" ca="1" si="27"/>
        <v>2517.1278903929751</v>
      </c>
      <c r="F353" s="576">
        <f t="shared" ca="1" si="28"/>
        <v>13404.493548124427</v>
      </c>
      <c r="G353" s="577">
        <f t="shared" ca="1" si="29"/>
        <v>511909.15314258204</v>
      </c>
    </row>
    <row r="354" spans="2:8">
      <c r="B354" s="566">
        <v>326</v>
      </c>
      <c r="C354" s="567">
        <f t="shared" si="26"/>
        <v>326</v>
      </c>
      <c r="D354" s="568">
        <f t="shared" ca="1" si="30"/>
        <v>511909.15314258204</v>
      </c>
      <c r="E354" s="568">
        <f t="shared" ca="1" si="27"/>
        <v>2452.8980254748785</v>
      </c>
      <c r="F354" s="568">
        <f t="shared" ca="1" si="28"/>
        <v>13468.723413042524</v>
      </c>
      <c r="G354" s="569">
        <f t="shared" ca="1" si="29"/>
        <v>498440.42972953949</v>
      </c>
    </row>
    <row r="355" spans="2:8">
      <c r="B355" s="566">
        <v>327</v>
      </c>
      <c r="C355" s="567">
        <f t="shared" si="26"/>
        <v>327</v>
      </c>
      <c r="D355" s="568">
        <f t="shared" ca="1" si="30"/>
        <v>498440.42972953949</v>
      </c>
      <c r="E355" s="568">
        <f t="shared" ca="1" si="27"/>
        <v>2388.3603924540498</v>
      </c>
      <c r="F355" s="568">
        <f t="shared" ca="1" si="28"/>
        <v>13533.261046063351</v>
      </c>
      <c r="G355" s="569">
        <f t="shared" ca="1" si="29"/>
        <v>484907.16868347616</v>
      </c>
    </row>
    <row r="356" spans="2:8">
      <c r="B356" s="566">
        <v>328</v>
      </c>
      <c r="C356" s="567">
        <f t="shared" si="26"/>
        <v>328</v>
      </c>
      <c r="D356" s="568">
        <f t="shared" ca="1" si="30"/>
        <v>484907.16868347616</v>
      </c>
      <c r="E356" s="568">
        <f t="shared" ca="1" si="27"/>
        <v>2323.5135166083292</v>
      </c>
      <c r="F356" s="568">
        <f t="shared" ca="1" si="28"/>
        <v>13598.107921909072</v>
      </c>
      <c r="G356" s="569">
        <f t="shared" ca="1" si="29"/>
        <v>471309.06076156709</v>
      </c>
    </row>
    <row r="357" spans="2:8">
      <c r="B357" s="566">
        <v>329</v>
      </c>
      <c r="C357" s="567">
        <f t="shared" si="26"/>
        <v>329</v>
      </c>
      <c r="D357" s="568">
        <f t="shared" ca="1" si="30"/>
        <v>471309.06076156709</v>
      </c>
      <c r="E357" s="568">
        <f t="shared" ca="1" si="27"/>
        <v>2258.3559161491821</v>
      </c>
      <c r="F357" s="568">
        <f t="shared" ca="1" si="28"/>
        <v>13663.265522368218</v>
      </c>
      <c r="G357" s="569">
        <f t="shared" ca="1" si="29"/>
        <v>457645.79523919889</v>
      </c>
    </row>
    <row r="358" spans="2:8">
      <c r="B358" s="566">
        <v>330</v>
      </c>
      <c r="C358" s="567">
        <f t="shared" si="26"/>
        <v>330</v>
      </c>
      <c r="D358" s="568">
        <f t="shared" ca="1" si="30"/>
        <v>457645.79523919889</v>
      </c>
      <c r="E358" s="568">
        <f t="shared" ca="1" si="27"/>
        <v>2192.8861021878342</v>
      </c>
      <c r="F358" s="568">
        <f t="shared" ca="1" si="28"/>
        <v>13728.735336329566</v>
      </c>
      <c r="G358" s="569">
        <f t="shared" ca="1" si="29"/>
        <v>443917.05990286934</v>
      </c>
    </row>
    <row r="359" spans="2:8">
      <c r="B359" s="566">
        <v>331</v>
      </c>
      <c r="C359" s="567">
        <f t="shared" si="26"/>
        <v>331</v>
      </c>
      <c r="D359" s="568">
        <f t="shared" ca="1" si="30"/>
        <v>443917.05990286934</v>
      </c>
      <c r="E359" s="568">
        <f t="shared" ca="1" si="27"/>
        <v>2127.102578701255</v>
      </c>
      <c r="F359" s="568">
        <f t="shared" ca="1" si="28"/>
        <v>13794.518859816146</v>
      </c>
      <c r="G359" s="569">
        <f t="shared" ca="1" si="29"/>
        <v>430122.54104305321</v>
      </c>
    </row>
    <row r="360" spans="2:8">
      <c r="B360" s="566">
        <v>332</v>
      </c>
      <c r="C360" s="567">
        <f t="shared" si="26"/>
        <v>332</v>
      </c>
      <c r="D360" s="568">
        <f t="shared" ca="1" si="30"/>
        <v>430122.54104305321</v>
      </c>
      <c r="E360" s="568">
        <f t="shared" ca="1" si="27"/>
        <v>2061.0038424979689</v>
      </c>
      <c r="F360" s="568">
        <f t="shared" ca="1" si="28"/>
        <v>13860.617596019432</v>
      </c>
      <c r="G360" s="569">
        <f t="shared" ca="1" si="29"/>
        <v>416261.9234470338</v>
      </c>
    </row>
    <row r="361" spans="2:8">
      <c r="B361" s="566">
        <v>333</v>
      </c>
      <c r="C361" s="567">
        <f t="shared" si="26"/>
        <v>333</v>
      </c>
      <c r="D361" s="568">
        <f t="shared" ca="1" si="30"/>
        <v>416261.9234470338</v>
      </c>
      <c r="E361" s="568">
        <f t="shared" ca="1" si="27"/>
        <v>1994.5883831837091</v>
      </c>
      <c r="F361" s="568">
        <f t="shared" ca="1" si="28"/>
        <v>13927.033055333692</v>
      </c>
      <c r="G361" s="569">
        <f t="shared" ca="1" si="29"/>
        <v>402334.89039170009</v>
      </c>
    </row>
    <row r="362" spans="2:8">
      <c r="B362" s="566">
        <v>334</v>
      </c>
      <c r="C362" s="567">
        <f t="shared" si="26"/>
        <v>334</v>
      </c>
      <c r="D362" s="568">
        <f t="shared" ca="1" si="30"/>
        <v>402334.89039170009</v>
      </c>
      <c r="E362" s="568">
        <f t="shared" ca="1" si="27"/>
        <v>1927.8546831269023</v>
      </c>
      <c r="F362" s="568">
        <f t="shared" ca="1" si="28"/>
        <v>13993.766755390498</v>
      </c>
      <c r="G362" s="569">
        <f t="shared" ca="1" si="29"/>
        <v>388341.12363630958</v>
      </c>
    </row>
    <row r="363" spans="2:8">
      <c r="B363" s="566">
        <v>335</v>
      </c>
      <c r="C363" s="567">
        <f t="shared" si="26"/>
        <v>335</v>
      </c>
      <c r="D363" s="568">
        <f t="shared" ca="1" si="30"/>
        <v>388341.12363630958</v>
      </c>
      <c r="E363" s="568">
        <f t="shared" ca="1" si="27"/>
        <v>1860.8012174239896</v>
      </c>
      <c r="F363" s="568">
        <f t="shared" ca="1" si="28"/>
        <v>14060.820221093411</v>
      </c>
      <c r="G363" s="569">
        <f t="shared" ca="1" si="29"/>
        <v>374280.30341521616</v>
      </c>
    </row>
    <row r="364" spans="2:8">
      <c r="B364" s="570">
        <v>336</v>
      </c>
      <c r="C364" s="571">
        <f t="shared" si="26"/>
        <v>336</v>
      </c>
      <c r="D364" s="572">
        <f t="shared" ca="1" si="30"/>
        <v>374280.30341521616</v>
      </c>
      <c r="E364" s="572">
        <f t="shared" ca="1" si="27"/>
        <v>1793.4264538645834</v>
      </c>
      <c r="F364" s="572">
        <f t="shared" ca="1" si="28"/>
        <v>14128.194984652819</v>
      </c>
      <c r="G364" s="573">
        <f t="shared" ca="1" si="29"/>
        <v>360152.10843056336</v>
      </c>
      <c r="H364" s="561"/>
    </row>
    <row r="365" spans="2:8">
      <c r="B365" s="553">
        <v>337</v>
      </c>
      <c r="C365" s="554">
        <f t="shared" si="26"/>
        <v>337</v>
      </c>
      <c r="D365" s="555">
        <f t="shared" ca="1" si="30"/>
        <v>360152.10843056336</v>
      </c>
      <c r="E365" s="555">
        <f t="shared" ca="1" si="27"/>
        <v>1725.7288528964555</v>
      </c>
      <c r="F365" s="555">
        <f t="shared" ca="1" si="28"/>
        <v>14195.892585620946</v>
      </c>
      <c r="G365" s="556">
        <f t="shared" ca="1" si="29"/>
        <v>345956.21584494243</v>
      </c>
    </row>
    <row r="366" spans="2:8">
      <c r="B366" s="557">
        <v>338</v>
      </c>
      <c r="C366" s="558">
        <f t="shared" si="26"/>
        <v>338</v>
      </c>
      <c r="D366" s="559">
        <f t="shared" ca="1" si="30"/>
        <v>345956.21584494243</v>
      </c>
      <c r="E366" s="559">
        <f t="shared" ca="1" si="27"/>
        <v>1657.7068675903549</v>
      </c>
      <c r="F366" s="559">
        <f t="shared" ca="1" si="28"/>
        <v>14263.914570927045</v>
      </c>
      <c r="G366" s="560">
        <f t="shared" ca="1" si="29"/>
        <v>331692.30127401539</v>
      </c>
    </row>
    <row r="367" spans="2:8">
      <c r="B367" s="557">
        <v>339</v>
      </c>
      <c r="C367" s="558">
        <f t="shared" si="26"/>
        <v>339</v>
      </c>
      <c r="D367" s="559">
        <f t="shared" ca="1" si="30"/>
        <v>331692.30127401539</v>
      </c>
      <c r="E367" s="559">
        <f t="shared" ca="1" si="27"/>
        <v>1589.3589436046627</v>
      </c>
      <c r="F367" s="559">
        <f t="shared" ca="1" si="28"/>
        <v>14332.262494912738</v>
      </c>
      <c r="G367" s="560">
        <f t="shared" ca="1" si="29"/>
        <v>317360.03877910267</v>
      </c>
    </row>
    <row r="368" spans="2:8">
      <c r="B368" s="557">
        <v>340</v>
      </c>
      <c r="C368" s="558">
        <f t="shared" si="26"/>
        <v>340</v>
      </c>
      <c r="D368" s="559">
        <f t="shared" ca="1" si="30"/>
        <v>317360.03877910267</v>
      </c>
      <c r="E368" s="559">
        <f t="shared" ca="1" si="27"/>
        <v>1520.6835191498726</v>
      </c>
      <c r="F368" s="559">
        <f t="shared" ca="1" si="28"/>
        <v>14400.937919367529</v>
      </c>
      <c r="G368" s="560">
        <f t="shared" ca="1" si="29"/>
        <v>302959.10085973516</v>
      </c>
    </row>
    <row r="369" spans="2:8">
      <c r="B369" s="557">
        <v>341</v>
      </c>
      <c r="C369" s="558">
        <f t="shared" si="26"/>
        <v>341</v>
      </c>
      <c r="D369" s="559">
        <f t="shared" ca="1" si="30"/>
        <v>302959.10085973516</v>
      </c>
      <c r="E369" s="559">
        <f t="shared" ca="1" si="27"/>
        <v>1451.6790249529031</v>
      </c>
      <c r="F369" s="559">
        <f t="shared" ca="1" si="28"/>
        <v>14469.942413564497</v>
      </c>
      <c r="G369" s="560">
        <f t="shared" ca="1" si="29"/>
        <v>288489.15844617068</v>
      </c>
    </row>
    <row r="370" spans="2:8">
      <c r="B370" s="557">
        <v>342</v>
      </c>
      <c r="C370" s="558">
        <f t="shared" si="26"/>
        <v>342</v>
      </c>
      <c r="D370" s="559">
        <f t="shared" ca="1" si="30"/>
        <v>288489.15844617068</v>
      </c>
      <c r="E370" s="559">
        <f t="shared" ca="1" si="27"/>
        <v>1382.3438842212402</v>
      </c>
      <c r="F370" s="559">
        <f t="shared" ca="1" si="28"/>
        <v>14539.277554296161</v>
      </c>
      <c r="G370" s="560">
        <f t="shared" ca="1" si="29"/>
        <v>273949.88089187455</v>
      </c>
    </row>
    <row r="371" spans="2:8">
      <c r="B371" s="557">
        <v>343</v>
      </c>
      <c r="C371" s="558">
        <f t="shared" si="26"/>
        <v>343</v>
      </c>
      <c r="D371" s="559">
        <f t="shared" ca="1" si="30"/>
        <v>273949.88089187455</v>
      </c>
      <c r="E371" s="559">
        <f t="shared" ca="1" si="27"/>
        <v>1312.6765126069042</v>
      </c>
      <c r="F371" s="559">
        <f t="shared" ca="1" si="28"/>
        <v>14608.944925910497</v>
      </c>
      <c r="G371" s="560">
        <f t="shared" ca="1" si="29"/>
        <v>259340.93596596405</v>
      </c>
    </row>
    <row r="372" spans="2:8">
      <c r="B372" s="557">
        <v>344</v>
      </c>
      <c r="C372" s="558">
        <f t="shared" si="26"/>
        <v>344</v>
      </c>
      <c r="D372" s="559">
        <f t="shared" ca="1" si="30"/>
        <v>259340.93596596405</v>
      </c>
      <c r="E372" s="559">
        <f t="shared" ca="1" si="27"/>
        <v>1242.67531817025</v>
      </c>
      <c r="F372" s="559">
        <f t="shared" ca="1" si="28"/>
        <v>14678.946120347151</v>
      </c>
      <c r="G372" s="560">
        <f t="shared" ca="1" si="29"/>
        <v>244661.98984561689</v>
      </c>
    </row>
    <row r="373" spans="2:8">
      <c r="B373" s="557">
        <v>345</v>
      </c>
      <c r="C373" s="558">
        <f t="shared" si="26"/>
        <v>345</v>
      </c>
      <c r="D373" s="559">
        <f t="shared" ca="1" si="30"/>
        <v>244661.98984561689</v>
      </c>
      <c r="E373" s="559">
        <f t="shared" ca="1" si="27"/>
        <v>1172.3387013435863</v>
      </c>
      <c r="F373" s="559">
        <f t="shared" ca="1" si="28"/>
        <v>14749.282737173813</v>
      </c>
      <c r="G373" s="560">
        <f t="shared" ca="1" si="29"/>
        <v>229912.70710844308</v>
      </c>
    </row>
    <row r="374" spans="2:8">
      <c r="B374" s="557">
        <v>346</v>
      </c>
      <c r="C374" s="558">
        <f t="shared" si="26"/>
        <v>346</v>
      </c>
      <c r="D374" s="559">
        <f t="shared" ca="1" si="30"/>
        <v>229912.70710844308</v>
      </c>
      <c r="E374" s="559">
        <f t="shared" ca="1" si="27"/>
        <v>1101.6650548946284</v>
      </c>
      <c r="F374" s="559">
        <f t="shared" ca="1" si="28"/>
        <v>14819.956383622774</v>
      </c>
      <c r="G374" s="560">
        <f t="shared" ca="1" si="29"/>
        <v>215092.7507248203</v>
      </c>
    </row>
    <row r="375" spans="2:8">
      <c r="B375" s="557">
        <v>347</v>
      </c>
      <c r="C375" s="558">
        <f t="shared" si="26"/>
        <v>347</v>
      </c>
      <c r="D375" s="559">
        <f t="shared" ca="1" si="30"/>
        <v>215092.7507248203</v>
      </c>
      <c r="E375" s="559">
        <f t="shared" ca="1" si="27"/>
        <v>1030.6527638897692</v>
      </c>
      <c r="F375" s="559">
        <f t="shared" ca="1" si="28"/>
        <v>14890.968674627631</v>
      </c>
      <c r="G375" s="560">
        <f t="shared" ca="1" si="29"/>
        <v>200201.78205019268</v>
      </c>
    </row>
    <row r="376" spans="2:8">
      <c r="B376" s="562">
        <v>348</v>
      </c>
      <c r="C376" s="563">
        <f t="shared" si="26"/>
        <v>348</v>
      </c>
      <c r="D376" s="564">
        <f t="shared" ca="1" si="30"/>
        <v>200201.78205019268</v>
      </c>
      <c r="E376" s="564">
        <f t="shared" ca="1" si="27"/>
        <v>959.30020565717859</v>
      </c>
      <c r="F376" s="564">
        <f t="shared" ca="1" si="28"/>
        <v>14962.321232860222</v>
      </c>
      <c r="G376" s="565">
        <f t="shared" ca="1" si="29"/>
        <v>185239.46081733247</v>
      </c>
      <c r="H376" s="561"/>
    </row>
    <row r="377" spans="2:8">
      <c r="B377" s="574">
        <v>349</v>
      </c>
      <c r="C377" s="575">
        <f t="shared" si="26"/>
        <v>349</v>
      </c>
      <c r="D377" s="576">
        <f t="shared" ca="1" si="30"/>
        <v>185239.46081733247</v>
      </c>
      <c r="E377" s="576">
        <f t="shared" ca="1" si="27"/>
        <v>887.60574974972349</v>
      </c>
      <c r="F377" s="576">
        <f t="shared" ca="1" si="28"/>
        <v>15034.015688767677</v>
      </c>
      <c r="G377" s="577">
        <f t="shared" ca="1" si="29"/>
        <v>170205.44512856478</v>
      </c>
    </row>
    <row r="378" spans="2:8">
      <c r="B378" s="566">
        <v>350</v>
      </c>
      <c r="C378" s="567">
        <f t="shared" si="26"/>
        <v>350</v>
      </c>
      <c r="D378" s="568">
        <f t="shared" ca="1" si="30"/>
        <v>170205.44512856478</v>
      </c>
      <c r="E378" s="568">
        <f t="shared" ca="1" si="27"/>
        <v>815.56775790771167</v>
      </c>
      <c r="F378" s="568">
        <f t="shared" ca="1" si="28"/>
        <v>15106.053680609688</v>
      </c>
      <c r="G378" s="569">
        <f t="shared" ca="1" si="29"/>
        <v>155099.3914479551</v>
      </c>
    </row>
    <row r="379" spans="2:8">
      <c r="B379" s="566">
        <v>351</v>
      </c>
      <c r="C379" s="567">
        <f t="shared" si="26"/>
        <v>351</v>
      </c>
      <c r="D379" s="568">
        <f t="shared" ca="1" si="30"/>
        <v>155099.3914479551</v>
      </c>
      <c r="E379" s="568">
        <f t="shared" ca="1" si="27"/>
        <v>743.18458402145689</v>
      </c>
      <c r="F379" s="568">
        <f t="shared" ca="1" si="28"/>
        <v>15178.436854495943</v>
      </c>
      <c r="G379" s="569">
        <f t="shared" ca="1" si="29"/>
        <v>139920.95459345914</v>
      </c>
    </row>
    <row r="380" spans="2:8">
      <c r="B380" s="566">
        <v>352</v>
      </c>
      <c r="C380" s="567">
        <f t="shared" si="26"/>
        <v>352</v>
      </c>
      <c r="D380" s="568">
        <f t="shared" ca="1" si="30"/>
        <v>139920.95459345914</v>
      </c>
      <c r="E380" s="568">
        <f t="shared" ca="1" si="27"/>
        <v>670.45457409366372</v>
      </c>
      <c r="F380" s="568">
        <f t="shared" ca="1" si="28"/>
        <v>15251.166864423738</v>
      </c>
      <c r="G380" s="569">
        <f t="shared" ca="1" si="29"/>
        <v>124669.78772903541</v>
      </c>
    </row>
    <row r="381" spans="2:8">
      <c r="B381" s="566">
        <v>353</v>
      </c>
      <c r="C381" s="567">
        <f t="shared" si="26"/>
        <v>353</v>
      </c>
      <c r="D381" s="568">
        <f t="shared" ca="1" si="30"/>
        <v>124669.78772903541</v>
      </c>
      <c r="E381" s="568">
        <f t="shared" ca="1" si="27"/>
        <v>597.37606620163331</v>
      </c>
      <c r="F381" s="568">
        <f t="shared" ca="1" si="28"/>
        <v>15324.245372315767</v>
      </c>
      <c r="G381" s="569">
        <f t="shared" ca="1" si="29"/>
        <v>109345.54235671964</v>
      </c>
    </row>
    <row r="382" spans="2:8">
      <c r="B382" s="566">
        <v>354</v>
      </c>
      <c r="C382" s="567">
        <f t="shared" si="26"/>
        <v>354</v>
      </c>
      <c r="D382" s="568">
        <f t="shared" ca="1" si="30"/>
        <v>109345.54235671964</v>
      </c>
      <c r="E382" s="568">
        <f t="shared" ca="1" si="27"/>
        <v>523.94739045928702</v>
      </c>
      <c r="F382" s="568">
        <f t="shared" ca="1" si="28"/>
        <v>15397.674048058114</v>
      </c>
      <c r="G382" s="569">
        <f t="shared" ca="1" si="29"/>
        <v>93947.868308661535</v>
      </c>
    </row>
    <row r="383" spans="2:8">
      <c r="B383" s="566">
        <v>355</v>
      </c>
      <c r="C383" s="567">
        <f t="shared" si="26"/>
        <v>355</v>
      </c>
      <c r="D383" s="568">
        <f t="shared" ca="1" si="30"/>
        <v>93947.868308661535</v>
      </c>
      <c r="E383" s="568">
        <f t="shared" ca="1" si="27"/>
        <v>450.16686897900854</v>
      </c>
      <c r="F383" s="568">
        <f t="shared" ca="1" si="28"/>
        <v>15471.454569538391</v>
      </c>
      <c r="G383" s="569">
        <f t="shared" ca="1" si="29"/>
        <v>78476.413739123149</v>
      </c>
    </row>
    <row r="384" spans="2:8">
      <c r="B384" s="566">
        <v>356</v>
      </c>
      <c r="C384" s="567">
        <f t="shared" si="26"/>
        <v>356</v>
      </c>
      <c r="D384" s="568">
        <f t="shared" ca="1" si="30"/>
        <v>78476.413739123149</v>
      </c>
      <c r="E384" s="568">
        <f t="shared" ca="1" si="27"/>
        <v>376.03281583330369</v>
      </c>
      <c r="F384" s="568">
        <f t="shared" ca="1" si="28"/>
        <v>15545.588622684098</v>
      </c>
      <c r="G384" s="569">
        <f t="shared" ca="1" si="29"/>
        <v>62930.825116439053</v>
      </c>
    </row>
    <row r="385" spans="2:8">
      <c r="B385" s="566">
        <v>357</v>
      </c>
      <c r="C385" s="567">
        <f t="shared" si="26"/>
        <v>357</v>
      </c>
      <c r="D385" s="568">
        <f t="shared" ca="1" si="30"/>
        <v>62930.825116439053</v>
      </c>
      <c r="E385" s="568">
        <f t="shared" ca="1" si="27"/>
        <v>301.54353701627571</v>
      </c>
      <c r="F385" s="568">
        <f t="shared" ca="1" si="28"/>
        <v>15620.077901501125</v>
      </c>
      <c r="G385" s="569">
        <f t="shared" ca="1" si="29"/>
        <v>47310.747214937932</v>
      </c>
    </row>
    <row r="386" spans="2:8">
      <c r="B386" s="566">
        <v>358</v>
      </c>
      <c r="C386" s="567">
        <f t="shared" si="26"/>
        <v>358</v>
      </c>
      <c r="D386" s="568">
        <f t="shared" ca="1" si="30"/>
        <v>47310.747214937932</v>
      </c>
      <c r="E386" s="568">
        <f t="shared" ca="1" si="27"/>
        <v>226.69733040491619</v>
      </c>
      <c r="F386" s="568">
        <f t="shared" ca="1" si="28"/>
        <v>15694.924108112486</v>
      </c>
      <c r="G386" s="569">
        <f t="shared" ca="1" si="29"/>
        <v>31615.823106825446</v>
      </c>
    </row>
    <row r="387" spans="2:8">
      <c r="B387" s="566">
        <v>359</v>
      </c>
      <c r="C387" s="567">
        <f t="shared" si="26"/>
        <v>359</v>
      </c>
      <c r="D387" s="568">
        <f t="shared" ca="1" si="30"/>
        <v>31615.823106825446</v>
      </c>
      <c r="E387" s="568">
        <f t="shared" ca="1" si="27"/>
        <v>151.49248572021045</v>
      </c>
      <c r="F387" s="568">
        <f t="shared" ca="1" si="28"/>
        <v>15770.128952797191</v>
      </c>
      <c r="G387" s="569">
        <f t="shared" ca="1" si="29"/>
        <v>15845.694154028255</v>
      </c>
    </row>
    <row r="388" spans="2:8">
      <c r="B388" s="570">
        <v>360</v>
      </c>
      <c r="C388" s="571">
        <f t="shared" si="26"/>
        <v>360</v>
      </c>
      <c r="D388" s="572">
        <f t="shared" ca="1" si="30"/>
        <v>15845.694154028255</v>
      </c>
      <c r="E388" s="572">
        <f t="shared" ca="1" si="27"/>
        <v>75.927284488057282</v>
      </c>
      <c r="F388" s="572">
        <f t="shared" ca="1" si="28"/>
        <v>15845.694154029345</v>
      </c>
      <c r="G388" s="573">
        <f t="shared" ca="1" si="29"/>
        <v>-1.089574652723968E-9</v>
      </c>
      <c r="H388" s="561"/>
    </row>
    <row r="389" spans="2:8">
      <c r="B389" s="545"/>
      <c r="C389" s="545"/>
      <c r="D389" s="545"/>
      <c r="E389" s="545"/>
      <c r="F389" s="545"/>
      <c r="G389" s="545"/>
    </row>
    <row r="390" spans="2:8">
      <c r="B390" s="545"/>
      <c r="C390" s="545"/>
      <c r="D390" s="545"/>
      <c r="E390" s="545"/>
      <c r="F390" s="545"/>
      <c r="G390" s="545"/>
    </row>
  </sheetData>
  <customSheetViews>
    <customSheetView guid="{AC6D0829-7D33-475A-BFC8-17DE97049707}" scale="70">
      <pageMargins left="0.75" right="0.75" top="1" bottom="1" header="0.5" footer="0.5"/>
      <pageSetup orientation="portrait" verticalDpi="0" r:id="rId1"/>
    </customSheetView>
  </customSheetViews>
  <mergeCells count="2">
    <mergeCell ref="B4:C4"/>
    <mergeCell ref="E4:H4"/>
  </mergeCells>
  <pageMargins left="0.75" right="0.75" top="1" bottom="1" header="0.5" footer="0.5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L143"/>
  <sheetViews>
    <sheetView zoomScaleNormal="100" workbookViewId="0"/>
  </sheetViews>
  <sheetFormatPr defaultColWidth="9.33203125" defaultRowHeight="18.75"/>
  <cols>
    <col min="1" max="1" width="8.83203125" style="771" customWidth="1"/>
    <col min="2" max="2" width="28.6640625" style="771" customWidth="1"/>
    <col min="3" max="3" width="24.5" style="771" customWidth="1"/>
    <col min="4" max="4" width="19.6640625" style="771" customWidth="1"/>
    <col min="5" max="5" width="20.5" style="771" customWidth="1"/>
    <col min="6" max="6" width="17" style="771" customWidth="1"/>
    <col min="7" max="7" width="34" style="771" customWidth="1"/>
    <col min="8" max="8" width="21.6640625" style="771" customWidth="1"/>
    <col min="9" max="9" width="30.83203125" style="771" customWidth="1"/>
    <col min="10" max="10" width="14.33203125" style="771" customWidth="1"/>
    <col min="11" max="11" width="12.6640625" style="771" customWidth="1"/>
    <col min="12" max="12" width="12.83203125" style="771" customWidth="1"/>
    <col min="13" max="13" width="9.33203125" style="771"/>
    <col min="14" max="14" width="20" style="771" customWidth="1"/>
    <col min="15" max="16384" width="9.33203125" style="771"/>
  </cols>
  <sheetData>
    <row r="2" spans="2:12" ht="23.25">
      <c r="B2" s="770" t="s">
        <v>317</v>
      </c>
      <c r="C2" s="770"/>
      <c r="D2" s="770"/>
      <c r="L2" s="772"/>
    </row>
    <row r="4" spans="2:12" s="773" customFormat="1" ht="42.75" customHeight="1">
      <c r="C4" s="774" t="s">
        <v>292</v>
      </c>
      <c r="E4" s="774" t="s">
        <v>293</v>
      </c>
      <c r="F4" s="774" t="s">
        <v>294</v>
      </c>
      <c r="G4" s="774" t="s">
        <v>295</v>
      </c>
      <c r="H4" s="774" t="s">
        <v>296</v>
      </c>
      <c r="I4" s="774" t="s">
        <v>295</v>
      </c>
      <c r="L4" s="772" t="s">
        <v>297</v>
      </c>
    </row>
    <row r="5" spans="2:12">
      <c r="C5" s="772"/>
      <c r="E5" s="772"/>
      <c r="F5" s="772"/>
      <c r="H5" s="772"/>
      <c r="I5" s="772"/>
      <c r="L5" s="771" t="s">
        <v>298</v>
      </c>
    </row>
    <row r="6" spans="2:12">
      <c r="I6" s="771" t="s">
        <v>299</v>
      </c>
      <c r="L6" s="775" t="s">
        <v>300</v>
      </c>
    </row>
    <row r="7" spans="2:12">
      <c r="H7" s="771" t="s">
        <v>301</v>
      </c>
    </row>
    <row r="8" spans="2:12">
      <c r="I8" s="771" t="s">
        <v>302</v>
      </c>
    </row>
    <row r="9" spans="2:12">
      <c r="G9" s="771" t="s">
        <v>299</v>
      </c>
    </row>
    <row r="10" spans="2:12">
      <c r="I10" s="771" t="s">
        <v>303</v>
      </c>
    </row>
    <row r="11" spans="2:12">
      <c r="H11" s="771" t="s">
        <v>304</v>
      </c>
    </row>
    <row r="12" spans="2:12">
      <c r="I12" s="771" t="s">
        <v>305</v>
      </c>
    </row>
    <row r="13" spans="2:12">
      <c r="E13" s="771" t="s">
        <v>306</v>
      </c>
      <c r="F13" s="771" t="s">
        <v>301</v>
      </c>
    </row>
    <row r="14" spans="2:12">
      <c r="I14" s="771" t="s">
        <v>299</v>
      </c>
    </row>
    <row r="15" spans="2:12">
      <c r="H15" s="771" t="s">
        <v>301</v>
      </c>
    </row>
    <row r="16" spans="2:12">
      <c r="I16" s="771" t="s">
        <v>302</v>
      </c>
    </row>
    <row r="17" spans="3:9">
      <c r="G17" s="771" t="s">
        <v>302</v>
      </c>
    </row>
    <row r="18" spans="3:9">
      <c r="I18" s="771" t="s">
        <v>303</v>
      </c>
    </row>
    <row r="19" spans="3:9">
      <c r="H19" s="771" t="s">
        <v>304</v>
      </c>
    </row>
    <row r="20" spans="3:9">
      <c r="I20" s="771" t="s">
        <v>305</v>
      </c>
    </row>
    <row r="21" spans="3:9">
      <c r="C21" s="772" t="s">
        <v>307</v>
      </c>
    </row>
    <row r="22" spans="3:9">
      <c r="I22" s="771" t="s">
        <v>299</v>
      </c>
    </row>
    <row r="23" spans="3:9">
      <c r="H23" s="771" t="s">
        <v>301</v>
      </c>
    </row>
    <row r="24" spans="3:9">
      <c r="I24" s="771" t="s">
        <v>302</v>
      </c>
    </row>
    <row r="25" spans="3:9">
      <c r="G25" s="771" t="s">
        <v>303</v>
      </c>
    </row>
    <row r="26" spans="3:9">
      <c r="I26" s="771" t="s">
        <v>303</v>
      </c>
    </row>
    <row r="27" spans="3:9">
      <c r="H27" s="771" t="s">
        <v>304</v>
      </c>
    </row>
    <row r="28" spans="3:9">
      <c r="E28" s="771" t="s">
        <v>308</v>
      </c>
      <c r="F28" s="771" t="s">
        <v>304</v>
      </c>
      <c r="I28" s="771" t="s">
        <v>305</v>
      </c>
    </row>
    <row r="30" spans="3:9">
      <c r="I30" s="771" t="s">
        <v>299</v>
      </c>
    </row>
    <row r="31" spans="3:9">
      <c r="H31" s="771" t="s">
        <v>301</v>
      </c>
    </row>
    <row r="32" spans="3:9">
      <c r="I32" s="771" t="s">
        <v>302</v>
      </c>
    </row>
    <row r="33" spans="3:9">
      <c r="G33" s="771" t="s">
        <v>305</v>
      </c>
    </row>
    <row r="34" spans="3:9">
      <c r="I34" s="771" t="s">
        <v>303</v>
      </c>
    </row>
    <row r="35" spans="3:9">
      <c r="H35" s="771" t="s">
        <v>304</v>
      </c>
    </row>
    <row r="36" spans="3:9">
      <c r="I36" s="771" t="s">
        <v>305</v>
      </c>
    </row>
    <row r="40" spans="3:9" ht="37.5">
      <c r="C40" s="774" t="s">
        <v>292</v>
      </c>
      <c r="D40" s="773"/>
      <c r="E40" s="774" t="s">
        <v>293</v>
      </c>
      <c r="F40" s="774" t="s">
        <v>294</v>
      </c>
      <c r="G40" s="774" t="s">
        <v>295</v>
      </c>
      <c r="H40" s="774" t="s">
        <v>296</v>
      </c>
      <c r="I40" s="774" t="s">
        <v>295</v>
      </c>
    </row>
    <row r="41" spans="3:9">
      <c r="C41" s="774"/>
      <c r="D41" s="773"/>
      <c r="E41" s="774"/>
      <c r="F41" s="774"/>
      <c r="G41" s="774"/>
      <c r="H41" s="774"/>
      <c r="I41" s="774"/>
    </row>
    <row r="42" spans="3:9">
      <c r="I42" s="771" t="s">
        <v>299</v>
      </c>
    </row>
    <row r="43" spans="3:9">
      <c r="H43" s="771" t="s">
        <v>301</v>
      </c>
    </row>
    <row r="44" spans="3:9">
      <c r="I44" s="771" t="s">
        <v>302</v>
      </c>
    </row>
    <row r="46" spans="3:9">
      <c r="G46" s="771" t="s">
        <v>299</v>
      </c>
    </row>
    <row r="47" spans="3:9">
      <c r="I47" s="771" t="s">
        <v>303</v>
      </c>
    </row>
    <row r="48" spans="3:9">
      <c r="H48" s="771" t="s">
        <v>304</v>
      </c>
    </row>
    <row r="49" spans="3:9">
      <c r="I49" s="771" t="s">
        <v>305</v>
      </c>
    </row>
    <row r="50" spans="3:9">
      <c r="E50" s="771" t="s">
        <v>306</v>
      </c>
      <c r="F50" s="771" t="s">
        <v>301</v>
      </c>
    </row>
    <row r="51" spans="3:9">
      <c r="I51" s="771" t="s">
        <v>299</v>
      </c>
    </row>
    <row r="52" spans="3:9">
      <c r="H52" s="771" t="s">
        <v>301</v>
      </c>
    </row>
    <row r="53" spans="3:9">
      <c r="I53" s="771" t="s">
        <v>302</v>
      </c>
    </row>
    <row r="54" spans="3:9">
      <c r="G54" s="771" t="s">
        <v>302</v>
      </c>
    </row>
    <row r="55" spans="3:9">
      <c r="I55" s="771" t="s">
        <v>303</v>
      </c>
    </row>
    <row r="56" spans="3:9">
      <c r="H56" s="771" t="s">
        <v>304</v>
      </c>
    </row>
    <row r="57" spans="3:9">
      <c r="I57" s="771" t="s">
        <v>305</v>
      </c>
    </row>
    <row r="58" spans="3:9">
      <c r="C58" s="772" t="s">
        <v>309</v>
      </c>
    </row>
    <row r="59" spans="3:9">
      <c r="I59" s="771" t="s">
        <v>299</v>
      </c>
    </row>
    <row r="60" spans="3:9">
      <c r="H60" s="771" t="s">
        <v>301</v>
      </c>
    </row>
    <row r="61" spans="3:9">
      <c r="I61" s="771" t="s">
        <v>302</v>
      </c>
    </row>
    <row r="62" spans="3:9">
      <c r="G62" s="771" t="s">
        <v>303</v>
      </c>
    </row>
    <row r="63" spans="3:9">
      <c r="I63" s="771" t="s">
        <v>303</v>
      </c>
    </row>
    <row r="64" spans="3:9">
      <c r="H64" s="771" t="s">
        <v>304</v>
      </c>
    </row>
    <row r="65" spans="3:9">
      <c r="E65" s="771" t="s">
        <v>308</v>
      </c>
      <c r="F65" s="771" t="s">
        <v>304</v>
      </c>
      <c r="I65" s="771" t="s">
        <v>305</v>
      </c>
    </row>
    <row r="67" spans="3:9">
      <c r="I67" s="771" t="s">
        <v>299</v>
      </c>
    </row>
    <row r="68" spans="3:9">
      <c r="H68" s="771" t="s">
        <v>301</v>
      </c>
    </row>
    <row r="69" spans="3:9">
      <c r="I69" s="771" t="s">
        <v>302</v>
      </c>
    </row>
    <row r="70" spans="3:9">
      <c r="G70" s="771" t="s">
        <v>305</v>
      </c>
    </row>
    <row r="71" spans="3:9">
      <c r="I71" s="771" t="s">
        <v>303</v>
      </c>
    </row>
    <row r="72" spans="3:9">
      <c r="H72" s="771" t="s">
        <v>304</v>
      </c>
    </row>
    <row r="73" spans="3:9">
      <c r="I73" s="771" t="s">
        <v>305</v>
      </c>
    </row>
    <row r="75" spans="3:9" ht="37.5">
      <c r="C75" s="774" t="s">
        <v>292</v>
      </c>
      <c r="D75" s="773"/>
      <c r="E75" s="774" t="s">
        <v>293</v>
      </c>
      <c r="F75" s="774" t="s">
        <v>294</v>
      </c>
      <c r="G75" s="774" t="s">
        <v>295</v>
      </c>
      <c r="H75" s="774" t="s">
        <v>296</v>
      </c>
      <c r="I75" s="774" t="s">
        <v>295</v>
      </c>
    </row>
    <row r="76" spans="3:9">
      <c r="C76" s="774"/>
      <c r="D76" s="773"/>
      <c r="E76" s="774"/>
      <c r="F76" s="774"/>
      <c r="G76" s="774"/>
      <c r="H76" s="774"/>
      <c r="I76" s="774"/>
    </row>
    <row r="77" spans="3:9">
      <c r="I77" s="771" t="s">
        <v>299</v>
      </c>
    </row>
    <row r="78" spans="3:9">
      <c r="H78" s="771" t="s">
        <v>301</v>
      </c>
    </row>
    <row r="79" spans="3:9">
      <c r="I79" s="771" t="s">
        <v>302</v>
      </c>
    </row>
    <row r="81" spans="3:9">
      <c r="G81" s="771" t="s">
        <v>299</v>
      </c>
    </row>
    <row r="82" spans="3:9">
      <c r="I82" s="771" t="s">
        <v>303</v>
      </c>
    </row>
    <row r="83" spans="3:9">
      <c r="H83" s="771" t="s">
        <v>304</v>
      </c>
    </row>
    <row r="84" spans="3:9">
      <c r="I84" s="771" t="s">
        <v>305</v>
      </c>
    </row>
    <row r="85" spans="3:9">
      <c r="E85" s="771" t="s">
        <v>306</v>
      </c>
      <c r="F85" s="771" t="s">
        <v>301</v>
      </c>
    </row>
    <row r="86" spans="3:9">
      <c r="I86" s="771" t="s">
        <v>299</v>
      </c>
    </row>
    <row r="87" spans="3:9">
      <c r="H87" s="771" t="s">
        <v>301</v>
      </c>
    </row>
    <row r="88" spans="3:9">
      <c r="I88" s="771" t="s">
        <v>302</v>
      </c>
    </row>
    <row r="89" spans="3:9">
      <c r="G89" s="771" t="s">
        <v>302</v>
      </c>
    </row>
    <row r="90" spans="3:9">
      <c r="I90" s="771" t="s">
        <v>303</v>
      </c>
    </row>
    <row r="91" spans="3:9">
      <c r="H91" s="771" t="s">
        <v>304</v>
      </c>
    </row>
    <row r="92" spans="3:9">
      <c r="I92" s="771" t="s">
        <v>305</v>
      </c>
    </row>
    <row r="93" spans="3:9">
      <c r="C93" s="772" t="s">
        <v>310</v>
      </c>
    </row>
    <row r="94" spans="3:9">
      <c r="I94" s="771" t="s">
        <v>299</v>
      </c>
    </row>
    <row r="95" spans="3:9">
      <c r="H95" s="771" t="s">
        <v>301</v>
      </c>
    </row>
    <row r="96" spans="3:9">
      <c r="I96" s="771" t="s">
        <v>302</v>
      </c>
    </row>
    <row r="97" spans="3:9">
      <c r="G97" s="771" t="s">
        <v>303</v>
      </c>
    </row>
    <row r="98" spans="3:9">
      <c r="I98" s="771" t="s">
        <v>303</v>
      </c>
    </row>
    <row r="99" spans="3:9">
      <c r="H99" s="771" t="s">
        <v>304</v>
      </c>
    </row>
    <row r="100" spans="3:9">
      <c r="E100" s="771" t="s">
        <v>308</v>
      </c>
      <c r="F100" s="771" t="s">
        <v>304</v>
      </c>
      <c r="I100" s="771" t="s">
        <v>305</v>
      </c>
    </row>
    <row r="102" spans="3:9">
      <c r="I102" s="771" t="s">
        <v>299</v>
      </c>
    </row>
    <row r="103" spans="3:9">
      <c r="H103" s="771" t="s">
        <v>301</v>
      </c>
    </row>
    <row r="104" spans="3:9">
      <c r="I104" s="771" t="s">
        <v>302</v>
      </c>
    </row>
    <row r="105" spans="3:9">
      <c r="G105" s="771" t="s">
        <v>305</v>
      </c>
    </row>
    <row r="106" spans="3:9">
      <c r="I106" s="771" t="s">
        <v>303</v>
      </c>
    </row>
    <row r="107" spans="3:9">
      <c r="H107" s="771" t="s">
        <v>304</v>
      </c>
    </row>
    <row r="108" spans="3:9">
      <c r="I108" s="771" t="s">
        <v>305</v>
      </c>
    </row>
    <row r="110" spans="3:9" ht="37.5">
      <c r="C110" s="774" t="s">
        <v>292</v>
      </c>
      <c r="D110" s="773"/>
      <c r="E110" s="774" t="s">
        <v>293</v>
      </c>
      <c r="F110" s="774" t="s">
        <v>294</v>
      </c>
      <c r="G110" s="774" t="s">
        <v>295</v>
      </c>
      <c r="H110" s="774" t="s">
        <v>296</v>
      </c>
      <c r="I110" s="774" t="s">
        <v>295</v>
      </c>
    </row>
    <row r="111" spans="3:9">
      <c r="C111" s="774"/>
      <c r="D111" s="773"/>
      <c r="E111" s="774"/>
      <c r="F111" s="774"/>
      <c r="G111" s="774"/>
      <c r="H111" s="774"/>
      <c r="I111" s="774"/>
    </row>
    <row r="112" spans="3:9">
      <c r="I112" s="771" t="s">
        <v>299</v>
      </c>
    </row>
    <row r="113" spans="3:9">
      <c r="H113" s="771" t="s">
        <v>301</v>
      </c>
    </row>
    <row r="114" spans="3:9">
      <c r="I114" s="771" t="s">
        <v>302</v>
      </c>
    </row>
    <row r="116" spans="3:9">
      <c r="G116" s="771" t="s">
        <v>299</v>
      </c>
    </row>
    <row r="117" spans="3:9">
      <c r="I117" s="771" t="s">
        <v>303</v>
      </c>
    </row>
    <row r="118" spans="3:9">
      <c r="H118" s="771" t="s">
        <v>304</v>
      </c>
    </row>
    <row r="119" spans="3:9">
      <c r="I119" s="771" t="s">
        <v>305</v>
      </c>
    </row>
    <row r="120" spans="3:9">
      <c r="E120" s="771" t="s">
        <v>306</v>
      </c>
      <c r="F120" s="771" t="s">
        <v>301</v>
      </c>
    </row>
    <row r="121" spans="3:9">
      <c r="I121" s="771" t="s">
        <v>299</v>
      </c>
    </row>
    <row r="122" spans="3:9">
      <c r="H122" s="771" t="s">
        <v>301</v>
      </c>
    </row>
    <row r="123" spans="3:9">
      <c r="I123" s="771" t="s">
        <v>302</v>
      </c>
    </row>
    <row r="124" spans="3:9">
      <c r="G124" s="771" t="s">
        <v>302</v>
      </c>
    </row>
    <row r="125" spans="3:9">
      <c r="I125" s="771" t="s">
        <v>303</v>
      </c>
    </row>
    <row r="126" spans="3:9">
      <c r="H126" s="771" t="s">
        <v>304</v>
      </c>
    </row>
    <row r="127" spans="3:9">
      <c r="I127" s="771" t="s">
        <v>305</v>
      </c>
    </row>
    <row r="128" spans="3:9">
      <c r="C128" s="772" t="s">
        <v>311</v>
      </c>
    </row>
    <row r="129" spans="5:9">
      <c r="I129" s="771" t="s">
        <v>299</v>
      </c>
    </row>
    <row r="130" spans="5:9">
      <c r="H130" s="771" t="s">
        <v>301</v>
      </c>
    </row>
    <row r="131" spans="5:9">
      <c r="I131" s="771" t="s">
        <v>302</v>
      </c>
    </row>
    <row r="132" spans="5:9">
      <c r="G132" s="771" t="s">
        <v>303</v>
      </c>
    </row>
    <row r="133" spans="5:9">
      <c r="I133" s="771" t="s">
        <v>303</v>
      </c>
    </row>
    <row r="134" spans="5:9">
      <c r="H134" s="771" t="s">
        <v>304</v>
      </c>
    </row>
    <row r="135" spans="5:9">
      <c r="E135" s="771" t="s">
        <v>308</v>
      </c>
      <c r="F135" s="771" t="s">
        <v>304</v>
      </c>
      <c r="I135" s="771" t="s">
        <v>305</v>
      </c>
    </row>
    <row r="137" spans="5:9">
      <c r="I137" s="771" t="s">
        <v>299</v>
      </c>
    </row>
    <row r="138" spans="5:9">
      <c r="H138" s="771" t="s">
        <v>301</v>
      </c>
    </row>
    <row r="139" spans="5:9">
      <c r="I139" s="771" t="s">
        <v>302</v>
      </c>
    </row>
    <row r="140" spans="5:9">
      <c r="G140" s="771" t="s">
        <v>305</v>
      </c>
    </row>
    <row r="141" spans="5:9">
      <c r="I141" s="771" t="s">
        <v>303</v>
      </c>
    </row>
    <row r="142" spans="5:9">
      <c r="H142" s="771" t="s">
        <v>304</v>
      </c>
    </row>
    <row r="143" spans="5:9">
      <c r="I143" s="771" t="s">
        <v>305</v>
      </c>
    </row>
  </sheetData>
  <hyperlinks>
    <hyperlink ref="L6" r:id="rId1"/>
  </hyperlinks>
  <pageMargins left="0.7" right="0.7" top="0.75" bottom="0.75" header="0.3" footer="0.3"/>
  <pageSetup paperSize="5" scale="91" fitToHeight="3" orientation="landscape" horizontalDpi="30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AW201"/>
  <sheetViews>
    <sheetView showGridLines="0" zoomScaleNormal="100" workbookViewId="0"/>
  </sheetViews>
  <sheetFormatPr defaultColWidth="9.33203125" defaultRowHeight="15.75"/>
  <cols>
    <col min="1" max="1" width="9" style="8" customWidth="1"/>
    <col min="2" max="2" width="30" style="8" customWidth="1"/>
    <col min="3" max="3" width="15.6640625" style="8" customWidth="1"/>
    <col min="4" max="4" width="16.1640625" style="8" customWidth="1"/>
    <col min="5" max="5" width="15" style="8" customWidth="1"/>
    <col min="6" max="6" width="15.1640625" style="8" customWidth="1"/>
    <col min="7" max="7" width="14.33203125" style="8" customWidth="1"/>
    <col min="8" max="8" width="15.1640625" style="8" customWidth="1"/>
    <col min="9" max="9" width="3.6640625" style="8" customWidth="1"/>
    <col min="10" max="10" width="9.83203125" style="8" customWidth="1"/>
    <col min="11" max="11" width="17.83203125" style="8" customWidth="1"/>
    <col min="12" max="12" width="16.33203125" style="8" customWidth="1"/>
    <col min="13" max="13" width="17.6640625" style="8" customWidth="1"/>
    <col min="14" max="14" width="16.33203125" style="8" customWidth="1"/>
    <col min="15" max="15" width="14.5" style="8" customWidth="1"/>
    <col min="16" max="16" width="16.5" style="8" customWidth="1"/>
    <col min="17" max="17" width="3.33203125" style="8" customWidth="1"/>
    <col min="18" max="18" width="22.5" style="8" customWidth="1"/>
    <col min="19" max="19" width="37.5" style="8" customWidth="1"/>
    <col min="20" max="20" width="3.33203125" style="33" customWidth="1"/>
    <col min="21" max="22" width="10.5" style="8" customWidth="1"/>
    <col min="23" max="26" width="7.83203125" style="8" customWidth="1"/>
    <col min="27" max="46" width="17.33203125" style="8" bestFit="1" customWidth="1"/>
    <col min="47" max="47" width="16.1640625" style="8" bestFit="1" customWidth="1"/>
    <col min="48" max="48" width="9.33203125" style="8"/>
    <col min="49" max="49" width="4.83203125" style="8" customWidth="1"/>
    <col min="50" max="16384" width="9.33203125" style="8"/>
  </cols>
  <sheetData>
    <row r="2" spans="2:22" s="1" customFormat="1" ht="28.5">
      <c r="B2" s="865" t="s">
        <v>176</v>
      </c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  <c r="N2" s="865"/>
      <c r="O2" s="865"/>
      <c r="P2" s="8"/>
      <c r="T2" s="426"/>
    </row>
    <row r="3" spans="2:22" ht="11.25" customHeight="1">
      <c r="B3" s="9" t="s">
        <v>9</v>
      </c>
      <c r="I3" s="12"/>
      <c r="J3" s="12"/>
      <c r="K3" s="12"/>
      <c r="L3" s="12"/>
      <c r="M3" s="12"/>
      <c r="N3" s="12"/>
      <c r="O3" s="12"/>
      <c r="R3" s="30"/>
      <c r="S3" s="30"/>
    </row>
    <row r="4" spans="2:22">
      <c r="B4" s="897" t="s">
        <v>271</v>
      </c>
      <c r="C4" s="898"/>
      <c r="D4" s="898"/>
      <c r="E4" s="898"/>
      <c r="F4" s="898"/>
      <c r="G4" s="898"/>
      <c r="H4" s="899"/>
      <c r="J4" s="868" t="str">
        <f>UPPER("Rent Growth and Renovation Schedule")</f>
        <v>RENT GROWTH AND RENOVATION SCHEDULE</v>
      </c>
      <c r="K4" s="869"/>
      <c r="L4" s="869"/>
      <c r="M4" s="869"/>
      <c r="N4" s="869"/>
      <c r="O4" s="869"/>
      <c r="P4" s="870"/>
      <c r="R4" s="866"/>
      <c r="S4" s="866"/>
    </row>
    <row r="5" spans="2:22" ht="12.75" customHeight="1">
      <c r="B5" s="900"/>
      <c r="C5" s="901"/>
      <c r="D5" s="901"/>
      <c r="E5" s="901"/>
      <c r="F5" s="901"/>
      <c r="G5" s="901"/>
      <c r="H5" s="902"/>
      <c r="J5" s="871"/>
      <c r="K5" s="872"/>
      <c r="L5" s="872"/>
      <c r="M5" s="872"/>
      <c r="N5" s="872"/>
      <c r="O5" s="872"/>
      <c r="P5" s="873"/>
      <c r="R5" s="867"/>
      <c r="S5" s="867"/>
    </row>
    <row r="6" spans="2:22" ht="12.75" customHeight="1">
      <c r="B6" s="900"/>
      <c r="C6" s="901"/>
      <c r="D6" s="901"/>
      <c r="E6" s="901"/>
      <c r="F6" s="901"/>
      <c r="G6" s="901"/>
      <c r="H6" s="902"/>
      <c r="J6" s="871"/>
      <c r="K6" s="872"/>
      <c r="L6" s="872"/>
      <c r="M6" s="872"/>
      <c r="N6" s="872"/>
      <c r="O6" s="872"/>
      <c r="P6" s="873"/>
      <c r="R6" s="30"/>
      <c r="S6" s="30"/>
    </row>
    <row r="7" spans="2:22" ht="12.75" customHeight="1">
      <c r="B7" s="900"/>
      <c r="C7" s="901"/>
      <c r="D7" s="901"/>
      <c r="E7" s="901"/>
      <c r="F7" s="901"/>
      <c r="G7" s="901"/>
      <c r="H7" s="902"/>
      <c r="I7" s="226"/>
      <c r="J7" s="871"/>
      <c r="K7" s="872"/>
      <c r="L7" s="872"/>
      <c r="M7" s="872"/>
      <c r="N7" s="872"/>
      <c r="O7" s="872"/>
      <c r="P7" s="873"/>
      <c r="Q7" s="30"/>
      <c r="R7" s="709"/>
      <c r="S7" s="30"/>
      <c r="T7" s="427"/>
      <c r="U7" s="14"/>
      <c r="V7" s="14"/>
    </row>
    <row r="8" spans="2:22" ht="12.75" customHeight="1">
      <c r="B8" s="900"/>
      <c r="C8" s="901"/>
      <c r="D8" s="901"/>
      <c r="E8" s="901"/>
      <c r="F8" s="901"/>
      <c r="G8" s="901"/>
      <c r="H8" s="902"/>
      <c r="J8" s="871"/>
      <c r="K8" s="872"/>
      <c r="L8" s="872"/>
      <c r="M8" s="872"/>
      <c r="N8" s="872"/>
      <c r="O8" s="872"/>
      <c r="P8" s="873"/>
      <c r="Q8" s="30"/>
      <c r="R8" s="709"/>
      <c r="S8" s="30"/>
    </row>
    <row r="9" spans="2:22" ht="12.75" customHeight="1">
      <c r="B9" s="900"/>
      <c r="C9" s="901"/>
      <c r="D9" s="901"/>
      <c r="E9" s="901"/>
      <c r="F9" s="901"/>
      <c r="G9" s="901"/>
      <c r="H9" s="902"/>
      <c r="J9" s="871"/>
      <c r="K9" s="872"/>
      <c r="L9" s="872"/>
      <c r="M9" s="872"/>
      <c r="N9" s="872"/>
      <c r="O9" s="872"/>
      <c r="P9" s="873"/>
      <c r="Q9" s="58"/>
      <c r="R9" s="30"/>
      <c r="S9" s="29"/>
    </row>
    <row r="10" spans="2:22" ht="12.75" customHeight="1">
      <c r="B10" s="900"/>
      <c r="C10" s="901"/>
      <c r="D10" s="901"/>
      <c r="E10" s="901"/>
      <c r="F10" s="901"/>
      <c r="G10" s="901"/>
      <c r="H10" s="902"/>
      <c r="J10" s="871"/>
      <c r="K10" s="872"/>
      <c r="L10" s="872"/>
      <c r="M10" s="872"/>
      <c r="N10" s="872"/>
      <c r="O10" s="872"/>
      <c r="P10" s="873"/>
      <c r="Q10" s="58"/>
      <c r="R10" s="30"/>
      <c r="S10" s="29"/>
      <c r="U10" s="4"/>
      <c r="V10" s="4"/>
    </row>
    <row r="11" spans="2:22" ht="12.75" customHeight="1">
      <c r="B11" s="900"/>
      <c r="C11" s="901"/>
      <c r="D11" s="901"/>
      <c r="E11" s="901"/>
      <c r="F11" s="901"/>
      <c r="G11" s="901"/>
      <c r="H11" s="902"/>
      <c r="J11" s="871"/>
      <c r="K11" s="872"/>
      <c r="L11" s="872"/>
      <c r="M11" s="872"/>
      <c r="N11" s="872"/>
      <c r="O11" s="872"/>
      <c r="P11" s="873"/>
      <c r="Q11" s="30"/>
      <c r="R11" s="711"/>
      <c r="S11" s="29"/>
      <c r="U11" s="4"/>
      <c r="V11" s="4"/>
    </row>
    <row r="12" spans="2:22" ht="12.75" customHeight="1">
      <c r="B12" s="900"/>
      <c r="C12" s="901"/>
      <c r="D12" s="901"/>
      <c r="E12" s="901"/>
      <c r="F12" s="901"/>
      <c r="G12" s="901"/>
      <c r="H12" s="902"/>
      <c r="I12" s="20" t="str">
        <f>IF(ROUND(F10-'Assumptions Overview'!E26,0)=0," ","CHECK!")</f>
        <v xml:space="preserve"> </v>
      </c>
      <c r="J12" s="871"/>
      <c r="K12" s="872"/>
      <c r="L12" s="872"/>
      <c r="M12" s="872"/>
      <c r="N12" s="872"/>
      <c r="O12" s="872"/>
      <c r="P12" s="873"/>
      <c r="Q12" s="30"/>
      <c r="R12" s="53"/>
      <c r="S12" s="705"/>
      <c r="U12" s="4"/>
      <c r="V12" s="4"/>
    </row>
    <row r="13" spans="2:22" ht="12.75" customHeight="1">
      <c r="B13" s="900"/>
      <c r="C13" s="901"/>
      <c r="D13" s="901"/>
      <c r="E13" s="901"/>
      <c r="F13" s="901"/>
      <c r="G13" s="901"/>
      <c r="H13" s="902"/>
      <c r="I13" s="29"/>
      <c r="J13" s="871"/>
      <c r="K13" s="872"/>
      <c r="L13" s="872"/>
      <c r="M13" s="872"/>
      <c r="N13" s="872"/>
      <c r="O13" s="872"/>
      <c r="P13" s="873"/>
      <c r="Q13" s="30"/>
      <c r="R13" s="53"/>
      <c r="S13" s="705"/>
      <c r="T13" s="411"/>
      <c r="U13" s="4"/>
      <c r="V13" s="4"/>
    </row>
    <row r="14" spans="2:22" ht="12.75" customHeight="1">
      <c r="B14" s="900"/>
      <c r="C14" s="901"/>
      <c r="D14" s="901"/>
      <c r="E14" s="901"/>
      <c r="F14" s="901"/>
      <c r="G14" s="901"/>
      <c r="H14" s="902"/>
      <c r="J14" s="871"/>
      <c r="K14" s="872"/>
      <c r="L14" s="872"/>
      <c r="M14" s="872"/>
      <c r="N14" s="872"/>
      <c r="O14" s="872"/>
      <c r="P14" s="873"/>
      <c r="Q14" s="30"/>
      <c r="R14" s="53"/>
      <c r="S14" s="705"/>
      <c r="U14" s="4"/>
      <c r="V14" s="4"/>
    </row>
    <row r="15" spans="2:22" ht="12.75" customHeight="1">
      <c r="B15" s="903"/>
      <c r="C15" s="904"/>
      <c r="D15" s="904"/>
      <c r="E15" s="904"/>
      <c r="F15" s="904"/>
      <c r="G15" s="904"/>
      <c r="H15" s="905"/>
      <c r="J15" s="871"/>
      <c r="K15" s="872"/>
      <c r="L15" s="872"/>
      <c r="M15" s="872"/>
      <c r="N15" s="872"/>
      <c r="O15" s="872"/>
      <c r="P15" s="873"/>
      <c r="Q15" s="30"/>
      <c r="R15" s="53"/>
      <c r="S15" s="705"/>
      <c r="U15" s="4"/>
      <c r="V15" s="4"/>
    </row>
    <row r="16" spans="2:22" ht="12.75" customHeight="1">
      <c r="B16" s="338"/>
      <c r="D16" s="54"/>
      <c r="E16" s="54"/>
      <c r="F16" s="33"/>
      <c r="G16" s="55"/>
      <c r="H16" s="57"/>
      <c r="J16" s="871"/>
      <c r="K16" s="872"/>
      <c r="L16" s="872"/>
      <c r="M16" s="872"/>
      <c r="N16" s="872"/>
      <c r="O16" s="872"/>
      <c r="P16" s="873"/>
      <c r="Q16" s="30"/>
      <c r="R16" s="53"/>
      <c r="S16" s="705"/>
      <c r="T16" s="181"/>
      <c r="U16" s="4"/>
      <c r="V16" s="4"/>
    </row>
    <row r="17" spans="1:19">
      <c r="B17" s="906" t="str">
        <f>UPPER("Current Unit Mix and Legal/Market Rents")</f>
        <v>CURRENT UNIT MIX AND LEGAL/MARKET RENTS</v>
      </c>
      <c r="C17" s="907"/>
      <c r="D17" s="907"/>
      <c r="E17" s="907"/>
      <c r="F17" s="907"/>
      <c r="G17" s="907"/>
      <c r="H17" s="908"/>
      <c r="J17" s="871"/>
      <c r="K17" s="872"/>
      <c r="L17" s="872"/>
      <c r="M17" s="872"/>
      <c r="N17" s="872"/>
      <c r="O17" s="872"/>
      <c r="P17" s="873"/>
      <c r="Q17" s="30"/>
      <c r="R17" s="53"/>
      <c r="S17" s="705"/>
    </row>
    <row r="18" spans="1:19" ht="12.75" customHeight="1">
      <c r="B18" s="909"/>
      <c r="C18" s="910"/>
      <c r="D18" s="910"/>
      <c r="E18" s="910"/>
      <c r="F18" s="910"/>
      <c r="G18" s="910"/>
      <c r="H18" s="911"/>
      <c r="I18" s="348"/>
      <c r="J18" s="871"/>
      <c r="K18" s="872"/>
      <c r="L18" s="872"/>
      <c r="M18" s="872"/>
      <c r="N18" s="872"/>
      <c r="O18" s="872"/>
      <c r="P18" s="873"/>
      <c r="Q18" s="30"/>
      <c r="R18" s="53"/>
      <c r="S18" s="705"/>
    </row>
    <row r="19" spans="1:19" ht="12.75" customHeight="1">
      <c r="A19" s="366"/>
      <c r="B19" s="909"/>
      <c r="C19" s="910"/>
      <c r="D19" s="910"/>
      <c r="E19" s="910"/>
      <c r="F19" s="910"/>
      <c r="G19" s="910"/>
      <c r="H19" s="911"/>
      <c r="J19" s="871"/>
      <c r="K19" s="872"/>
      <c r="L19" s="872"/>
      <c r="M19" s="872"/>
      <c r="N19" s="872"/>
      <c r="O19" s="872"/>
      <c r="P19" s="873"/>
      <c r="Q19" s="30"/>
      <c r="R19" s="53"/>
      <c r="S19" s="705"/>
    </row>
    <row r="20" spans="1:19" ht="12.75" customHeight="1">
      <c r="A20" s="367"/>
      <c r="B20" s="909"/>
      <c r="C20" s="910"/>
      <c r="D20" s="910"/>
      <c r="E20" s="910"/>
      <c r="F20" s="910"/>
      <c r="G20" s="910"/>
      <c r="H20" s="911"/>
      <c r="J20" s="871"/>
      <c r="K20" s="872"/>
      <c r="L20" s="872"/>
      <c r="M20" s="872"/>
      <c r="N20" s="872"/>
      <c r="O20" s="872"/>
      <c r="P20" s="873"/>
      <c r="Q20" s="30"/>
      <c r="R20" s="53"/>
      <c r="S20" s="705"/>
    </row>
    <row r="21" spans="1:19" ht="12.75" customHeight="1">
      <c r="A21" s="367"/>
      <c r="B21" s="909"/>
      <c r="C21" s="910"/>
      <c r="D21" s="910"/>
      <c r="E21" s="910"/>
      <c r="F21" s="910"/>
      <c r="G21" s="910"/>
      <c r="H21" s="911"/>
      <c r="J21" s="871"/>
      <c r="K21" s="872"/>
      <c r="L21" s="872"/>
      <c r="M21" s="872"/>
      <c r="N21" s="872"/>
      <c r="O21" s="872"/>
      <c r="P21" s="873"/>
      <c r="Q21" s="30"/>
      <c r="R21" s="711"/>
      <c r="S21" s="705"/>
    </row>
    <row r="22" spans="1:19" ht="12.75" customHeight="1">
      <c r="A22" s="367"/>
      <c r="B22" s="909"/>
      <c r="C22" s="910"/>
      <c r="D22" s="910"/>
      <c r="E22" s="910"/>
      <c r="F22" s="910"/>
      <c r="G22" s="910"/>
      <c r="H22" s="911"/>
      <c r="J22" s="874"/>
      <c r="K22" s="875"/>
      <c r="L22" s="875"/>
      <c r="M22" s="875"/>
      <c r="N22" s="875"/>
      <c r="O22" s="875"/>
      <c r="P22" s="876"/>
      <c r="R22" s="710"/>
      <c r="S22" s="10"/>
    </row>
    <row r="23" spans="1:19" ht="12.75" customHeight="1">
      <c r="A23" s="367"/>
      <c r="B23" s="909"/>
      <c r="C23" s="910"/>
      <c r="D23" s="910"/>
      <c r="E23" s="910"/>
      <c r="F23" s="910"/>
      <c r="G23" s="910"/>
      <c r="H23" s="911"/>
      <c r="Q23" s="233"/>
      <c r="R23" s="40"/>
      <c r="S23" s="10"/>
    </row>
    <row r="24" spans="1:19">
      <c r="A24" s="367"/>
      <c r="B24" s="909"/>
      <c r="C24" s="910"/>
      <c r="D24" s="910"/>
      <c r="E24" s="910"/>
      <c r="F24" s="910"/>
      <c r="G24" s="910"/>
      <c r="H24" s="911"/>
      <c r="J24" s="878" t="str">
        <f>UPPER("Acquisition, Financing &amp; Disposition")</f>
        <v>ACQUISITION, FINANCING &amp; DISPOSITION</v>
      </c>
      <c r="K24" s="879"/>
      <c r="L24" s="879"/>
      <c r="M24" s="879"/>
      <c r="N24" s="879"/>
      <c r="O24" s="879"/>
      <c r="P24" s="880"/>
      <c r="Q24" s="233"/>
      <c r="R24" s="896"/>
      <c r="S24" s="896"/>
    </row>
    <row r="25" spans="1:19" ht="12.75" customHeight="1">
      <c r="A25" s="368"/>
      <c r="B25" s="909"/>
      <c r="C25" s="910"/>
      <c r="D25" s="910"/>
      <c r="E25" s="910"/>
      <c r="F25" s="910"/>
      <c r="G25" s="910"/>
      <c r="H25" s="911"/>
      <c r="J25" s="881"/>
      <c r="K25" s="882"/>
      <c r="L25" s="882"/>
      <c r="M25" s="882"/>
      <c r="N25" s="882"/>
      <c r="O25" s="882"/>
      <c r="P25" s="883"/>
      <c r="Q25" s="233"/>
      <c r="R25" s="763"/>
      <c r="S25" s="10"/>
    </row>
    <row r="26" spans="1:19" ht="12.75" customHeight="1">
      <c r="A26" s="366"/>
      <c r="B26" s="909"/>
      <c r="C26" s="910"/>
      <c r="D26" s="910"/>
      <c r="E26" s="910"/>
      <c r="F26" s="910"/>
      <c r="G26" s="910"/>
      <c r="H26" s="911"/>
      <c r="J26" s="881"/>
      <c r="K26" s="882"/>
      <c r="L26" s="882"/>
      <c r="M26" s="882"/>
      <c r="N26" s="882"/>
      <c r="O26" s="882"/>
      <c r="P26" s="883"/>
      <c r="Q26" s="233"/>
      <c r="R26" s="361"/>
      <c r="S26" s="765"/>
    </row>
    <row r="27" spans="1:19" ht="15.75" customHeight="1">
      <c r="B27" s="912"/>
      <c r="C27" s="913"/>
      <c r="D27" s="913"/>
      <c r="E27" s="913"/>
      <c r="F27" s="913"/>
      <c r="G27" s="913"/>
      <c r="H27" s="914"/>
      <c r="J27" s="881"/>
      <c r="K27" s="882"/>
      <c r="L27" s="882"/>
      <c r="M27" s="882"/>
      <c r="N27" s="882"/>
      <c r="O27" s="882"/>
      <c r="P27" s="883"/>
      <c r="Q27" s="233"/>
      <c r="R27" s="361"/>
      <c r="S27" s="766"/>
    </row>
    <row r="28" spans="1:19" ht="12.75" customHeight="1">
      <c r="F28" s="640"/>
      <c r="G28" s="641"/>
      <c r="H28" s="642"/>
      <c r="J28" s="881"/>
      <c r="K28" s="882"/>
      <c r="L28" s="882"/>
      <c r="M28" s="882"/>
      <c r="N28" s="882"/>
      <c r="O28" s="882"/>
      <c r="P28" s="883"/>
      <c r="Q28" s="233"/>
      <c r="R28" s="361"/>
      <c r="S28" s="767"/>
    </row>
    <row r="29" spans="1:19">
      <c r="B29" s="918" t="str">
        <f>UPPER("Estimated Annual Other Income 
and Passthroughs")</f>
        <v>ESTIMATED ANNUAL OTHER INCOME 
AND PASSTHROUGHS</v>
      </c>
      <c r="C29" s="919"/>
      <c r="D29" s="919"/>
      <c r="E29" s="919"/>
      <c r="F29" s="919"/>
      <c r="G29" s="919"/>
      <c r="H29" s="920"/>
      <c r="J29" s="881"/>
      <c r="K29" s="882"/>
      <c r="L29" s="882"/>
      <c r="M29" s="882"/>
      <c r="N29" s="882"/>
      <c r="O29" s="882"/>
      <c r="P29" s="883"/>
      <c r="Q29" s="233"/>
      <c r="R29" s="361"/>
      <c r="S29" s="767"/>
    </row>
    <row r="30" spans="1:19" ht="12.75" customHeight="1">
      <c r="B30" s="921"/>
      <c r="C30" s="922"/>
      <c r="D30" s="922"/>
      <c r="E30" s="922"/>
      <c r="F30" s="922"/>
      <c r="G30" s="922"/>
      <c r="H30" s="923"/>
      <c r="J30" s="881"/>
      <c r="K30" s="882"/>
      <c r="L30" s="882"/>
      <c r="M30" s="882"/>
      <c r="N30" s="882"/>
      <c r="O30" s="882"/>
      <c r="P30" s="883"/>
      <c r="Q30" s="233"/>
      <c r="R30" s="763"/>
      <c r="S30" s="767"/>
    </row>
    <row r="31" spans="1:19" ht="12.75" customHeight="1">
      <c r="B31" s="921"/>
      <c r="C31" s="922"/>
      <c r="D31" s="922"/>
      <c r="E31" s="922"/>
      <c r="F31" s="922"/>
      <c r="G31" s="922"/>
      <c r="H31" s="923"/>
      <c r="J31" s="881"/>
      <c r="K31" s="882"/>
      <c r="L31" s="882"/>
      <c r="M31" s="882"/>
      <c r="N31" s="882"/>
      <c r="O31" s="882"/>
      <c r="P31" s="883"/>
      <c r="Q31" s="233"/>
      <c r="R31" s="763"/>
      <c r="S31" s="768"/>
    </row>
    <row r="32" spans="1:19" ht="12.75" customHeight="1">
      <c r="B32" s="921"/>
      <c r="C32" s="922"/>
      <c r="D32" s="922"/>
      <c r="E32" s="922"/>
      <c r="F32" s="922"/>
      <c r="G32" s="922"/>
      <c r="H32" s="923"/>
      <c r="J32" s="881"/>
      <c r="K32" s="882"/>
      <c r="L32" s="882"/>
      <c r="M32" s="882"/>
      <c r="N32" s="882"/>
      <c r="O32" s="882"/>
      <c r="P32" s="883"/>
      <c r="Q32" s="233"/>
      <c r="R32" s="361"/>
      <c r="S32" s="767"/>
    </row>
    <row r="33" spans="1:49" ht="12.75" customHeight="1">
      <c r="B33" s="921"/>
      <c r="C33" s="922"/>
      <c r="D33" s="922"/>
      <c r="E33" s="922"/>
      <c r="F33" s="922"/>
      <c r="G33" s="922"/>
      <c r="H33" s="923"/>
      <c r="J33" s="881"/>
      <c r="K33" s="882"/>
      <c r="L33" s="882"/>
      <c r="M33" s="882"/>
      <c r="N33" s="882"/>
      <c r="O33" s="882"/>
      <c r="P33" s="883"/>
      <c r="Q33" s="233"/>
      <c r="R33" s="763"/>
      <c r="S33" s="769"/>
      <c r="T33" s="181"/>
    </row>
    <row r="34" spans="1:49" ht="12.75" customHeight="1">
      <c r="B34" s="921"/>
      <c r="C34" s="922"/>
      <c r="D34" s="922"/>
      <c r="E34" s="922"/>
      <c r="F34" s="922"/>
      <c r="G34" s="922"/>
      <c r="H34" s="923"/>
      <c r="J34" s="881"/>
      <c r="K34" s="882"/>
      <c r="L34" s="882"/>
      <c r="M34" s="882"/>
      <c r="N34" s="882"/>
      <c r="O34" s="882"/>
      <c r="P34" s="883"/>
      <c r="Q34" s="233"/>
      <c r="R34" s="10"/>
      <c r="S34" s="10"/>
      <c r="T34" s="181"/>
    </row>
    <row r="35" spans="1:49" ht="12.75" customHeight="1">
      <c r="B35" s="921"/>
      <c r="C35" s="922"/>
      <c r="D35" s="922"/>
      <c r="E35" s="922"/>
      <c r="F35" s="922"/>
      <c r="G35" s="922"/>
      <c r="H35" s="923"/>
      <c r="J35" s="881"/>
      <c r="K35" s="882"/>
      <c r="L35" s="882"/>
      <c r="M35" s="882"/>
      <c r="N35" s="882"/>
      <c r="O35" s="882"/>
      <c r="P35" s="883"/>
      <c r="Q35" s="233"/>
      <c r="R35" s="896"/>
      <c r="S35" s="896"/>
      <c r="T35" s="181"/>
    </row>
    <row r="36" spans="1:49" ht="12.75" customHeight="1">
      <c r="B36" s="921"/>
      <c r="C36" s="922"/>
      <c r="D36" s="922"/>
      <c r="E36" s="922"/>
      <c r="F36" s="922"/>
      <c r="G36" s="922"/>
      <c r="H36" s="923"/>
      <c r="J36" s="881"/>
      <c r="K36" s="882"/>
      <c r="L36" s="882"/>
      <c r="M36" s="882"/>
      <c r="N36" s="882"/>
      <c r="O36" s="882"/>
      <c r="P36" s="883"/>
      <c r="Q36" s="233"/>
      <c r="R36" s="10"/>
      <c r="S36" s="51"/>
      <c r="T36" s="181"/>
    </row>
    <row r="37" spans="1:49" ht="12.75" customHeight="1">
      <c r="B37" s="921"/>
      <c r="C37" s="922"/>
      <c r="D37" s="922"/>
      <c r="E37" s="922"/>
      <c r="F37" s="922"/>
      <c r="G37" s="922"/>
      <c r="H37" s="923"/>
      <c r="J37" s="881"/>
      <c r="K37" s="882"/>
      <c r="L37" s="882"/>
      <c r="M37" s="882"/>
      <c r="N37" s="882"/>
      <c r="O37" s="882"/>
      <c r="P37" s="883"/>
      <c r="Q37" s="233"/>
      <c r="R37" s="361"/>
      <c r="S37" s="761"/>
      <c r="T37" s="181"/>
    </row>
    <row r="38" spans="1:49" ht="12.75" customHeight="1">
      <c r="B38" s="921"/>
      <c r="C38" s="922"/>
      <c r="D38" s="922"/>
      <c r="E38" s="922"/>
      <c r="F38" s="922"/>
      <c r="G38" s="922"/>
      <c r="H38" s="923"/>
      <c r="J38" s="881"/>
      <c r="K38" s="882"/>
      <c r="L38" s="882"/>
      <c r="M38" s="882"/>
      <c r="N38" s="882"/>
      <c r="O38" s="882"/>
      <c r="P38" s="883"/>
      <c r="Q38" s="58"/>
      <c r="R38" s="762"/>
      <c r="S38" s="763"/>
      <c r="T38" s="428"/>
    </row>
    <row r="39" spans="1:49" ht="12.75" customHeight="1">
      <c r="B39" s="921"/>
      <c r="C39" s="922"/>
      <c r="D39" s="922"/>
      <c r="E39" s="922"/>
      <c r="F39" s="922"/>
      <c r="G39" s="922"/>
      <c r="H39" s="923"/>
      <c r="I39" s="27"/>
      <c r="J39" s="881"/>
      <c r="K39" s="882"/>
      <c r="L39" s="882"/>
      <c r="M39" s="882"/>
      <c r="N39" s="882"/>
      <c r="O39" s="882"/>
      <c r="P39" s="883"/>
      <c r="Q39" s="287"/>
      <c r="R39" s="762"/>
      <c r="S39" s="763"/>
    </row>
    <row r="40" spans="1:49" ht="12.75" customHeight="1">
      <c r="B40" s="921"/>
      <c r="C40" s="922"/>
      <c r="D40" s="922"/>
      <c r="E40" s="922"/>
      <c r="F40" s="922"/>
      <c r="G40" s="922"/>
      <c r="H40" s="923"/>
      <c r="I40" s="27"/>
      <c r="J40" s="881"/>
      <c r="K40" s="882"/>
      <c r="L40" s="882"/>
      <c r="M40" s="882"/>
      <c r="N40" s="882"/>
      <c r="O40" s="882"/>
      <c r="P40" s="883"/>
      <c r="R40" s="764"/>
      <c r="S40" s="764"/>
    </row>
    <row r="41" spans="1:49" ht="12.75" customHeight="1">
      <c r="B41" s="924"/>
      <c r="C41" s="925"/>
      <c r="D41" s="925"/>
      <c r="E41" s="925"/>
      <c r="F41" s="925"/>
      <c r="G41" s="925"/>
      <c r="H41" s="926"/>
      <c r="J41" s="881"/>
      <c r="K41" s="882"/>
      <c r="L41" s="882"/>
      <c r="M41" s="882"/>
      <c r="N41" s="882"/>
      <c r="O41" s="882"/>
      <c r="P41" s="883"/>
      <c r="Q41" s="288"/>
      <c r="R41" s="896"/>
      <c r="S41" s="896"/>
      <c r="T41" s="429"/>
      <c r="U41" s="24"/>
      <c r="V41" s="24"/>
    </row>
    <row r="42" spans="1:49" ht="12.75" customHeight="1">
      <c r="B42" s="355"/>
      <c r="D42" s="277"/>
      <c r="F42" s="279"/>
      <c r="G42" s="306"/>
      <c r="H42" s="277"/>
      <c r="J42" s="881"/>
      <c r="K42" s="882"/>
      <c r="L42" s="882"/>
      <c r="M42" s="882"/>
      <c r="N42" s="882"/>
      <c r="O42" s="882"/>
      <c r="P42" s="883"/>
      <c r="R42" s="917"/>
      <c r="S42" s="917"/>
      <c r="T42" s="310"/>
      <c r="U42" s="311"/>
      <c r="V42" s="311"/>
    </row>
    <row r="43" spans="1:49" ht="12.75" customHeight="1">
      <c r="B43" s="927" t="s">
        <v>282</v>
      </c>
      <c r="C43" s="928"/>
      <c r="D43" s="928"/>
      <c r="E43" s="928"/>
      <c r="F43" s="928"/>
      <c r="G43" s="928"/>
      <c r="H43" s="929"/>
      <c r="J43" s="881"/>
      <c r="K43" s="882"/>
      <c r="L43" s="882"/>
      <c r="M43" s="882"/>
      <c r="N43" s="882"/>
      <c r="O43" s="882"/>
      <c r="P43" s="883"/>
      <c r="R43" s="303"/>
      <c r="S43" s="699"/>
      <c r="T43" s="181"/>
      <c r="U43" s="181"/>
      <c r="V43" s="181"/>
    </row>
    <row r="44" spans="1:49" ht="12.75" customHeight="1">
      <c r="B44" s="930"/>
      <c r="C44" s="931"/>
      <c r="D44" s="931"/>
      <c r="E44" s="931"/>
      <c r="F44" s="931"/>
      <c r="G44" s="931"/>
      <c r="H44" s="932"/>
      <c r="J44" s="881"/>
      <c r="K44" s="882"/>
      <c r="L44" s="882"/>
      <c r="M44" s="882"/>
      <c r="N44" s="882"/>
      <c r="O44" s="882"/>
      <c r="P44" s="883"/>
      <c r="R44" s="303"/>
      <c r="S44" s="699"/>
      <c r="T44" s="275"/>
      <c r="U44" s="275"/>
      <c r="V44" s="275"/>
    </row>
    <row r="45" spans="1:49" ht="12.75" customHeight="1">
      <c r="B45" s="930"/>
      <c r="C45" s="931"/>
      <c r="D45" s="931"/>
      <c r="E45" s="931"/>
      <c r="F45" s="931"/>
      <c r="G45" s="931"/>
      <c r="H45" s="932"/>
      <c r="J45" s="881"/>
      <c r="K45" s="882"/>
      <c r="L45" s="882"/>
      <c r="M45" s="882"/>
      <c r="N45" s="882"/>
      <c r="O45" s="882"/>
      <c r="P45" s="883"/>
      <c r="R45" s="53"/>
      <c r="S45" s="463"/>
    </row>
    <row r="46" spans="1:49">
      <c r="B46" s="930"/>
      <c r="C46" s="931"/>
      <c r="D46" s="931"/>
      <c r="E46" s="931"/>
      <c r="F46" s="931"/>
      <c r="G46" s="931"/>
      <c r="H46" s="932"/>
      <c r="J46" s="881"/>
      <c r="K46" s="882"/>
      <c r="L46" s="882"/>
      <c r="M46" s="882"/>
      <c r="N46" s="882"/>
      <c r="O46" s="882"/>
      <c r="P46" s="883"/>
      <c r="S46" s="463"/>
    </row>
    <row r="47" spans="1:49" s="33" customFormat="1" ht="14.25" customHeight="1">
      <c r="A47" s="8"/>
      <c r="B47" s="930"/>
      <c r="C47" s="931"/>
      <c r="D47" s="931"/>
      <c r="E47" s="931"/>
      <c r="F47" s="931"/>
      <c r="G47" s="931"/>
      <c r="H47" s="932"/>
      <c r="I47" s="8"/>
      <c r="J47" s="881"/>
      <c r="K47" s="882"/>
      <c r="L47" s="882"/>
      <c r="M47" s="882"/>
      <c r="N47" s="882"/>
      <c r="O47" s="882"/>
      <c r="P47" s="883"/>
      <c r="Q47" s="8"/>
      <c r="R47" s="332"/>
      <c r="S47" s="691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49" s="33" customFormat="1" ht="12.75" customHeight="1">
      <c r="A48" s="8"/>
      <c r="B48" s="930"/>
      <c r="C48" s="931"/>
      <c r="D48" s="931"/>
      <c r="E48" s="931"/>
      <c r="F48" s="931"/>
      <c r="G48" s="931"/>
      <c r="H48" s="932"/>
      <c r="I48" s="8"/>
      <c r="J48" s="881"/>
      <c r="K48" s="882"/>
      <c r="L48" s="882"/>
      <c r="M48" s="882"/>
      <c r="N48" s="882"/>
      <c r="O48" s="882"/>
      <c r="P48" s="883"/>
      <c r="Q48" s="34"/>
      <c r="R48" s="692"/>
      <c r="S48" s="693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</row>
    <row r="49" spans="1:49" s="33" customFormat="1" ht="12.75" customHeight="1">
      <c r="A49" s="8"/>
      <c r="B49" s="930"/>
      <c r="C49" s="931"/>
      <c r="D49" s="931"/>
      <c r="E49" s="931"/>
      <c r="F49" s="931"/>
      <c r="G49" s="931"/>
      <c r="H49" s="932"/>
      <c r="I49" s="8"/>
      <c r="J49" s="881"/>
      <c r="K49" s="882"/>
      <c r="L49" s="882"/>
      <c r="M49" s="882"/>
      <c r="N49" s="882"/>
      <c r="O49" s="882"/>
      <c r="P49" s="883"/>
      <c r="Q49" s="34"/>
      <c r="R49" s="692"/>
      <c r="S49" s="693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</row>
    <row r="50" spans="1:49" s="33" customFormat="1" ht="12.75" customHeight="1">
      <c r="A50" s="8"/>
      <c r="B50" s="930"/>
      <c r="C50" s="931"/>
      <c r="D50" s="931"/>
      <c r="E50" s="931"/>
      <c r="F50" s="931"/>
      <c r="G50" s="931"/>
      <c r="H50" s="932"/>
      <c r="I50" s="8"/>
      <c r="J50" s="881"/>
      <c r="K50" s="882"/>
      <c r="L50" s="882"/>
      <c r="M50" s="882"/>
      <c r="N50" s="882"/>
      <c r="O50" s="882"/>
      <c r="P50" s="883"/>
      <c r="Q50" s="35"/>
      <c r="R50" s="684"/>
      <c r="S50" s="694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</row>
    <row r="51" spans="1:49" s="33" customFormat="1" ht="12.75" customHeight="1">
      <c r="A51" s="8"/>
      <c r="B51" s="930"/>
      <c r="C51" s="931"/>
      <c r="D51" s="931"/>
      <c r="E51" s="931"/>
      <c r="F51" s="931"/>
      <c r="G51" s="931"/>
      <c r="H51" s="932"/>
      <c r="I51" s="8"/>
      <c r="J51" s="881"/>
      <c r="K51" s="882"/>
      <c r="L51" s="882"/>
      <c r="M51" s="882"/>
      <c r="N51" s="882"/>
      <c r="O51" s="882"/>
      <c r="P51" s="883"/>
      <c r="Q51" s="35"/>
      <c r="R51" s="915"/>
      <c r="S51" s="915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</row>
    <row r="52" spans="1:49" s="33" customFormat="1" ht="12.75" customHeight="1">
      <c r="A52" s="8"/>
      <c r="B52" s="930"/>
      <c r="C52" s="931"/>
      <c r="D52" s="931"/>
      <c r="E52" s="931"/>
      <c r="F52" s="931"/>
      <c r="G52" s="931"/>
      <c r="H52" s="932"/>
      <c r="I52" s="8"/>
      <c r="J52" s="881"/>
      <c r="K52" s="882"/>
      <c r="L52" s="882"/>
      <c r="M52" s="882"/>
      <c r="N52" s="882"/>
      <c r="O52" s="882"/>
      <c r="P52" s="883"/>
      <c r="Q52" s="36"/>
      <c r="R52" s="916"/>
      <c r="S52" s="916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</row>
    <row r="53" spans="1:49" s="33" customFormat="1" ht="12.75" customHeight="1">
      <c r="A53" s="8"/>
      <c r="B53" s="930"/>
      <c r="C53" s="931"/>
      <c r="D53" s="931"/>
      <c r="E53" s="931"/>
      <c r="F53" s="931"/>
      <c r="G53" s="931"/>
      <c r="H53" s="932"/>
      <c r="I53" s="8"/>
      <c r="J53" s="881"/>
      <c r="K53" s="882"/>
      <c r="L53" s="882"/>
      <c r="M53" s="882"/>
      <c r="N53" s="882"/>
      <c r="O53" s="882"/>
      <c r="P53" s="883"/>
      <c r="Q53" s="8"/>
      <c r="R53" s="685"/>
      <c r="S53" s="52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</row>
    <row r="54" spans="1:49" s="33" customFormat="1" ht="12.75" customHeight="1">
      <c r="A54" s="8"/>
      <c r="B54" s="930"/>
      <c r="C54" s="931"/>
      <c r="D54" s="931"/>
      <c r="E54" s="931"/>
      <c r="F54" s="931"/>
      <c r="G54" s="931"/>
      <c r="H54" s="932"/>
      <c r="I54" s="30"/>
      <c r="J54" s="881"/>
      <c r="K54" s="882"/>
      <c r="L54" s="882"/>
      <c r="M54" s="882"/>
      <c r="N54" s="882"/>
      <c r="O54" s="882"/>
      <c r="P54" s="883"/>
      <c r="Q54" s="8"/>
      <c r="R54" s="53"/>
      <c r="S54" s="462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</row>
    <row r="55" spans="1:49" s="33" customFormat="1" ht="12.75" customHeight="1">
      <c r="A55" s="8"/>
      <c r="B55" s="930"/>
      <c r="C55" s="931"/>
      <c r="D55" s="931"/>
      <c r="E55" s="931"/>
      <c r="F55" s="931"/>
      <c r="G55" s="931"/>
      <c r="H55" s="932"/>
      <c r="I55" s="30"/>
      <c r="J55" s="881"/>
      <c r="K55" s="882"/>
      <c r="L55" s="882"/>
      <c r="M55" s="882"/>
      <c r="N55" s="882"/>
      <c r="O55" s="882"/>
      <c r="P55" s="883"/>
      <c r="Q55" s="8"/>
      <c r="R55" s="53"/>
      <c r="S55" s="462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</row>
    <row r="56" spans="1:49" s="33" customFormat="1" ht="12.75" customHeight="1">
      <c r="A56" s="8"/>
      <c r="B56" s="930"/>
      <c r="C56" s="931"/>
      <c r="D56" s="931"/>
      <c r="E56" s="931"/>
      <c r="F56" s="931"/>
      <c r="G56" s="931"/>
      <c r="H56" s="932"/>
      <c r="I56" s="30"/>
      <c r="J56" s="881"/>
      <c r="K56" s="882"/>
      <c r="L56" s="882"/>
      <c r="M56" s="882"/>
      <c r="N56" s="882"/>
      <c r="O56" s="882"/>
      <c r="P56" s="883"/>
      <c r="Q56" s="8"/>
      <c r="R56" s="53"/>
      <c r="S56" s="462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</row>
    <row r="57" spans="1:49" s="33" customFormat="1" ht="12.75" customHeight="1">
      <c r="A57" s="8"/>
      <c r="B57" s="930"/>
      <c r="C57" s="931"/>
      <c r="D57" s="931"/>
      <c r="E57" s="931"/>
      <c r="F57" s="931"/>
      <c r="G57" s="931"/>
      <c r="H57" s="932"/>
      <c r="I57" s="30"/>
      <c r="J57" s="881"/>
      <c r="K57" s="882"/>
      <c r="L57" s="882"/>
      <c r="M57" s="882"/>
      <c r="N57" s="882"/>
      <c r="O57" s="882"/>
      <c r="P57" s="883"/>
      <c r="Q57" s="8"/>
      <c r="R57" s="53"/>
      <c r="S57" s="462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</row>
    <row r="58" spans="1:49" s="33" customFormat="1" ht="12.75" customHeight="1">
      <c r="A58" s="8"/>
      <c r="B58" s="930"/>
      <c r="C58" s="931"/>
      <c r="D58" s="931"/>
      <c r="E58" s="931"/>
      <c r="F58" s="931"/>
      <c r="G58" s="931"/>
      <c r="H58" s="932"/>
      <c r="I58" s="712"/>
      <c r="J58" s="881"/>
      <c r="K58" s="882"/>
      <c r="L58" s="882"/>
      <c r="M58" s="882"/>
      <c r="N58" s="882"/>
      <c r="O58" s="882"/>
      <c r="P58" s="883"/>
      <c r="Q58" s="8"/>
      <c r="R58" s="53"/>
      <c r="S58" s="462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</row>
    <row r="59" spans="1:49" s="33" customFormat="1" ht="12.75" customHeight="1">
      <c r="A59" s="8"/>
      <c r="B59" s="930"/>
      <c r="C59" s="931"/>
      <c r="D59" s="931"/>
      <c r="E59" s="931"/>
      <c r="F59" s="931"/>
      <c r="G59" s="931"/>
      <c r="H59" s="932"/>
      <c r="I59" s="30"/>
      <c r="J59" s="881"/>
      <c r="K59" s="882"/>
      <c r="L59" s="882"/>
      <c r="M59" s="882"/>
      <c r="N59" s="882"/>
      <c r="O59" s="882"/>
      <c r="P59" s="883"/>
      <c r="Q59" s="8"/>
      <c r="R59" s="53"/>
      <c r="S59" s="463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</row>
    <row r="60" spans="1:49" s="33" customFormat="1" ht="12.75" customHeight="1">
      <c r="A60" s="8"/>
      <c r="B60" s="930"/>
      <c r="C60" s="931"/>
      <c r="D60" s="931"/>
      <c r="E60" s="931"/>
      <c r="F60" s="931"/>
      <c r="G60" s="931"/>
      <c r="H60" s="932"/>
      <c r="I60" s="30"/>
      <c r="J60" s="881"/>
      <c r="K60" s="882"/>
      <c r="L60" s="882"/>
      <c r="M60" s="882"/>
      <c r="N60" s="882"/>
      <c r="O60" s="882"/>
      <c r="P60" s="883"/>
      <c r="Q60" s="8"/>
      <c r="R60" s="53"/>
      <c r="S60" s="463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s="33" customFormat="1" ht="12.75" customHeight="1">
      <c r="A61" s="8"/>
      <c r="B61" s="930"/>
      <c r="C61" s="931"/>
      <c r="D61" s="931"/>
      <c r="E61" s="931"/>
      <c r="F61" s="931"/>
      <c r="G61" s="931"/>
      <c r="H61" s="932"/>
      <c r="I61" s="30"/>
      <c r="J61" s="881"/>
      <c r="K61" s="882"/>
      <c r="L61" s="882"/>
      <c r="M61" s="882"/>
      <c r="N61" s="882"/>
      <c r="O61" s="882"/>
      <c r="P61" s="883"/>
      <c r="Q61" s="8"/>
      <c r="R61" s="53"/>
      <c r="S61" s="462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</row>
    <row r="62" spans="1:49" s="33" customFormat="1" ht="12.75" customHeight="1">
      <c r="A62" s="8"/>
      <c r="B62" s="930"/>
      <c r="C62" s="931"/>
      <c r="D62" s="931"/>
      <c r="E62" s="931"/>
      <c r="F62" s="931"/>
      <c r="G62" s="931"/>
      <c r="H62" s="932"/>
      <c r="I62" s="30"/>
      <c r="J62" s="881"/>
      <c r="K62" s="882"/>
      <c r="L62" s="882"/>
      <c r="M62" s="882"/>
      <c r="N62" s="882"/>
      <c r="O62" s="882"/>
      <c r="P62" s="883"/>
      <c r="Q62" s="8"/>
      <c r="R62" s="53"/>
      <c r="S62" s="462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ht="12.75" customHeight="1">
      <c r="B63" s="933"/>
      <c r="C63" s="934"/>
      <c r="D63" s="934"/>
      <c r="E63" s="934"/>
      <c r="F63" s="934"/>
      <c r="G63" s="934"/>
      <c r="H63" s="935"/>
      <c r="I63" s="30"/>
      <c r="J63" s="884"/>
      <c r="K63" s="885"/>
      <c r="L63" s="885"/>
      <c r="M63" s="885"/>
      <c r="N63" s="885"/>
      <c r="O63" s="885"/>
      <c r="P63" s="886"/>
      <c r="R63" s="53"/>
      <c r="S63" s="462"/>
    </row>
    <row r="64" spans="1:49" ht="12.75" customHeight="1">
      <c r="I64" s="30"/>
      <c r="J64" s="30"/>
      <c r="K64" s="713"/>
      <c r="L64" s="30"/>
      <c r="M64" s="30"/>
      <c r="N64" s="30"/>
      <c r="O64" s="30"/>
      <c r="P64" s="30"/>
      <c r="R64" s="53"/>
      <c r="S64" s="462"/>
    </row>
    <row r="65" spans="2:49">
      <c r="B65" s="887" t="str">
        <f>UPPER("Gross Rent Deductions and Non-Revenue Units")</f>
        <v>GROSS RENT DEDUCTIONS AND NON-REVENUE UNITS</v>
      </c>
      <c r="C65" s="888"/>
      <c r="D65" s="888"/>
      <c r="E65" s="888"/>
      <c r="F65" s="888"/>
      <c r="G65" s="888"/>
      <c r="H65" s="888"/>
      <c r="I65" s="888"/>
      <c r="J65" s="888"/>
      <c r="K65" s="888"/>
      <c r="L65" s="888"/>
      <c r="M65" s="888"/>
      <c r="N65" s="888"/>
      <c r="O65" s="888"/>
      <c r="P65" s="889"/>
    </row>
    <row r="66" spans="2:49" ht="12.75" customHeight="1">
      <c r="B66" s="890"/>
      <c r="C66" s="891"/>
      <c r="D66" s="891"/>
      <c r="E66" s="891"/>
      <c r="F66" s="891"/>
      <c r="G66" s="891"/>
      <c r="H66" s="891"/>
      <c r="I66" s="891"/>
      <c r="J66" s="891"/>
      <c r="K66" s="891"/>
      <c r="L66" s="891"/>
      <c r="M66" s="891"/>
      <c r="N66" s="891"/>
      <c r="O66" s="891"/>
      <c r="P66" s="892"/>
    </row>
    <row r="67" spans="2:49" ht="12.75" customHeight="1">
      <c r="B67" s="890"/>
      <c r="C67" s="891"/>
      <c r="D67" s="891"/>
      <c r="E67" s="891"/>
      <c r="F67" s="891"/>
      <c r="G67" s="891"/>
      <c r="H67" s="891"/>
      <c r="I67" s="891"/>
      <c r="J67" s="891"/>
      <c r="K67" s="891"/>
      <c r="L67" s="891"/>
      <c r="M67" s="891"/>
      <c r="N67" s="891"/>
      <c r="O67" s="891"/>
      <c r="P67" s="892"/>
    </row>
    <row r="68" spans="2:49" ht="12.75" customHeight="1">
      <c r="B68" s="890"/>
      <c r="C68" s="891"/>
      <c r="D68" s="891"/>
      <c r="E68" s="891"/>
      <c r="F68" s="891"/>
      <c r="G68" s="891"/>
      <c r="H68" s="891"/>
      <c r="I68" s="891"/>
      <c r="J68" s="891"/>
      <c r="K68" s="891"/>
      <c r="L68" s="891"/>
      <c r="M68" s="891"/>
      <c r="N68" s="891"/>
      <c r="O68" s="891"/>
      <c r="P68" s="892"/>
    </row>
    <row r="69" spans="2:49" ht="12.75" customHeight="1">
      <c r="B69" s="890"/>
      <c r="C69" s="891"/>
      <c r="D69" s="891"/>
      <c r="E69" s="891"/>
      <c r="F69" s="891"/>
      <c r="G69" s="891"/>
      <c r="H69" s="891"/>
      <c r="I69" s="891"/>
      <c r="J69" s="891"/>
      <c r="K69" s="891"/>
      <c r="L69" s="891"/>
      <c r="M69" s="891"/>
      <c r="N69" s="891"/>
      <c r="O69" s="891"/>
      <c r="P69" s="892"/>
      <c r="U69" s="38"/>
      <c r="V69" s="38"/>
    </row>
    <row r="70" spans="2:49" ht="12.75" customHeight="1">
      <c r="B70" s="890"/>
      <c r="C70" s="891"/>
      <c r="D70" s="891"/>
      <c r="E70" s="891"/>
      <c r="F70" s="891"/>
      <c r="G70" s="891"/>
      <c r="H70" s="891"/>
      <c r="I70" s="891"/>
      <c r="J70" s="891"/>
      <c r="K70" s="891"/>
      <c r="L70" s="891"/>
      <c r="M70" s="891"/>
      <c r="N70" s="891"/>
      <c r="O70" s="891"/>
      <c r="P70" s="892"/>
    </row>
    <row r="71" spans="2:49" ht="12.75" customHeight="1">
      <c r="B71" s="890"/>
      <c r="C71" s="891"/>
      <c r="D71" s="891"/>
      <c r="E71" s="891"/>
      <c r="F71" s="891"/>
      <c r="G71" s="891"/>
      <c r="H71" s="891"/>
      <c r="I71" s="891"/>
      <c r="J71" s="891"/>
      <c r="K71" s="891"/>
      <c r="L71" s="891"/>
      <c r="M71" s="891"/>
      <c r="N71" s="891"/>
      <c r="O71" s="891"/>
      <c r="P71" s="892"/>
    </row>
    <row r="72" spans="2:49" ht="12.75" customHeight="1">
      <c r="B72" s="890"/>
      <c r="C72" s="891"/>
      <c r="D72" s="891"/>
      <c r="E72" s="891"/>
      <c r="F72" s="891"/>
      <c r="G72" s="891"/>
      <c r="H72" s="891"/>
      <c r="I72" s="891"/>
      <c r="J72" s="891"/>
      <c r="K72" s="891"/>
      <c r="L72" s="891"/>
      <c r="M72" s="891"/>
      <c r="N72" s="891"/>
      <c r="O72" s="891"/>
      <c r="P72" s="892"/>
    </row>
    <row r="73" spans="2:49" ht="12.75" customHeight="1">
      <c r="B73" s="890"/>
      <c r="C73" s="891"/>
      <c r="D73" s="891"/>
      <c r="E73" s="891"/>
      <c r="F73" s="891"/>
      <c r="G73" s="891"/>
      <c r="H73" s="891"/>
      <c r="I73" s="891"/>
      <c r="J73" s="891"/>
      <c r="K73" s="891"/>
      <c r="L73" s="891"/>
      <c r="M73" s="891"/>
      <c r="N73" s="891"/>
      <c r="O73" s="891"/>
      <c r="P73" s="892"/>
    </row>
    <row r="74" spans="2:49" s="10" customFormat="1" ht="12.75" customHeight="1">
      <c r="B74" s="890"/>
      <c r="C74" s="891"/>
      <c r="D74" s="891"/>
      <c r="E74" s="891"/>
      <c r="F74" s="891"/>
      <c r="G74" s="891"/>
      <c r="H74" s="891"/>
      <c r="I74" s="891"/>
      <c r="J74" s="891"/>
      <c r="K74" s="891"/>
      <c r="L74" s="891"/>
      <c r="M74" s="891"/>
      <c r="N74" s="891"/>
      <c r="O74" s="891"/>
      <c r="P74" s="892"/>
      <c r="T74" s="58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40"/>
      <c r="AW74" s="40"/>
    </row>
    <row r="75" spans="2:49" s="10" customFormat="1" ht="12.75" customHeight="1">
      <c r="B75" s="890"/>
      <c r="C75" s="891"/>
      <c r="D75" s="891"/>
      <c r="E75" s="891"/>
      <c r="F75" s="891"/>
      <c r="G75" s="891"/>
      <c r="H75" s="891"/>
      <c r="I75" s="891"/>
      <c r="J75" s="891"/>
      <c r="K75" s="891"/>
      <c r="L75" s="891"/>
      <c r="M75" s="891"/>
      <c r="N75" s="891"/>
      <c r="O75" s="891"/>
      <c r="P75" s="892"/>
      <c r="T75" s="58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40"/>
      <c r="AW75" s="40"/>
    </row>
    <row r="76" spans="2:49" s="10" customFormat="1" ht="12.75" customHeight="1">
      <c r="B76" s="893"/>
      <c r="C76" s="894"/>
      <c r="D76" s="894"/>
      <c r="E76" s="894"/>
      <c r="F76" s="894"/>
      <c r="G76" s="894"/>
      <c r="H76" s="894"/>
      <c r="I76" s="894"/>
      <c r="J76" s="894"/>
      <c r="K76" s="894"/>
      <c r="L76" s="894"/>
      <c r="M76" s="894"/>
      <c r="N76" s="894"/>
      <c r="O76" s="894"/>
      <c r="P76" s="895"/>
      <c r="T76" s="58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40"/>
      <c r="AW76" s="40"/>
    </row>
    <row r="77" spans="2:49" s="10" customFormat="1" ht="12.75" customHeight="1">
      <c r="B77" s="701"/>
      <c r="T77" s="33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40"/>
      <c r="AW77" s="40"/>
    </row>
    <row r="78" spans="2:49" s="10" customFormat="1" ht="12.75" customHeight="1">
      <c r="I78" s="8"/>
      <c r="P78" s="8"/>
      <c r="Q78" s="8"/>
      <c r="R78" s="8"/>
      <c r="S78" s="8"/>
      <c r="T78" s="33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40"/>
      <c r="AW78" s="40"/>
    </row>
    <row r="79" spans="2:49" s="10" customFormat="1" ht="12.75" customHeight="1">
      <c r="D79" s="877"/>
      <c r="E79" s="877"/>
      <c r="F79" s="877"/>
      <c r="G79" s="877"/>
      <c r="H79" s="877"/>
      <c r="P79" s="46"/>
      <c r="Q79" s="44"/>
      <c r="R79" s="44"/>
      <c r="T79" s="430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40"/>
      <c r="AW79" s="40"/>
    </row>
    <row r="80" spans="2:49" s="10" customFormat="1" ht="12.75" customHeight="1">
      <c r="C80" s="702"/>
      <c r="D80" s="703"/>
      <c r="E80" s="703"/>
      <c r="F80" s="703"/>
      <c r="G80" s="703"/>
      <c r="H80" s="703"/>
      <c r="P80" s="47"/>
      <c r="Q80" s="44"/>
      <c r="R80" s="44"/>
      <c r="T80" s="430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40"/>
      <c r="AW80" s="40"/>
    </row>
    <row r="81" spans="2:49" s="10" customFormat="1" ht="12.75" customHeight="1">
      <c r="C81" s="703"/>
      <c r="D81" s="702"/>
      <c r="E81" s="702"/>
      <c r="F81" s="702"/>
      <c r="G81" s="702"/>
      <c r="H81" s="702"/>
      <c r="P81" s="43"/>
      <c r="Q81" s="44"/>
      <c r="R81" s="44"/>
      <c r="T81" s="430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40"/>
      <c r="AW81" s="40"/>
    </row>
    <row r="82" spans="2:49" s="10" customFormat="1" ht="12.75" customHeight="1">
      <c r="C82" s="703"/>
      <c r="D82" s="702"/>
      <c r="E82" s="702"/>
      <c r="F82" s="702"/>
      <c r="G82" s="702"/>
      <c r="H82" s="702"/>
      <c r="P82" s="43"/>
      <c r="Q82" s="44"/>
      <c r="R82" s="44"/>
      <c r="T82" s="430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40"/>
      <c r="AW82" s="40"/>
    </row>
    <row r="83" spans="2:49" s="10" customFormat="1" ht="12.75" customHeight="1">
      <c r="C83" s="703"/>
      <c r="D83" s="702"/>
      <c r="E83" s="702"/>
      <c r="F83" s="702"/>
      <c r="G83" s="702"/>
      <c r="H83" s="702"/>
      <c r="P83" s="43"/>
      <c r="Q83" s="44"/>
      <c r="R83" s="44"/>
      <c r="T83" s="430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40"/>
      <c r="AW83" s="40"/>
    </row>
    <row r="84" spans="2:49" s="10" customFormat="1" ht="12.75" customHeight="1">
      <c r="C84" s="703"/>
      <c r="D84" s="702"/>
      <c r="E84" s="702"/>
      <c r="F84" s="702"/>
      <c r="G84" s="702"/>
      <c r="H84" s="702"/>
      <c r="P84" s="43"/>
      <c r="Q84" s="44"/>
      <c r="R84" s="44"/>
      <c r="T84" s="430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40"/>
      <c r="AW84" s="40"/>
    </row>
    <row r="85" spans="2:49" s="10" customFormat="1" ht="12.75" customHeight="1">
      <c r="C85" s="703"/>
      <c r="D85" s="702"/>
      <c r="E85" s="702"/>
      <c r="F85" s="702"/>
      <c r="G85" s="702"/>
      <c r="H85" s="702"/>
      <c r="P85" s="43"/>
      <c r="Q85" s="44"/>
      <c r="R85" s="44"/>
      <c r="T85" s="430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40"/>
      <c r="AW85" s="40"/>
    </row>
    <row r="86" spans="2:49" s="10" customFormat="1" ht="12.75" customHeight="1">
      <c r="P86" s="43"/>
      <c r="Q86" s="44"/>
      <c r="R86" s="44"/>
      <c r="T86" s="430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40"/>
      <c r="AW86" s="40"/>
    </row>
    <row r="87" spans="2:49" s="10" customFormat="1" ht="12.75" customHeight="1">
      <c r="P87" s="43"/>
      <c r="Q87" s="44"/>
      <c r="R87" s="44"/>
      <c r="T87" s="430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40"/>
      <c r="AW87" s="40"/>
    </row>
    <row r="88" spans="2:49" s="10" customFormat="1" ht="12.75" customHeight="1">
      <c r="D88" s="877"/>
      <c r="E88" s="877"/>
      <c r="F88" s="877"/>
      <c r="G88" s="877"/>
      <c r="H88" s="877"/>
      <c r="P88" s="43"/>
      <c r="Q88" s="44"/>
      <c r="R88" s="44"/>
      <c r="T88" s="430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40"/>
      <c r="AW88" s="40"/>
    </row>
    <row r="89" spans="2:49" s="10" customFormat="1" ht="12.75" customHeight="1">
      <c r="C89" s="702"/>
      <c r="D89" s="703"/>
      <c r="E89" s="703"/>
      <c r="F89" s="703"/>
      <c r="G89" s="703"/>
      <c r="H89" s="703"/>
      <c r="P89" s="43"/>
      <c r="Q89" s="48"/>
      <c r="R89" s="44"/>
      <c r="T89" s="430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40"/>
      <c r="AW89" s="40"/>
    </row>
    <row r="90" spans="2:49" s="10" customFormat="1" ht="12.75" customHeight="1">
      <c r="C90" s="704"/>
      <c r="D90" s="702"/>
      <c r="E90" s="702"/>
      <c r="F90" s="702"/>
      <c r="G90" s="702"/>
      <c r="H90" s="702"/>
      <c r="P90" s="43"/>
      <c r="Q90" s="44"/>
      <c r="R90" s="44"/>
      <c r="T90" s="430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40"/>
      <c r="AW90" s="40"/>
    </row>
    <row r="91" spans="2:49" s="10" customFormat="1" ht="12.75" customHeight="1">
      <c r="C91" s="704"/>
      <c r="D91" s="702"/>
      <c r="E91" s="702"/>
      <c r="F91" s="702"/>
      <c r="G91" s="702"/>
      <c r="H91" s="702"/>
      <c r="P91" s="43"/>
      <c r="Q91" s="44"/>
      <c r="R91" s="44"/>
      <c r="T91" s="430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40"/>
      <c r="AW91" s="40"/>
    </row>
    <row r="92" spans="2:49" ht="12.75" customHeight="1">
      <c r="B92" s="10"/>
      <c r="C92" s="704"/>
      <c r="D92" s="702"/>
      <c r="E92" s="702"/>
      <c r="F92" s="702"/>
      <c r="G92" s="702"/>
      <c r="H92" s="702"/>
      <c r="S92" s="49"/>
    </row>
    <row r="93" spans="2:49" ht="12.75" customHeight="1">
      <c r="C93" s="704"/>
      <c r="D93" s="702"/>
      <c r="E93" s="702"/>
      <c r="F93" s="702"/>
      <c r="G93" s="702"/>
      <c r="H93" s="702"/>
      <c r="S93" s="49"/>
    </row>
    <row r="94" spans="2:49" ht="12.75" customHeight="1">
      <c r="C94" s="704"/>
      <c r="D94" s="702"/>
      <c r="E94" s="702"/>
      <c r="F94" s="702"/>
      <c r="G94" s="702"/>
      <c r="H94" s="702"/>
      <c r="S94" s="49"/>
    </row>
    <row r="95" spans="2:49" ht="12.75" customHeight="1">
      <c r="C95" s="704"/>
      <c r="D95" s="702"/>
      <c r="E95" s="702"/>
      <c r="F95" s="702"/>
      <c r="G95" s="702"/>
      <c r="H95" s="702"/>
      <c r="S95" s="49"/>
    </row>
    <row r="96" spans="2:49" ht="12.75" customHeight="1">
      <c r="I96" s="10"/>
      <c r="J96" s="49"/>
      <c r="K96" s="30"/>
      <c r="L96" s="30"/>
      <c r="S96" s="49"/>
    </row>
    <row r="97" spans="2:19" ht="12.75" customHeight="1">
      <c r="D97" s="877"/>
      <c r="E97" s="877"/>
      <c r="F97" s="877"/>
      <c r="G97" s="877"/>
      <c r="H97" s="877"/>
      <c r="I97" s="10"/>
      <c r="J97" s="10"/>
      <c r="K97" s="30"/>
      <c r="L97" s="30"/>
      <c r="S97" s="50"/>
    </row>
    <row r="98" spans="2:19" ht="12.75" customHeight="1">
      <c r="C98" s="18"/>
      <c r="D98" s="159"/>
      <c r="E98" s="159"/>
      <c r="F98" s="159"/>
      <c r="G98" s="159"/>
      <c r="H98" s="159"/>
      <c r="I98" s="10"/>
      <c r="S98" s="10"/>
    </row>
    <row r="99" spans="2:19" ht="12.75" customHeight="1">
      <c r="B99" s="10"/>
      <c r="C99" s="331"/>
      <c r="D99" s="702"/>
      <c r="E99" s="702"/>
      <c r="F99" s="702"/>
      <c r="G99" s="702"/>
      <c r="H99" s="702"/>
      <c r="I99" s="10"/>
      <c r="J99" s="45"/>
      <c r="S99" s="10"/>
    </row>
    <row r="100" spans="2:19" ht="12.75" customHeight="1">
      <c r="C100" s="331"/>
      <c r="D100" s="702"/>
      <c r="E100" s="702"/>
      <c r="F100" s="702"/>
      <c r="G100" s="702"/>
      <c r="H100" s="702"/>
      <c r="I100" s="10"/>
      <c r="J100" s="45"/>
      <c r="S100" s="10"/>
    </row>
    <row r="101" spans="2:19" ht="12.75" customHeight="1">
      <c r="C101" s="331"/>
      <c r="D101" s="702"/>
      <c r="E101" s="702"/>
      <c r="F101" s="702"/>
      <c r="G101" s="702"/>
      <c r="H101" s="702"/>
      <c r="I101" s="30"/>
      <c r="J101" s="30"/>
      <c r="M101" s="10"/>
      <c r="N101" s="10"/>
      <c r="O101" s="51"/>
      <c r="P101" s="45"/>
      <c r="Q101" s="45"/>
      <c r="R101" s="45"/>
      <c r="S101" s="10"/>
    </row>
    <row r="102" spans="2:19" ht="12.75" customHeight="1">
      <c r="B102" s="29"/>
      <c r="C102" s="331"/>
      <c r="D102" s="702"/>
      <c r="E102" s="702"/>
      <c r="F102" s="702"/>
      <c r="G102" s="702"/>
      <c r="H102" s="702"/>
      <c r="I102" s="29"/>
      <c r="J102" s="29"/>
      <c r="K102" s="29"/>
      <c r="L102" s="29"/>
      <c r="M102" s="29"/>
      <c r="N102" s="29"/>
      <c r="O102" s="29"/>
      <c r="P102" s="29"/>
    </row>
    <row r="103" spans="2:19" ht="12.75" customHeight="1">
      <c r="B103" s="29"/>
      <c r="C103" s="331"/>
      <c r="D103" s="702"/>
      <c r="E103" s="702"/>
      <c r="F103" s="702"/>
      <c r="G103" s="702"/>
      <c r="H103" s="702"/>
      <c r="I103" s="29"/>
      <c r="J103" s="29"/>
      <c r="K103" s="29"/>
      <c r="L103" s="29"/>
      <c r="M103" s="29"/>
      <c r="N103" s="29"/>
      <c r="O103" s="29"/>
      <c r="P103" s="29"/>
    </row>
    <row r="104" spans="2:19" ht="12.75" customHeight="1">
      <c r="B104" s="29"/>
      <c r="C104" s="29"/>
      <c r="D104" s="29"/>
      <c r="E104" s="29"/>
      <c r="F104" s="29"/>
      <c r="G104" s="29"/>
      <c r="H104" s="29"/>
      <c r="I104" s="29"/>
      <c r="J104" s="29"/>
      <c r="M104" s="29"/>
      <c r="N104" s="29"/>
      <c r="O104" s="52"/>
      <c r="P104" s="53"/>
    </row>
    <row r="105" spans="2:19">
      <c r="B105" s="29"/>
      <c r="C105" s="29"/>
      <c r="D105" s="29"/>
      <c r="E105" s="29"/>
      <c r="F105" s="29"/>
      <c r="G105" s="29"/>
      <c r="H105" s="29"/>
      <c r="I105" s="29"/>
      <c r="J105" s="29"/>
      <c r="M105" s="29"/>
      <c r="N105" s="29"/>
      <c r="O105" s="29"/>
      <c r="P105" s="29"/>
    </row>
    <row r="106" spans="2:19">
      <c r="B106" s="29"/>
      <c r="C106" s="29"/>
      <c r="D106" s="29"/>
      <c r="E106" s="29"/>
      <c r="F106" s="29"/>
      <c r="G106" s="29"/>
      <c r="H106" s="29"/>
      <c r="I106" s="29"/>
      <c r="J106" s="29"/>
      <c r="M106" s="29"/>
      <c r="N106" s="29"/>
      <c r="O106" s="29"/>
      <c r="P106" s="29"/>
    </row>
    <row r="107" spans="2:19">
      <c r="B107" s="29"/>
      <c r="C107" s="29"/>
      <c r="D107" s="29"/>
      <c r="E107" s="29"/>
      <c r="F107" s="29"/>
      <c r="G107" s="29"/>
      <c r="H107" s="29"/>
      <c r="I107" s="29"/>
      <c r="J107" s="29"/>
      <c r="M107" s="29"/>
      <c r="N107" s="29"/>
      <c r="O107" s="29"/>
      <c r="P107" s="29"/>
    </row>
    <row r="108" spans="2:19">
      <c r="B108" s="29"/>
      <c r="C108" s="29"/>
      <c r="D108" s="29"/>
      <c r="E108" s="29"/>
      <c r="F108" s="29"/>
      <c r="G108" s="29"/>
      <c r="H108" s="29"/>
      <c r="I108" s="29"/>
      <c r="J108" s="29"/>
      <c r="M108" s="29"/>
      <c r="N108" s="29"/>
      <c r="O108" s="29"/>
      <c r="P108" s="29"/>
    </row>
    <row r="109" spans="2:19">
      <c r="B109" s="29"/>
      <c r="C109" s="29"/>
      <c r="D109" s="29"/>
      <c r="E109" s="29"/>
      <c r="F109" s="29"/>
      <c r="G109" s="29"/>
      <c r="H109" s="29"/>
      <c r="I109" s="29"/>
      <c r="J109" s="29"/>
      <c r="M109" s="29"/>
      <c r="N109" s="29"/>
      <c r="O109" s="29"/>
      <c r="P109" s="29"/>
    </row>
    <row r="110" spans="2:19">
      <c r="B110" s="29"/>
      <c r="C110" s="29"/>
      <c r="D110" s="29"/>
      <c r="E110" s="29"/>
      <c r="F110" s="29"/>
      <c r="G110" s="29"/>
      <c r="H110" s="29"/>
      <c r="I110" s="29"/>
      <c r="J110" s="29"/>
      <c r="M110" s="29"/>
      <c r="N110" s="29"/>
      <c r="O110" s="29"/>
      <c r="P110" s="29"/>
    </row>
    <row r="111" spans="2:19">
      <c r="B111" s="29"/>
      <c r="C111" s="29"/>
      <c r="D111" s="29"/>
      <c r="E111" s="29"/>
      <c r="F111" s="29"/>
      <c r="G111" s="29"/>
      <c r="H111" s="29"/>
      <c r="I111" s="29"/>
      <c r="J111" s="29"/>
      <c r="M111" s="29"/>
      <c r="N111" s="29"/>
      <c r="O111" s="29"/>
      <c r="P111" s="29"/>
    </row>
    <row r="112" spans="2:19">
      <c r="B112" s="29"/>
      <c r="C112" s="29"/>
      <c r="D112" s="29"/>
      <c r="E112" s="29"/>
      <c r="F112" s="29"/>
      <c r="G112" s="29"/>
      <c r="H112" s="29"/>
      <c r="I112" s="29"/>
      <c r="J112" s="29"/>
      <c r="M112" s="29"/>
      <c r="N112" s="29"/>
      <c r="O112" s="29"/>
      <c r="P112" s="29"/>
    </row>
    <row r="113" spans="2:16">
      <c r="B113" s="29"/>
      <c r="C113" s="29"/>
      <c r="D113" s="29"/>
      <c r="E113" s="29"/>
      <c r="F113" s="29"/>
      <c r="G113" s="29"/>
      <c r="H113" s="29"/>
      <c r="I113" s="29"/>
      <c r="J113" s="29"/>
      <c r="M113" s="29"/>
      <c r="N113" s="29"/>
      <c r="O113" s="29"/>
      <c r="P113" s="29"/>
    </row>
    <row r="114" spans="2:16">
      <c r="B114" s="29"/>
      <c r="C114" s="29"/>
      <c r="D114" s="29"/>
      <c r="E114" s="29"/>
      <c r="F114" s="29"/>
      <c r="G114" s="29"/>
      <c r="H114" s="29"/>
      <c r="I114" s="29"/>
      <c r="J114" s="29"/>
      <c r="M114" s="29"/>
      <c r="N114" s="29"/>
      <c r="O114" s="29"/>
      <c r="P114" s="29"/>
    </row>
    <row r="115" spans="2:16">
      <c r="B115" s="29"/>
      <c r="C115" s="29"/>
      <c r="D115" s="29"/>
      <c r="E115" s="29"/>
      <c r="F115" s="29"/>
      <c r="G115" s="29"/>
      <c r="H115" s="29"/>
      <c r="I115" s="29"/>
      <c r="J115" s="29"/>
      <c r="M115" s="29"/>
      <c r="N115" s="29"/>
      <c r="O115" s="29"/>
      <c r="P115" s="29"/>
    </row>
    <row r="116" spans="2:16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2:16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2:16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2:16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2:16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2:16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2:16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2:16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2:16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2:16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2:16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2:16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2:16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2:16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2:16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2:16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2:16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2:16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2:16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2:16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2:16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2:16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2:16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2:16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2:16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2:16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2:16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2:16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2:16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2:16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2:16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2:16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2:16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2:16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2:16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2:16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2:16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2:16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2:16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2:16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2:16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2:16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2:16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2:16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2:16"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2:16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2:16"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2:16"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2:16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2:16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2:16"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2:16"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2:16"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2:16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2:16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2:16"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2:16"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2:16"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2:16"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2:16"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2:16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2:16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2:16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2:16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2:16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2:16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2:16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  <row r="183" spans="2:16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</row>
    <row r="184" spans="2:16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</row>
    <row r="185" spans="2:16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</row>
    <row r="186" spans="2:16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</row>
    <row r="187" spans="2:16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</row>
    <row r="188" spans="2:16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</row>
    <row r="189" spans="2:16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</row>
    <row r="190" spans="2:16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2:16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spans="2:16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</row>
    <row r="193" spans="2:16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</row>
    <row r="194" spans="2:16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</row>
    <row r="195" spans="2:16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2:16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</row>
    <row r="197" spans="2:16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</row>
    <row r="198" spans="2:16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</row>
    <row r="199" spans="2:16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</row>
    <row r="200" spans="2:16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</row>
    <row r="201" spans="2:16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</row>
  </sheetData>
  <mergeCells count="19">
    <mergeCell ref="D88:H88"/>
    <mergeCell ref="D97:H97"/>
    <mergeCell ref="R51:S51"/>
    <mergeCell ref="R52:S52"/>
    <mergeCell ref="R35:S35"/>
    <mergeCell ref="R41:S41"/>
    <mergeCell ref="R42:S42"/>
    <mergeCell ref="B29:H41"/>
    <mergeCell ref="B43:H63"/>
    <mergeCell ref="B2:O2"/>
    <mergeCell ref="R4:S4"/>
    <mergeCell ref="R5:S5"/>
    <mergeCell ref="J4:P22"/>
    <mergeCell ref="D79:H79"/>
    <mergeCell ref="J24:P63"/>
    <mergeCell ref="B65:P76"/>
    <mergeCell ref="R24:S24"/>
    <mergeCell ref="B4:H15"/>
    <mergeCell ref="B17:H27"/>
  </mergeCells>
  <conditionalFormatting sqref="R4:S4">
    <cfRule type="containsText" dxfId="29" priority="3" stopIfTrue="1" operator="containsText" text="fix">
      <formula>NOT(ISERROR(SEARCH("fix",R4)))</formula>
    </cfRule>
    <cfRule type="containsText" dxfId="28" priority="4" stopIfTrue="1" operator="containsText" text="all">
      <formula>NOT(ISERROR(SEARCH("all",R4)))</formula>
    </cfRule>
  </conditionalFormatting>
  <conditionalFormatting sqref="R5:S5">
    <cfRule type="containsText" dxfId="27" priority="1" stopIfTrue="1" operator="containsText" text="OK">
      <formula>NOT(ISERROR(SEARCH("OK",R5)))</formula>
    </cfRule>
    <cfRule type="containsText" dxfId="26" priority="2" stopIfTrue="1" operator="containsText" text="Fix">
      <formula>NOT(ISERROR(SEARCH("Fix",R5)))</formula>
    </cfRule>
  </conditionalFormatting>
  <dataValidations count="3">
    <dataValidation type="whole" operator="greaterThan" allowBlank="1" showInputMessage="1" showErrorMessage="1" errorTitle="REFM Logic Warning" error="Must be greater than the year # in which refinancing occurs." prompt="This value must be greater than the year # in which any refinancing occurs." sqref="D98:H98">
      <formula1>K137</formula1>
    </dataValidation>
    <dataValidation type="whole" operator="lessThan" allowBlank="1" showInputMessage="1" showErrorMessage="1" errorTitle="REFM Logic Warning" error="You must fix this timing to occur prior to the anticipated Disposition timing either by decreasing this value or increasing the Asset Hold Period." prompt="Must occur prior to anticipated Disposition month." sqref="C99:C102">
      <formula1>#REF!</formula1>
    </dataValidation>
    <dataValidation type="whole" operator="lessThan" allowBlank="1" showInputMessage="1" showErrorMessage="1" errorTitle="REFM Logic Warning" error="You must fix this timing to occur prior to the anticipated Disposition timing either by decreasing this value or increasing the Asset Hold Period." prompt="Must occur prior to anticipated Disposition month." sqref="C103">
      <formula1>XFA65</formula1>
    </dataValidation>
  </dataValidations>
  <printOptions horizontalCentered="1" verticalCentered="1"/>
  <pageMargins left="0.25" right="0.25" top="0.17" bottom="0.18" header="0.22" footer="0.1"/>
  <pageSetup scale="54" orientation="landscape" horizontalDpi="4294967294" verticalDpi="4294967292" r:id="rId1"/>
  <headerFooter alignWithMargins="0"/>
  <rowBreaks count="2" manualBreakCount="2">
    <brk id="145" max="65535" man="1"/>
    <brk id="251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E42"/>
  <sheetViews>
    <sheetView zoomScale="80" zoomScaleNormal="80" workbookViewId="0"/>
  </sheetViews>
  <sheetFormatPr defaultColWidth="9.33203125" defaultRowHeight="18.75" outlineLevelCol="1"/>
  <cols>
    <col min="1" max="1" width="4.6640625" style="260" customWidth="1"/>
    <col min="2" max="2" width="15.5" style="260" customWidth="1"/>
    <col min="3" max="3" width="12.1640625" style="373" customWidth="1"/>
    <col min="4" max="4" width="12.33203125" style="373" customWidth="1"/>
    <col min="5" max="5" width="20.83203125" style="372" customWidth="1"/>
    <col min="6" max="6" width="17" style="373" customWidth="1"/>
    <col min="7" max="7" width="20" style="373" hidden="1" customWidth="1" outlineLevel="1"/>
    <col min="8" max="8" width="18.5" style="372" customWidth="1" collapsed="1"/>
    <col min="9" max="9" width="11.83203125" style="264" customWidth="1"/>
    <col min="10" max="10" width="16.6640625" style="264" customWidth="1"/>
    <col min="11" max="11" width="18.33203125" style="373" customWidth="1"/>
    <col min="12" max="13" width="19" style="372" customWidth="1"/>
    <col min="14" max="14" width="20.83203125" style="372" customWidth="1"/>
    <col min="15" max="16" width="9.33203125" style="260" customWidth="1"/>
    <col min="17" max="18" width="9.33203125" style="260"/>
    <col min="19" max="19" width="16" style="260" customWidth="1"/>
    <col min="20" max="20" width="19.33203125" style="260" customWidth="1"/>
    <col min="21" max="21" width="22.1640625" style="260" customWidth="1"/>
    <col min="22" max="30" width="17.83203125" style="260" customWidth="1"/>
    <col min="31" max="16384" width="9.33203125" style="260"/>
  </cols>
  <sheetData>
    <row r="1" spans="2:31" ht="15" customHeight="1">
      <c r="C1" s="260"/>
      <c r="D1" s="371"/>
      <c r="E1" s="264"/>
      <c r="F1" s="260"/>
      <c r="G1" s="260"/>
      <c r="H1" s="371"/>
      <c r="I1" s="371"/>
      <c r="J1" s="371"/>
      <c r="K1" s="260"/>
      <c r="L1" s="371"/>
      <c r="M1" s="371"/>
      <c r="N1" s="371"/>
    </row>
    <row r="2" spans="2:31" ht="23.25">
      <c r="B2" s="454" t="s">
        <v>225</v>
      </c>
      <c r="C2" s="381"/>
      <c r="D2" s="380"/>
      <c r="E2" s="381"/>
      <c r="F2" s="380"/>
      <c r="G2" s="380"/>
      <c r="H2" s="397"/>
      <c r="I2" s="855" t="str">
        <f>Assumptions!B3</f>
        <v>Miami Beach Multi-family Building: Rue Vendome</v>
      </c>
      <c r="J2" s="381"/>
      <c r="K2" s="380"/>
      <c r="L2" s="397"/>
      <c r="M2" s="397"/>
      <c r="N2" s="397"/>
      <c r="Q2" s="385" t="s">
        <v>188</v>
      </c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7"/>
    </row>
    <row r="3" spans="2:31">
      <c r="B3" s="381"/>
      <c r="C3" s="396"/>
      <c r="D3" s="396"/>
      <c r="E3" s="396"/>
      <c r="F3" s="396"/>
      <c r="G3" s="396"/>
      <c r="H3" s="397"/>
      <c r="I3" s="381"/>
      <c r="J3" s="381"/>
      <c r="K3" s="398"/>
      <c r="L3" s="396"/>
      <c r="M3" s="396"/>
      <c r="N3" s="396"/>
      <c r="Q3" s="388"/>
      <c r="R3" s="380"/>
      <c r="S3" s="382" t="s">
        <v>63</v>
      </c>
      <c r="T3" s="380"/>
      <c r="U3" s="381">
        <f>Assumptions!J13</f>
        <v>1</v>
      </c>
      <c r="V3" s="381">
        <f>Assumptions!J14</f>
        <v>2</v>
      </c>
      <c r="W3" s="381">
        <f>Assumptions!J15</f>
        <v>3</v>
      </c>
      <c r="X3" s="381">
        <f>Assumptions!J16</f>
        <v>4</v>
      </c>
      <c r="Y3" s="381">
        <f>Assumptions!J17</f>
        <v>5</v>
      </c>
      <c r="Z3" s="381">
        <f>Assumptions!J18</f>
        <v>6</v>
      </c>
      <c r="AA3" s="381">
        <f>Assumptions!J19</f>
        <v>7</v>
      </c>
      <c r="AB3" s="381">
        <f>Assumptions!J20</f>
        <v>8</v>
      </c>
      <c r="AC3" s="381">
        <f>Assumptions!J21</f>
        <v>9</v>
      </c>
      <c r="AD3" s="389">
        <f>Assumptions!J22</f>
        <v>10</v>
      </c>
      <c r="AE3" s="381"/>
    </row>
    <row r="4" spans="2:31" s="377" customFormat="1" ht="58.5" customHeight="1">
      <c r="B4" s="455" t="s">
        <v>184</v>
      </c>
      <c r="C4" s="378" t="s">
        <v>183</v>
      </c>
      <c r="D4" s="378" t="s">
        <v>27</v>
      </c>
      <c r="E4" s="378" t="s">
        <v>185</v>
      </c>
      <c r="F4" s="378" t="s">
        <v>181</v>
      </c>
      <c r="G4" s="378" t="s">
        <v>97</v>
      </c>
      <c r="H4" s="378" t="s">
        <v>98</v>
      </c>
      <c r="I4" s="378" t="s">
        <v>100</v>
      </c>
      <c r="J4" s="378" t="s">
        <v>101</v>
      </c>
      <c r="K4" s="378" t="s">
        <v>186</v>
      </c>
      <c r="L4" s="378" t="s">
        <v>102</v>
      </c>
      <c r="M4" s="378" t="s">
        <v>267</v>
      </c>
      <c r="N4" s="378" t="s">
        <v>222</v>
      </c>
      <c r="Q4" s="390" t="s">
        <v>183</v>
      </c>
      <c r="S4" s="383" t="s">
        <v>154</v>
      </c>
      <c r="T4" s="379">
        <f>Assumptions!K13</f>
        <v>40969</v>
      </c>
      <c r="U4" s="379">
        <f>Assumptions!K14</f>
        <v>41334</v>
      </c>
      <c r="V4" s="379">
        <f>Assumptions!K15</f>
        <v>41699</v>
      </c>
      <c r="W4" s="379">
        <f>Assumptions!K16</f>
        <v>42064</v>
      </c>
      <c r="X4" s="379">
        <f>Assumptions!K17</f>
        <v>42430</v>
      </c>
      <c r="Y4" s="379">
        <f>Assumptions!K18</f>
        <v>42795</v>
      </c>
      <c r="Z4" s="379">
        <f>Assumptions!K19</f>
        <v>43160</v>
      </c>
      <c r="AA4" s="379">
        <f>Assumptions!K20</f>
        <v>43525</v>
      </c>
      <c r="AB4" s="379">
        <f>Assumptions!K21</f>
        <v>43891</v>
      </c>
      <c r="AC4" s="379">
        <f>Assumptions!K22</f>
        <v>44256</v>
      </c>
      <c r="AD4" s="391">
        <f>Assumptions!K23</f>
        <v>44621</v>
      </c>
    </row>
    <row r="5" spans="2:31">
      <c r="B5" s="381">
        <v>1</v>
      </c>
      <c r="C5" s="651">
        <v>1</v>
      </c>
      <c r="D5" s="652">
        <v>1.1000000000000001</v>
      </c>
      <c r="E5" s="653">
        <v>630</v>
      </c>
      <c r="F5" s="654" t="s">
        <v>182</v>
      </c>
      <c r="G5" s="654"/>
      <c r="H5" s="655" t="s">
        <v>334</v>
      </c>
      <c r="I5" s="381">
        <f>IFERROR(MONTH(H5),0)</f>
        <v>0</v>
      </c>
      <c r="J5" s="381">
        <f>IFERROR(YEAR(H5),0)</f>
        <v>0</v>
      </c>
      <c r="K5" s="656">
        <v>805</v>
      </c>
      <c r="L5" s="652">
        <v>0</v>
      </c>
      <c r="M5" s="681">
        <f>IFERROR(K5/E5,0)</f>
        <v>1.2777777777777777</v>
      </c>
      <c r="N5" s="652" t="s">
        <v>221</v>
      </c>
      <c r="Q5" s="388">
        <f>C5</f>
        <v>1</v>
      </c>
      <c r="R5" s="380"/>
      <c r="S5" s="380"/>
      <c r="T5" s="380"/>
      <c r="U5" s="381">
        <f t="shared" ref="U5:U35" si="0">IFERROR(IF(AND($H5&gt;=T$4,$H5&lt;U$4),1,0),0)</f>
        <v>0</v>
      </c>
      <c r="V5" s="381">
        <f t="shared" ref="V5:AD5" si="1">IFERROR(IF(AND($H5&gt;=U$4,$H5&lt;V$4),1,0),0)</f>
        <v>0</v>
      </c>
      <c r="W5" s="381">
        <f t="shared" si="1"/>
        <v>0</v>
      </c>
      <c r="X5" s="381">
        <f t="shared" si="1"/>
        <v>0</v>
      </c>
      <c r="Y5" s="381">
        <f t="shared" si="1"/>
        <v>0</v>
      </c>
      <c r="Z5" s="381">
        <f t="shared" si="1"/>
        <v>0</v>
      </c>
      <c r="AA5" s="381">
        <f t="shared" si="1"/>
        <v>0</v>
      </c>
      <c r="AB5" s="381">
        <f t="shared" si="1"/>
        <v>0</v>
      </c>
      <c r="AC5" s="381">
        <f t="shared" si="1"/>
        <v>0</v>
      </c>
      <c r="AD5" s="389">
        <f t="shared" si="1"/>
        <v>0</v>
      </c>
    </row>
    <row r="6" spans="2:31">
      <c r="B6" s="381">
        <f>B5+1</f>
        <v>2</v>
      </c>
      <c r="C6" s="651">
        <v>2</v>
      </c>
      <c r="D6" s="652">
        <v>1.1000000000000001</v>
      </c>
      <c r="E6" s="653">
        <v>630</v>
      </c>
      <c r="F6" s="654" t="s">
        <v>182</v>
      </c>
      <c r="G6" s="654"/>
      <c r="H6" s="655" t="s">
        <v>334</v>
      </c>
      <c r="I6" s="381">
        <f t="shared" ref="I6:I34" si="2">IFERROR(MONTH(H6),0)</f>
        <v>0</v>
      </c>
      <c r="J6" s="381">
        <f t="shared" ref="J6:J34" si="3">IFERROR(YEAR(H6),0)</f>
        <v>0</v>
      </c>
      <c r="K6" s="656">
        <v>785</v>
      </c>
      <c r="L6" s="652">
        <v>0</v>
      </c>
      <c r="M6" s="681">
        <f t="shared" ref="M6:M34" si="4">IFERROR(K6/E6,0)</f>
        <v>1.246031746031746</v>
      </c>
      <c r="N6" s="652" t="s">
        <v>221</v>
      </c>
      <c r="Q6" s="388">
        <f t="shared" ref="Q6:Q35" si="5">C6</f>
        <v>2</v>
      </c>
      <c r="R6" s="380"/>
      <c r="S6" s="380"/>
      <c r="T6" s="380"/>
      <c r="U6" s="381">
        <f t="shared" si="0"/>
        <v>0</v>
      </c>
      <c r="V6" s="381">
        <f t="shared" ref="V6:AD6" si="6">IFERROR(IF(AND($H6&gt;=U$4,$H6&lt;V$4),1,0),0)</f>
        <v>0</v>
      </c>
      <c r="W6" s="381">
        <f t="shared" si="6"/>
        <v>0</v>
      </c>
      <c r="X6" s="381">
        <f t="shared" si="6"/>
        <v>0</v>
      </c>
      <c r="Y6" s="381">
        <f t="shared" si="6"/>
        <v>0</v>
      </c>
      <c r="Z6" s="381">
        <f t="shared" si="6"/>
        <v>0</v>
      </c>
      <c r="AA6" s="381">
        <f t="shared" si="6"/>
        <v>0</v>
      </c>
      <c r="AB6" s="381">
        <f t="shared" si="6"/>
        <v>0</v>
      </c>
      <c r="AC6" s="381">
        <f t="shared" si="6"/>
        <v>0</v>
      </c>
      <c r="AD6" s="389">
        <f t="shared" si="6"/>
        <v>0</v>
      </c>
    </row>
    <row r="7" spans="2:31">
      <c r="B7" s="381">
        <f t="shared" ref="B7:B34" si="7">B6+1</f>
        <v>3</v>
      </c>
      <c r="C7" s="651">
        <v>3</v>
      </c>
      <c r="D7" s="652">
        <v>1.1000000000000001</v>
      </c>
      <c r="E7" s="653">
        <v>630</v>
      </c>
      <c r="F7" s="654" t="s">
        <v>182</v>
      </c>
      <c r="G7" s="654"/>
      <c r="H7" s="655">
        <v>41029</v>
      </c>
      <c r="I7" s="381">
        <f t="shared" si="2"/>
        <v>4</v>
      </c>
      <c r="J7" s="381">
        <f t="shared" si="3"/>
        <v>2012</v>
      </c>
      <c r="K7" s="656">
        <v>785</v>
      </c>
      <c r="L7" s="652">
        <v>0</v>
      </c>
      <c r="M7" s="681">
        <f t="shared" si="4"/>
        <v>1.246031746031746</v>
      </c>
      <c r="N7" s="652" t="s">
        <v>221</v>
      </c>
      <c r="Q7" s="388">
        <f t="shared" si="5"/>
        <v>3</v>
      </c>
      <c r="R7" s="380"/>
      <c r="S7" s="380"/>
      <c r="T7" s="380"/>
      <c r="U7" s="381">
        <f t="shared" si="0"/>
        <v>1</v>
      </c>
      <c r="V7" s="381">
        <f t="shared" ref="V7:AD7" si="8">IFERROR(IF(AND($H7&gt;=U$4,$H7&lt;V$4),1,0),0)</f>
        <v>0</v>
      </c>
      <c r="W7" s="381">
        <f t="shared" si="8"/>
        <v>0</v>
      </c>
      <c r="X7" s="381">
        <f t="shared" si="8"/>
        <v>0</v>
      </c>
      <c r="Y7" s="381">
        <f t="shared" si="8"/>
        <v>0</v>
      </c>
      <c r="Z7" s="381">
        <f t="shared" si="8"/>
        <v>0</v>
      </c>
      <c r="AA7" s="381">
        <f t="shared" si="8"/>
        <v>0</v>
      </c>
      <c r="AB7" s="381">
        <f t="shared" si="8"/>
        <v>0</v>
      </c>
      <c r="AC7" s="381">
        <f t="shared" si="8"/>
        <v>0</v>
      </c>
      <c r="AD7" s="389">
        <f t="shared" si="8"/>
        <v>0</v>
      </c>
    </row>
    <row r="8" spans="2:31">
      <c r="B8" s="381">
        <f t="shared" si="7"/>
        <v>4</v>
      </c>
      <c r="C8" s="651">
        <v>4</v>
      </c>
      <c r="D8" s="652">
        <v>1.1000000000000001</v>
      </c>
      <c r="E8" s="653">
        <v>630</v>
      </c>
      <c r="F8" s="654" t="s">
        <v>182</v>
      </c>
      <c r="G8" s="654"/>
      <c r="H8" s="655">
        <v>41028</v>
      </c>
      <c r="I8" s="381">
        <f t="shared" si="2"/>
        <v>4</v>
      </c>
      <c r="J8" s="381">
        <f t="shared" si="3"/>
        <v>2012</v>
      </c>
      <c r="K8" s="656">
        <v>775</v>
      </c>
      <c r="L8" s="652">
        <v>0</v>
      </c>
      <c r="M8" s="681">
        <f t="shared" si="4"/>
        <v>1.2301587301587302</v>
      </c>
      <c r="N8" s="652" t="s">
        <v>221</v>
      </c>
      <c r="Q8" s="388">
        <f t="shared" si="5"/>
        <v>4</v>
      </c>
      <c r="R8" s="380"/>
      <c r="S8" s="380"/>
      <c r="T8" s="380"/>
      <c r="U8" s="381">
        <f t="shared" si="0"/>
        <v>1</v>
      </c>
      <c r="V8" s="381">
        <f t="shared" ref="V8:AD8" si="9">IFERROR(IF(AND($H8&gt;=U$4,$H8&lt;V$4),1,0),0)</f>
        <v>0</v>
      </c>
      <c r="W8" s="381">
        <f t="shared" si="9"/>
        <v>0</v>
      </c>
      <c r="X8" s="381">
        <f t="shared" si="9"/>
        <v>0</v>
      </c>
      <c r="Y8" s="381">
        <f t="shared" si="9"/>
        <v>0</v>
      </c>
      <c r="Z8" s="381">
        <f t="shared" si="9"/>
        <v>0</v>
      </c>
      <c r="AA8" s="381">
        <f t="shared" si="9"/>
        <v>0</v>
      </c>
      <c r="AB8" s="381">
        <f t="shared" si="9"/>
        <v>0</v>
      </c>
      <c r="AC8" s="381">
        <f t="shared" si="9"/>
        <v>0</v>
      </c>
      <c r="AD8" s="389">
        <f t="shared" si="9"/>
        <v>0</v>
      </c>
    </row>
    <row r="9" spans="2:31">
      <c r="B9" s="381">
        <f t="shared" si="7"/>
        <v>5</v>
      </c>
      <c r="C9" s="651">
        <v>5</v>
      </c>
      <c r="D9" s="652">
        <v>1.1000000000000001</v>
      </c>
      <c r="E9" s="653">
        <v>630</v>
      </c>
      <c r="F9" s="654" t="s">
        <v>182</v>
      </c>
      <c r="G9" s="654"/>
      <c r="H9" s="655" t="s">
        <v>334</v>
      </c>
      <c r="I9" s="381">
        <f t="shared" si="2"/>
        <v>0</v>
      </c>
      <c r="J9" s="381">
        <f t="shared" si="3"/>
        <v>0</v>
      </c>
      <c r="K9" s="656">
        <v>800</v>
      </c>
      <c r="L9" s="652">
        <v>0</v>
      </c>
      <c r="M9" s="681">
        <f t="shared" si="4"/>
        <v>1.2698412698412698</v>
      </c>
      <c r="N9" s="652" t="s">
        <v>221</v>
      </c>
      <c r="Q9" s="388">
        <f t="shared" si="5"/>
        <v>5</v>
      </c>
      <c r="R9" s="380"/>
      <c r="S9" s="380"/>
      <c r="T9" s="380"/>
      <c r="U9" s="381">
        <f t="shared" si="0"/>
        <v>0</v>
      </c>
      <c r="V9" s="381">
        <f t="shared" ref="V9:AD9" si="10">IFERROR(IF(AND($H9&gt;=U$4,$H9&lt;V$4),1,0),0)</f>
        <v>0</v>
      </c>
      <c r="W9" s="381">
        <f t="shared" si="10"/>
        <v>0</v>
      </c>
      <c r="X9" s="381">
        <f t="shared" si="10"/>
        <v>0</v>
      </c>
      <c r="Y9" s="381">
        <f t="shared" si="10"/>
        <v>0</v>
      </c>
      <c r="Z9" s="381">
        <f t="shared" si="10"/>
        <v>0</v>
      </c>
      <c r="AA9" s="381">
        <f t="shared" si="10"/>
        <v>0</v>
      </c>
      <c r="AB9" s="381">
        <f t="shared" si="10"/>
        <v>0</v>
      </c>
      <c r="AC9" s="381">
        <f t="shared" si="10"/>
        <v>0</v>
      </c>
      <c r="AD9" s="389">
        <f t="shared" si="10"/>
        <v>0</v>
      </c>
    </row>
    <row r="10" spans="2:31">
      <c r="B10" s="381">
        <f t="shared" si="7"/>
        <v>6</v>
      </c>
      <c r="C10" s="651">
        <v>6</v>
      </c>
      <c r="D10" s="652">
        <v>1.1000000000000001</v>
      </c>
      <c r="E10" s="653">
        <v>630</v>
      </c>
      <c r="F10" s="654" t="s">
        <v>182</v>
      </c>
      <c r="G10" s="654"/>
      <c r="H10" s="655">
        <v>41090</v>
      </c>
      <c r="I10" s="381">
        <f t="shared" si="2"/>
        <v>6</v>
      </c>
      <c r="J10" s="381">
        <f t="shared" si="3"/>
        <v>2012</v>
      </c>
      <c r="K10" s="656">
        <v>820</v>
      </c>
      <c r="L10" s="652">
        <v>0</v>
      </c>
      <c r="M10" s="681">
        <f t="shared" si="4"/>
        <v>1.3015873015873016</v>
      </c>
      <c r="N10" s="652" t="s">
        <v>221</v>
      </c>
      <c r="Q10" s="388">
        <f t="shared" si="5"/>
        <v>6</v>
      </c>
      <c r="R10" s="380"/>
      <c r="S10" s="380"/>
      <c r="T10" s="380"/>
      <c r="U10" s="381">
        <f t="shared" si="0"/>
        <v>1</v>
      </c>
      <c r="V10" s="381">
        <f t="shared" ref="V10:AD10" si="11">IFERROR(IF(AND($H10&gt;=U$4,$H10&lt;V$4),1,0),0)</f>
        <v>0</v>
      </c>
      <c r="W10" s="381">
        <f t="shared" si="11"/>
        <v>0</v>
      </c>
      <c r="X10" s="381">
        <f t="shared" si="11"/>
        <v>0</v>
      </c>
      <c r="Y10" s="381">
        <f t="shared" si="11"/>
        <v>0</v>
      </c>
      <c r="Z10" s="381">
        <f t="shared" si="11"/>
        <v>0</v>
      </c>
      <c r="AA10" s="381">
        <f t="shared" si="11"/>
        <v>0</v>
      </c>
      <c r="AB10" s="381">
        <f t="shared" si="11"/>
        <v>0</v>
      </c>
      <c r="AC10" s="381">
        <f t="shared" si="11"/>
        <v>0</v>
      </c>
      <c r="AD10" s="389">
        <f t="shared" si="11"/>
        <v>0</v>
      </c>
    </row>
    <row r="11" spans="2:31">
      <c r="B11" s="381">
        <f t="shared" si="7"/>
        <v>7</v>
      </c>
      <c r="C11" s="651">
        <v>7</v>
      </c>
      <c r="D11" s="652">
        <v>1.1000000000000001</v>
      </c>
      <c r="E11" s="653">
        <v>630</v>
      </c>
      <c r="F11" s="654" t="s">
        <v>182</v>
      </c>
      <c r="G11" s="654"/>
      <c r="H11" s="655" t="s">
        <v>334</v>
      </c>
      <c r="I11" s="381">
        <f t="shared" si="2"/>
        <v>0</v>
      </c>
      <c r="J11" s="381">
        <f t="shared" si="3"/>
        <v>0</v>
      </c>
      <c r="K11" s="656">
        <v>875</v>
      </c>
      <c r="L11" s="652">
        <v>0</v>
      </c>
      <c r="M11" s="681">
        <f t="shared" si="4"/>
        <v>1.3888888888888888</v>
      </c>
      <c r="N11" s="652" t="s">
        <v>221</v>
      </c>
      <c r="Q11" s="388">
        <f t="shared" si="5"/>
        <v>7</v>
      </c>
      <c r="R11" s="380"/>
      <c r="S11" s="380"/>
      <c r="T11" s="380"/>
      <c r="U11" s="381">
        <f t="shared" si="0"/>
        <v>0</v>
      </c>
      <c r="V11" s="381">
        <f t="shared" ref="V11:AD11" si="12">IFERROR(IF(AND($H11&gt;=U$4,$H11&lt;V$4),1,0),0)</f>
        <v>0</v>
      </c>
      <c r="W11" s="381">
        <f t="shared" si="12"/>
        <v>0</v>
      </c>
      <c r="X11" s="381">
        <f t="shared" si="12"/>
        <v>0</v>
      </c>
      <c r="Y11" s="381">
        <f t="shared" si="12"/>
        <v>0</v>
      </c>
      <c r="Z11" s="381">
        <f t="shared" si="12"/>
        <v>0</v>
      </c>
      <c r="AA11" s="381">
        <f t="shared" si="12"/>
        <v>0</v>
      </c>
      <c r="AB11" s="381">
        <f t="shared" si="12"/>
        <v>0</v>
      </c>
      <c r="AC11" s="381">
        <f t="shared" si="12"/>
        <v>0</v>
      </c>
      <c r="AD11" s="389">
        <f t="shared" si="12"/>
        <v>0</v>
      </c>
    </row>
    <row r="12" spans="2:31">
      <c r="B12" s="381">
        <f t="shared" si="7"/>
        <v>8</v>
      </c>
      <c r="C12" s="651">
        <v>8</v>
      </c>
      <c r="D12" s="652">
        <v>1.1000000000000001</v>
      </c>
      <c r="E12" s="653">
        <v>630</v>
      </c>
      <c r="F12" s="654" t="s">
        <v>182</v>
      </c>
      <c r="G12" s="654"/>
      <c r="H12" s="655" t="s">
        <v>334</v>
      </c>
      <c r="I12" s="381">
        <f t="shared" si="2"/>
        <v>0</v>
      </c>
      <c r="J12" s="381">
        <f t="shared" si="3"/>
        <v>0</v>
      </c>
      <c r="K12" s="656">
        <v>805</v>
      </c>
      <c r="L12" s="652">
        <v>0</v>
      </c>
      <c r="M12" s="681">
        <f t="shared" si="4"/>
        <v>1.2777777777777777</v>
      </c>
      <c r="N12" s="652" t="s">
        <v>221</v>
      </c>
      <c r="Q12" s="388">
        <f t="shared" si="5"/>
        <v>8</v>
      </c>
      <c r="R12" s="380"/>
      <c r="S12" s="380"/>
      <c r="T12" s="380"/>
      <c r="U12" s="381">
        <f t="shared" si="0"/>
        <v>0</v>
      </c>
      <c r="V12" s="381">
        <f t="shared" ref="V12:AD12" si="13">IFERROR(IF(AND($H12&gt;=U$4,$H12&lt;V$4),1,0),0)</f>
        <v>0</v>
      </c>
      <c r="W12" s="381">
        <f t="shared" si="13"/>
        <v>0</v>
      </c>
      <c r="X12" s="381">
        <f t="shared" si="13"/>
        <v>0</v>
      </c>
      <c r="Y12" s="381">
        <f t="shared" si="13"/>
        <v>0</v>
      </c>
      <c r="Z12" s="381">
        <f t="shared" si="13"/>
        <v>0</v>
      </c>
      <c r="AA12" s="381">
        <f t="shared" si="13"/>
        <v>0</v>
      </c>
      <c r="AB12" s="381">
        <f t="shared" si="13"/>
        <v>0</v>
      </c>
      <c r="AC12" s="381">
        <f t="shared" si="13"/>
        <v>0</v>
      </c>
      <c r="AD12" s="389">
        <f t="shared" si="13"/>
        <v>0</v>
      </c>
    </row>
    <row r="13" spans="2:31">
      <c r="B13" s="381">
        <f t="shared" si="7"/>
        <v>9</v>
      </c>
      <c r="C13" s="651">
        <v>9</v>
      </c>
      <c r="D13" s="652">
        <v>1.1000000000000001</v>
      </c>
      <c r="E13" s="653">
        <v>630</v>
      </c>
      <c r="F13" s="654" t="s">
        <v>182</v>
      </c>
      <c r="G13" s="654"/>
      <c r="H13" s="655">
        <v>41213</v>
      </c>
      <c r="I13" s="381">
        <f t="shared" si="2"/>
        <v>10</v>
      </c>
      <c r="J13" s="381">
        <f t="shared" si="3"/>
        <v>2012</v>
      </c>
      <c r="K13" s="656">
        <v>800</v>
      </c>
      <c r="L13" s="652">
        <v>0</v>
      </c>
      <c r="M13" s="681">
        <f t="shared" si="4"/>
        <v>1.2698412698412698</v>
      </c>
      <c r="N13" s="652" t="s">
        <v>221</v>
      </c>
      <c r="Q13" s="388">
        <f t="shared" si="5"/>
        <v>9</v>
      </c>
      <c r="R13" s="380"/>
      <c r="S13" s="380"/>
      <c r="T13" s="380"/>
      <c r="U13" s="381">
        <f t="shared" si="0"/>
        <v>1</v>
      </c>
      <c r="V13" s="381">
        <f t="shared" ref="V13:AD13" si="14">IFERROR(IF(AND($H13&gt;=U$4,$H13&lt;V$4),1,0),0)</f>
        <v>0</v>
      </c>
      <c r="W13" s="381">
        <f t="shared" si="14"/>
        <v>0</v>
      </c>
      <c r="X13" s="381">
        <f t="shared" si="14"/>
        <v>0</v>
      </c>
      <c r="Y13" s="381">
        <f t="shared" si="14"/>
        <v>0</v>
      </c>
      <c r="Z13" s="381">
        <f t="shared" si="14"/>
        <v>0</v>
      </c>
      <c r="AA13" s="381">
        <f t="shared" si="14"/>
        <v>0</v>
      </c>
      <c r="AB13" s="381">
        <f t="shared" si="14"/>
        <v>0</v>
      </c>
      <c r="AC13" s="381">
        <f t="shared" si="14"/>
        <v>0</v>
      </c>
      <c r="AD13" s="389">
        <f t="shared" si="14"/>
        <v>0</v>
      </c>
    </row>
    <row r="14" spans="2:31">
      <c r="B14" s="381">
        <f t="shared" si="7"/>
        <v>10</v>
      </c>
      <c r="C14" s="651">
        <v>10</v>
      </c>
      <c r="D14" s="652">
        <v>1.1000000000000001</v>
      </c>
      <c r="E14" s="653">
        <v>630</v>
      </c>
      <c r="F14" s="654" t="s">
        <v>182</v>
      </c>
      <c r="G14" s="654"/>
      <c r="H14" s="655">
        <v>41182</v>
      </c>
      <c r="I14" s="381">
        <f t="shared" si="2"/>
        <v>9</v>
      </c>
      <c r="J14" s="381">
        <f t="shared" si="3"/>
        <v>2012</v>
      </c>
      <c r="K14" s="656">
        <v>795</v>
      </c>
      <c r="L14" s="652">
        <v>0</v>
      </c>
      <c r="M14" s="681">
        <f t="shared" si="4"/>
        <v>1.2619047619047619</v>
      </c>
      <c r="N14" s="652" t="s">
        <v>221</v>
      </c>
      <c r="Q14" s="388">
        <f t="shared" si="5"/>
        <v>10</v>
      </c>
      <c r="R14" s="380"/>
      <c r="S14" s="380"/>
      <c r="T14" s="380"/>
      <c r="U14" s="381">
        <f t="shared" si="0"/>
        <v>1</v>
      </c>
      <c r="V14" s="381">
        <f t="shared" ref="V14:AD14" si="15">IFERROR(IF(AND($H14&gt;=U$4,$H14&lt;V$4),1,0),0)</f>
        <v>0</v>
      </c>
      <c r="W14" s="381">
        <f t="shared" si="15"/>
        <v>0</v>
      </c>
      <c r="X14" s="381">
        <f t="shared" si="15"/>
        <v>0</v>
      </c>
      <c r="Y14" s="381">
        <f t="shared" si="15"/>
        <v>0</v>
      </c>
      <c r="Z14" s="381">
        <f t="shared" si="15"/>
        <v>0</v>
      </c>
      <c r="AA14" s="381">
        <f t="shared" si="15"/>
        <v>0</v>
      </c>
      <c r="AB14" s="381">
        <f t="shared" si="15"/>
        <v>0</v>
      </c>
      <c r="AC14" s="381">
        <f t="shared" si="15"/>
        <v>0</v>
      </c>
      <c r="AD14" s="389">
        <f t="shared" si="15"/>
        <v>0</v>
      </c>
    </row>
    <row r="15" spans="2:31">
      <c r="B15" s="381">
        <f t="shared" si="7"/>
        <v>11</v>
      </c>
      <c r="C15" s="651">
        <v>11</v>
      </c>
      <c r="D15" s="652">
        <v>1.1000000000000001</v>
      </c>
      <c r="E15" s="653">
        <v>630</v>
      </c>
      <c r="F15" s="654" t="s">
        <v>182</v>
      </c>
      <c r="G15" s="654"/>
      <c r="H15" s="655">
        <v>41152</v>
      </c>
      <c r="I15" s="381">
        <f t="shared" si="2"/>
        <v>8</v>
      </c>
      <c r="J15" s="381">
        <f t="shared" si="3"/>
        <v>2012</v>
      </c>
      <c r="K15" s="656">
        <v>800</v>
      </c>
      <c r="L15" s="652">
        <v>0</v>
      </c>
      <c r="M15" s="681">
        <f t="shared" si="4"/>
        <v>1.2698412698412698</v>
      </c>
      <c r="N15" s="652" t="s">
        <v>221</v>
      </c>
      <c r="Q15" s="388">
        <f t="shared" si="5"/>
        <v>11</v>
      </c>
      <c r="R15" s="380"/>
      <c r="S15" s="380"/>
      <c r="T15" s="380"/>
      <c r="U15" s="381">
        <f t="shared" si="0"/>
        <v>1</v>
      </c>
      <c r="V15" s="381">
        <f t="shared" ref="V15:AD15" si="16">IFERROR(IF(AND($H15&gt;=U$4,$H15&lt;V$4),1,0),0)</f>
        <v>0</v>
      </c>
      <c r="W15" s="381">
        <f t="shared" si="16"/>
        <v>0</v>
      </c>
      <c r="X15" s="381">
        <f t="shared" si="16"/>
        <v>0</v>
      </c>
      <c r="Y15" s="381">
        <f t="shared" si="16"/>
        <v>0</v>
      </c>
      <c r="Z15" s="381">
        <f t="shared" si="16"/>
        <v>0</v>
      </c>
      <c r="AA15" s="381">
        <f t="shared" si="16"/>
        <v>0</v>
      </c>
      <c r="AB15" s="381">
        <f t="shared" si="16"/>
        <v>0</v>
      </c>
      <c r="AC15" s="381">
        <f t="shared" si="16"/>
        <v>0</v>
      </c>
      <c r="AD15" s="389">
        <f t="shared" si="16"/>
        <v>0</v>
      </c>
    </row>
    <row r="16" spans="2:31">
      <c r="B16" s="381">
        <f t="shared" si="7"/>
        <v>12</v>
      </c>
      <c r="C16" s="651">
        <v>12</v>
      </c>
      <c r="D16" s="652">
        <v>1.1000000000000001</v>
      </c>
      <c r="E16" s="653">
        <v>630</v>
      </c>
      <c r="F16" s="654" t="s">
        <v>182</v>
      </c>
      <c r="G16" s="654"/>
      <c r="H16" s="655">
        <v>41243</v>
      </c>
      <c r="I16" s="381">
        <f t="shared" si="2"/>
        <v>11</v>
      </c>
      <c r="J16" s="381">
        <f t="shared" si="3"/>
        <v>2012</v>
      </c>
      <c r="K16" s="656">
        <v>785</v>
      </c>
      <c r="L16" s="652">
        <v>0</v>
      </c>
      <c r="M16" s="681">
        <f t="shared" si="4"/>
        <v>1.246031746031746</v>
      </c>
      <c r="N16" s="652" t="s">
        <v>221</v>
      </c>
      <c r="Q16" s="388">
        <f t="shared" si="5"/>
        <v>12</v>
      </c>
      <c r="R16" s="380"/>
      <c r="S16" s="380"/>
      <c r="T16" s="380"/>
      <c r="U16" s="381">
        <f t="shared" si="0"/>
        <v>1</v>
      </c>
      <c r="V16" s="381">
        <f t="shared" ref="V16:AD16" si="17">IFERROR(IF(AND($H16&gt;=U$4,$H16&lt;V$4),1,0),0)</f>
        <v>0</v>
      </c>
      <c r="W16" s="381">
        <f t="shared" si="17"/>
        <v>0</v>
      </c>
      <c r="X16" s="381">
        <f t="shared" si="17"/>
        <v>0</v>
      </c>
      <c r="Y16" s="381">
        <f t="shared" si="17"/>
        <v>0</v>
      </c>
      <c r="Z16" s="381">
        <f t="shared" si="17"/>
        <v>0</v>
      </c>
      <c r="AA16" s="381">
        <f t="shared" si="17"/>
        <v>0</v>
      </c>
      <c r="AB16" s="381">
        <f t="shared" si="17"/>
        <v>0</v>
      </c>
      <c r="AC16" s="381">
        <f t="shared" si="17"/>
        <v>0</v>
      </c>
      <c r="AD16" s="389">
        <f t="shared" si="17"/>
        <v>0</v>
      </c>
    </row>
    <row r="17" spans="2:30">
      <c r="B17" s="381">
        <f t="shared" si="7"/>
        <v>13</v>
      </c>
      <c r="C17" s="651">
        <v>13</v>
      </c>
      <c r="D17" s="652">
        <v>1.1000000000000001</v>
      </c>
      <c r="E17" s="653">
        <v>630</v>
      </c>
      <c r="F17" s="654" t="s">
        <v>182</v>
      </c>
      <c r="G17" s="654"/>
      <c r="H17" s="655">
        <v>41243</v>
      </c>
      <c r="I17" s="381">
        <f t="shared" si="2"/>
        <v>11</v>
      </c>
      <c r="J17" s="381">
        <f t="shared" si="3"/>
        <v>2012</v>
      </c>
      <c r="K17" s="656">
        <v>795</v>
      </c>
      <c r="L17" s="652">
        <v>0</v>
      </c>
      <c r="M17" s="681">
        <f t="shared" si="4"/>
        <v>1.2619047619047619</v>
      </c>
      <c r="N17" s="652" t="s">
        <v>221</v>
      </c>
      <c r="Q17" s="388">
        <f t="shared" si="5"/>
        <v>13</v>
      </c>
      <c r="R17" s="380"/>
      <c r="S17" s="380"/>
      <c r="T17" s="380"/>
      <c r="U17" s="381">
        <f t="shared" si="0"/>
        <v>1</v>
      </c>
      <c r="V17" s="381">
        <f t="shared" ref="V17:AD17" si="18">IFERROR(IF(AND($H17&gt;=U$4,$H17&lt;V$4),1,0),0)</f>
        <v>0</v>
      </c>
      <c r="W17" s="381">
        <f t="shared" si="18"/>
        <v>0</v>
      </c>
      <c r="X17" s="381">
        <f t="shared" si="18"/>
        <v>0</v>
      </c>
      <c r="Y17" s="381">
        <f t="shared" si="18"/>
        <v>0</v>
      </c>
      <c r="Z17" s="381">
        <f t="shared" si="18"/>
        <v>0</v>
      </c>
      <c r="AA17" s="381">
        <f t="shared" si="18"/>
        <v>0</v>
      </c>
      <c r="AB17" s="381">
        <f t="shared" si="18"/>
        <v>0</v>
      </c>
      <c r="AC17" s="381">
        <f t="shared" si="18"/>
        <v>0</v>
      </c>
      <c r="AD17" s="389">
        <f t="shared" si="18"/>
        <v>0</v>
      </c>
    </row>
    <row r="18" spans="2:30">
      <c r="B18" s="381">
        <f t="shared" si="7"/>
        <v>14</v>
      </c>
      <c r="C18" s="651">
        <v>14</v>
      </c>
      <c r="D18" s="652">
        <v>1.1000000000000001</v>
      </c>
      <c r="E18" s="653">
        <v>630</v>
      </c>
      <c r="F18" s="654" t="s">
        <v>182</v>
      </c>
      <c r="G18" s="654"/>
      <c r="H18" s="655">
        <v>41243</v>
      </c>
      <c r="I18" s="381">
        <f t="shared" si="2"/>
        <v>11</v>
      </c>
      <c r="J18" s="381">
        <f t="shared" si="3"/>
        <v>2012</v>
      </c>
      <c r="K18" s="656">
        <v>785</v>
      </c>
      <c r="L18" s="652">
        <v>0</v>
      </c>
      <c r="M18" s="681">
        <f t="shared" si="4"/>
        <v>1.246031746031746</v>
      </c>
      <c r="N18" s="652" t="s">
        <v>221</v>
      </c>
      <c r="Q18" s="388">
        <f t="shared" si="5"/>
        <v>14</v>
      </c>
      <c r="R18" s="380"/>
      <c r="S18" s="380"/>
      <c r="T18" s="380"/>
      <c r="U18" s="381">
        <f t="shared" si="0"/>
        <v>1</v>
      </c>
      <c r="V18" s="381">
        <f t="shared" ref="V18:AD18" si="19">IFERROR(IF(AND($H18&gt;=U$4,$H18&lt;V$4),1,0),0)</f>
        <v>0</v>
      </c>
      <c r="W18" s="381">
        <f t="shared" si="19"/>
        <v>0</v>
      </c>
      <c r="X18" s="381">
        <f t="shared" si="19"/>
        <v>0</v>
      </c>
      <c r="Y18" s="381">
        <f t="shared" si="19"/>
        <v>0</v>
      </c>
      <c r="Z18" s="381">
        <f t="shared" si="19"/>
        <v>0</v>
      </c>
      <c r="AA18" s="381">
        <f t="shared" si="19"/>
        <v>0</v>
      </c>
      <c r="AB18" s="381">
        <f t="shared" si="19"/>
        <v>0</v>
      </c>
      <c r="AC18" s="381">
        <f t="shared" si="19"/>
        <v>0</v>
      </c>
      <c r="AD18" s="389">
        <f t="shared" si="19"/>
        <v>0</v>
      </c>
    </row>
    <row r="19" spans="2:30">
      <c r="B19" s="381">
        <f t="shared" si="7"/>
        <v>15</v>
      </c>
      <c r="C19" s="651">
        <v>15</v>
      </c>
      <c r="D19" s="652">
        <v>1.1000000000000001</v>
      </c>
      <c r="E19" s="653">
        <v>630</v>
      </c>
      <c r="F19" s="654" t="s">
        <v>182</v>
      </c>
      <c r="G19" s="654"/>
      <c r="H19" s="655">
        <v>41243</v>
      </c>
      <c r="I19" s="381">
        <f t="shared" si="2"/>
        <v>11</v>
      </c>
      <c r="J19" s="381">
        <f t="shared" si="3"/>
        <v>2012</v>
      </c>
      <c r="K19" s="656">
        <v>800</v>
      </c>
      <c r="L19" s="652">
        <v>0</v>
      </c>
      <c r="M19" s="681">
        <f t="shared" si="4"/>
        <v>1.2698412698412698</v>
      </c>
      <c r="N19" s="652" t="s">
        <v>221</v>
      </c>
      <c r="Q19" s="388">
        <f t="shared" si="5"/>
        <v>15</v>
      </c>
      <c r="R19" s="380"/>
      <c r="S19" s="380"/>
      <c r="T19" s="380"/>
      <c r="U19" s="381">
        <f t="shared" si="0"/>
        <v>1</v>
      </c>
      <c r="V19" s="381">
        <f t="shared" ref="V19:AD19" si="20">IFERROR(IF(AND($H19&gt;=U$4,$H19&lt;V$4),1,0),0)</f>
        <v>0</v>
      </c>
      <c r="W19" s="381">
        <f t="shared" si="20"/>
        <v>0</v>
      </c>
      <c r="X19" s="381">
        <f t="shared" si="20"/>
        <v>0</v>
      </c>
      <c r="Y19" s="381">
        <f t="shared" si="20"/>
        <v>0</v>
      </c>
      <c r="Z19" s="381">
        <f t="shared" si="20"/>
        <v>0</v>
      </c>
      <c r="AA19" s="381">
        <f t="shared" si="20"/>
        <v>0</v>
      </c>
      <c r="AB19" s="381">
        <f t="shared" si="20"/>
        <v>0</v>
      </c>
      <c r="AC19" s="381">
        <f t="shared" si="20"/>
        <v>0</v>
      </c>
      <c r="AD19" s="389">
        <f t="shared" si="20"/>
        <v>0</v>
      </c>
    </row>
    <row r="20" spans="2:30">
      <c r="B20" s="381">
        <f t="shared" si="7"/>
        <v>16</v>
      </c>
      <c r="C20" s="651">
        <v>16</v>
      </c>
      <c r="D20" s="652">
        <v>1.1000000000000001</v>
      </c>
      <c r="E20" s="653">
        <v>630</v>
      </c>
      <c r="F20" s="654" t="s">
        <v>182</v>
      </c>
      <c r="G20" s="654"/>
      <c r="H20" s="655">
        <v>41244</v>
      </c>
      <c r="I20" s="381">
        <f t="shared" si="2"/>
        <v>12</v>
      </c>
      <c r="J20" s="381">
        <f t="shared" si="3"/>
        <v>2012</v>
      </c>
      <c r="K20" s="656">
        <v>830</v>
      </c>
      <c r="L20" s="652">
        <v>0</v>
      </c>
      <c r="M20" s="681">
        <f t="shared" si="4"/>
        <v>1.3174603174603174</v>
      </c>
      <c r="N20" s="652" t="s">
        <v>221</v>
      </c>
      <c r="Q20" s="388">
        <f t="shared" si="5"/>
        <v>16</v>
      </c>
      <c r="R20" s="380"/>
      <c r="S20" s="380"/>
      <c r="T20" s="380"/>
      <c r="U20" s="381">
        <f t="shared" si="0"/>
        <v>1</v>
      </c>
      <c r="V20" s="381">
        <f t="shared" ref="V20:AD20" si="21">IFERROR(IF(AND($H20&gt;=U$4,$H20&lt;V$4),1,0),0)</f>
        <v>0</v>
      </c>
      <c r="W20" s="381">
        <f t="shared" si="21"/>
        <v>0</v>
      </c>
      <c r="X20" s="381">
        <f t="shared" si="21"/>
        <v>0</v>
      </c>
      <c r="Y20" s="381">
        <f t="shared" si="21"/>
        <v>0</v>
      </c>
      <c r="Z20" s="381">
        <f t="shared" si="21"/>
        <v>0</v>
      </c>
      <c r="AA20" s="381">
        <f t="shared" si="21"/>
        <v>0</v>
      </c>
      <c r="AB20" s="381">
        <f t="shared" si="21"/>
        <v>0</v>
      </c>
      <c r="AC20" s="381">
        <f t="shared" si="21"/>
        <v>0</v>
      </c>
      <c r="AD20" s="389">
        <f t="shared" si="21"/>
        <v>0</v>
      </c>
    </row>
    <row r="21" spans="2:30">
      <c r="B21" s="381">
        <f t="shared" si="7"/>
        <v>17</v>
      </c>
      <c r="C21" s="651">
        <v>17</v>
      </c>
      <c r="D21" s="652">
        <v>1.1000000000000001</v>
      </c>
      <c r="E21" s="653">
        <v>630</v>
      </c>
      <c r="F21" s="654" t="s">
        <v>182</v>
      </c>
      <c r="G21" s="654"/>
      <c r="H21" s="655">
        <v>41000</v>
      </c>
      <c r="I21" s="381">
        <f t="shared" si="2"/>
        <v>4</v>
      </c>
      <c r="J21" s="381">
        <f t="shared" si="3"/>
        <v>2012</v>
      </c>
      <c r="K21" s="656">
        <v>750</v>
      </c>
      <c r="L21" s="652">
        <v>0</v>
      </c>
      <c r="M21" s="681">
        <f t="shared" si="4"/>
        <v>1.1904761904761905</v>
      </c>
      <c r="N21" s="652" t="s">
        <v>221</v>
      </c>
      <c r="Q21" s="388">
        <f t="shared" si="5"/>
        <v>17</v>
      </c>
      <c r="R21" s="380"/>
      <c r="S21" s="380"/>
      <c r="T21" s="380"/>
      <c r="U21" s="381">
        <f t="shared" si="0"/>
        <v>1</v>
      </c>
      <c r="V21" s="381">
        <f t="shared" ref="V21:AD21" si="22">IFERROR(IF(AND($H21&gt;=U$4,$H21&lt;V$4),1,0),0)</f>
        <v>0</v>
      </c>
      <c r="W21" s="381">
        <f t="shared" si="22"/>
        <v>0</v>
      </c>
      <c r="X21" s="381">
        <f t="shared" si="22"/>
        <v>0</v>
      </c>
      <c r="Y21" s="381">
        <f t="shared" si="22"/>
        <v>0</v>
      </c>
      <c r="Z21" s="381">
        <f t="shared" si="22"/>
        <v>0</v>
      </c>
      <c r="AA21" s="381">
        <f t="shared" si="22"/>
        <v>0</v>
      </c>
      <c r="AB21" s="381">
        <f t="shared" si="22"/>
        <v>0</v>
      </c>
      <c r="AC21" s="381">
        <f t="shared" si="22"/>
        <v>0</v>
      </c>
      <c r="AD21" s="389">
        <f t="shared" si="22"/>
        <v>0</v>
      </c>
    </row>
    <row r="22" spans="2:30">
      <c r="B22" s="381">
        <f t="shared" si="7"/>
        <v>18</v>
      </c>
      <c r="C22" s="651">
        <v>18</v>
      </c>
      <c r="D22" s="652">
        <v>1.1000000000000001</v>
      </c>
      <c r="E22" s="653">
        <v>630</v>
      </c>
      <c r="F22" s="654" t="s">
        <v>182</v>
      </c>
      <c r="G22" s="654"/>
      <c r="H22" s="655">
        <v>41030</v>
      </c>
      <c r="I22" s="381">
        <f t="shared" si="2"/>
        <v>5</v>
      </c>
      <c r="J22" s="381">
        <f t="shared" si="3"/>
        <v>2012</v>
      </c>
      <c r="K22" s="656">
        <v>795</v>
      </c>
      <c r="L22" s="652">
        <v>0</v>
      </c>
      <c r="M22" s="681">
        <f t="shared" si="4"/>
        <v>1.2619047619047619</v>
      </c>
      <c r="N22" s="652" t="s">
        <v>221</v>
      </c>
      <c r="Q22" s="388">
        <f t="shared" si="5"/>
        <v>18</v>
      </c>
      <c r="R22" s="380"/>
      <c r="S22" s="380"/>
      <c r="T22" s="380"/>
      <c r="U22" s="381">
        <f t="shared" si="0"/>
        <v>1</v>
      </c>
      <c r="V22" s="381">
        <f t="shared" ref="V22:AD22" si="23">IFERROR(IF(AND($H22&gt;=U$4,$H22&lt;V$4),1,0),0)</f>
        <v>0</v>
      </c>
      <c r="W22" s="381">
        <f t="shared" si="23"/>
        <v>0</v>
      </c>
      <c r="X22" s="381">
        <f t="shared" si="23"/>
        <v>0</v>
      </c>
      <c r="Y22" s="381">
        <f t="shared" si="23"/>
        <v>0</v>
      </c>
      <c r="Z22" s="381">
        <f t="shared" si="23"/>
        <v>0</v>
      </c>
      <c r="AA22" s="381">
        <f t="shared" si="23"/>
        <v>0</v>
      </c>
      <c r="AB22" s="381">
        <f t="shared" si="23"/>
        <v>0</v>
      </c>
      <c r="AC22" s="381">
        <f t="shared" si="23"/>
        <v>0</v>
      </c>
      <c r="AD22" s="389">
        <f t="shared" si="23"/>
        <v>0</v>
      </c>
    </row>
    <row r="23" spans="2:30">
      <c r="B23" s="381">
        <f t="shared" si="7"/>
        <v>19</v>
      </c>
      <c r="C23" s="651">
        <v>19</v>
      </c>
      <c r="D23" s="652">
        <v>1.1000000000000001</v>
      </c>
      <c r="E23" s="653">
        <v>630</v>
      </c>
      <c r="F23" s="654" t="s">
        <v>182</v>
      </c>
      <c r="G23" s="654"/>
      <c r="H23" s="655">
        <v>41061</v>
      </c>
      <c r="I23" s="381">
        <f t="shared" si="2"/>
        <v>6</v>
      </c>
      <c r="J23" s="381">
        <f t="shared" si="3"/>
        <v>2012</v>
      </c>
      <c r="K23" s="656">
        <v>765</v>
      </c>
      <c r="L23" s="652">
        <v>0</v>
      </c>
      <c r="M23" s="681">
        <f t="shared" si="4"/>
        <v>1.2142857142857142</v>
      </c>
      <c r="N23" s="652" t="s">
        <v>221</v>
      </c>
      <c r="Q23" s="388">
        <f t="shared" si="5"/>
        <v>19</v>
      </c>
      <c r="R23" s="380"/>
      <c r="S23" s="380"/>
      <c r="T23" s="380"/>
      <c r="U23" s="381">
        <f t="shared" si="0"/>
        <v>1</v>
      </c>
      <c r="V23" s="381">
        <f t="shared" ref="V23:AD23" si="24">IFERROR(IF(AND($H23&gt;=U$4,$H23&lt;V$4),1,0),0)</f>
        <v>0</v>
      </c>
      <c r="W23" s="381">
        <f t="shared" si="24"/>
        <v>0</v>
      </c>
      <c r="X23" s="381">
        <f t="shared" si="24"/>
        <v>0</v>
      </c>
      <c r="Y23" s="381">
        <f t="shared" si="24"/>
        <v>0</v>
      </c>
      <c r="Z23" s="381">
        <f t="shared" si="24"/>
        <v>0</v>
      </c>
      <c r="AA23" s="381">
        <f t="shared" si="24"/>
        <v>0</v>
      </c>
      <c r="AB23" s="381">
        <f t="shared" si="24"/>
        <v>0</v>
      </c>
      <c r="AC23" s="381">
        <f t="shared" si="24"/>
        <v>0</v>
      </c>
      <c r="AD23" s="389">
        <f t="shared" si="24"/>
        <v>0</v>
      </c>
    </row>
    <row r="24" spans="2:30">
      <c r="B24" s="381">
        <f t="shared" si="7"/>
        <v>20</v>
      </c>
      <c r="C24" s="651">
        <v>20</v>
      </c>
      <c r="D24" s="652">
        <v>1.1000000000000001</v>
      </c>
      <c r="E24" s="653">
        <v>630</v>
      </c>
      <c r="F24" s="654" t="s">
        <v>182</v>
      </c>
      <c r="G24" s="654"/>
      <c r="H24" s="655">
        <v>41000</v>
      </c>
      <c r="I24" s="381">
        <f t="shared" si="2"/>
        <v>4</v>
      </c>
      <c r="J24" s="381">
        <f t="shared" si="3"/>
        <v>2012</v>
      </c>
      <c r="K24" s="656">
        <v>800</v>
      </c>
      <c r="L24" s="652">
        <v>0</v>
      </c>
      <c r="M24" s="681">
        <f t="shared" si="4"/>
        <v>1.2698412698412698</v>
      </c>
      <c r="N24" s="652" t="s">
        <v>221</v>
      </c>
      <c r="Q24" s="388">
        <f t="shared" si="5"/>
        <v>20</v>
      </c>
      <c r="R24" s="380"/>
      <c r="S24" s="380"/>
      <c r="T24" s="380"/>
      <c r="U24" s="381">
        <f t="shared" si="0"/>
        <v>1</v>
      </c>
      <c r="V24" s="381">
        <f t="shared" ref="V24:AD24" si="25">IFERROR(IF(AND($H24&gt;=U$4,$H24&lt;V$4),1,0),0)</f>
        <v>0</v>
      </c>
      <c r="W24" s="381">
        <f t="shared" si="25"/>
        <v>0</v>
      </c>
      <c r="X24" s="381">
        <f t="shared" si="25"/>
        <v>0</v>
      </c>
      <c r="Y24" s="381">
        <f t="shared" si="25"/>
        <v>0</v>
      </c>
      <c r="Z24" s="381">
        <f t="shared" si="25"/>
        <v>0</v>
      </c>
      <c r="AA24" s="381">
        <f t="shared" si="25"/>
        <v>0</v>
      </c>
      <c r="AB24" s="381">
        <f t="shared" si="25"/>
        <v>0</v>
      </c>
      <c r="AC24" s="381">
        <f t="shared" si="25"/>
        <v>0</v>
      </c>
      <c r="AD24" s="389">
        <f t="shared" si="25"/>
        <v>0</v>
      </c>
    </row>
    <row r="25" spans="2:30">
      <c r="B25" s="381">
        <f t="shared" si="7"/>
        <v>21</v>
      </c>
      <c r="C25" s="651">
        <v>21</v>
      </c>
      <c r="D25" s="652">
        <v>1.1000000000000001</v>
      </c>
      <c r="E25" s="653">
        <v>630</v>
      </c>
      <c r="F25" s="654" t="s">
        <v>182</v>
      </c>
      <c r="G25" s="654"/>
      <c r="H25" s="655">
        <v>41122</v>
      </c>
      <c r="I25" s="381">
        <f t="shared" si="2"/>
        <v>8</v>
      </c>
      <c r="J25" s="381">
        <f t="shared" si="3"/>
        <v>2012</v>
      </c>
      <c r="K25" s="656">
        <v>1005</v>
      </c>
      <c r="L25" s="652">
        <v>0</v>
      </c>
      <c r="M25" s="681">
        <f t="shared" si="4"/>
        <v>1.5952380952380953</v>
      </c>
      <c r="N25" s="652" t="s">
        <v>221</v>
      </c>
      <c r="Q25" s="388">
        <f t="shared" si="5"/>
        <v>21</v>
      </c>
      <c r="R25" s="380"/>
      <c r="S25" s="380"/>
      <c r="T25" s="380"/>
      <c r="U25" s="381">
        <f t="shared" si="0"/>
        <v>1</v>
      </c>
      <c r="V25" s="381">
        <f t="shared" ref="V25:AD25" si="26">IFERROR(IF(AND($H25&gt;=U$4,$H25&lt;V$4),1,0),0)</f>
        <v>0</v>
      </c>
      <c r="W25" s="381">
        <f t="shared" si="26"/>
        <v>0</v>
      </c>
      <c r="X25" s="381">
        <f t="shared" si="26"/>
        <v>0</v>
      </c>
      <c r="Y25" s="381">
        <f t="shared" si="26"/>
        <v>0</v>
      </c>
      <c r="Z25" s="381">
        <f t="shared" si="26"/>
        <v>0</v>
      </c>
      <c r="AA25" s="381">
        <f t="shared" si="26"/>
        <v>0</v>
      </c>
      <c r="AB25" s="381">
        <f t="shared" si="26"/>
        <v>0</v>
      </c>
      <c r="AC25" s="381">
        <f t="shared" si="26"/>
        <v>0</v>
      </c>
      <c r="AD25" s="389">
        <f t="shared" si="26"/>
        <v>0</v>
      </c>
    </row>
    <row r="26" spans="2:30">
      <c r="B26" s="381">
        <f t="shared" si="7"/>
        <v>22</v>
      </c>
      <c r="C26" s="651">
        <v>22</v>
      </c>
      <c r="D26" s="652">
        <v>1.1000000000000001</v>
      </c>
      <c r="E26" s="653">
        <v>630</v>
      </c>
      <c r="F26" s="654" t="s">
        <v>182</v>
      </c>
      <c r="G26" s="654"/>
      <c r="H26" s="655">
        <v>41030</v>
      </c>
      <c r="I26" s="381">
        <f t="shared" si="2"/>
        <v>5</v>
      </c>
      <c r="J26" s="381">
        <f t="shared" si="3"/>
        <v>2012</v>
      </c>
      <c r="K26" s="656">
        <v>790</v>
      </c>
      <c r="L26" s="652">
        <v>0</v>
      </c>
      <c r="M26" s="681">
        <f t="shared" si="4"/>
        <v>1.253968253968254</v>
      </c>
      <c r="N26" s="652" t="s">
        <v>221</v>
      </c>
      <c r="Q26" s="388">
        <f t="shared" si="5"/>
        <v>22</v>
      </c>
      <c r="R26" s="380"/>
      <c r="S26" s="380"/>
      <c r="T26" s="379"/>
      <c r="U26" s="381">
        <f t="shared" si="0"/>
        <v>1</v>
      </c>
      <c r="V26" s="381">
        <f t="shared" ref="V26:AD26" si="27">IFERROR(IF(AND($H26&gt;=U$4,$H26&lt;V$4),1,0),0)</f>
        <v>0</v>
      </c>
      <c r="W26" s="381">
        <f t="shared" si="27"/>
        <v>0</v>
      </c>
      <c r="X26" s="381">
        <f t="shared" si="27"/>
        <v>0</v>
      </c>
      <c r="Y26" s="381">
        <f t="shared" si="27"/>
        <v>0</v>
      </c>
      <c r="Z26" s="381">
        <f t="shared" si="27"/>
        <v>0</v>
      </c>
      <c r="AA26" s="381">
        <f t="shared" si="27"/>
        <v>0</v>
      </c>
      <c r="AB26" s="381">
        <f t="shared" si="27"/>
        <v>0</v>
      </c>
      <c r="AC26" s="381">
        <f t="shared" si="27"/>
        <v>0</v>
      </c>
      <c r="AD26" s="389">
        <f t="shared" si="27"/>
        <v>0</v>
      </c>
    </row>
    <row r="27" spans="2:30">
      <c r="B27" s="381">
        <f t="shared" si="7"/>
        <v>23</v>
      </c>
      <c r="C27" s="651">
        <v>23</v>
      </c>
      <c r="D27" s="652">
        <v>2.1</v>
      </c>
      <c r="E27" s="653">
        <v>750</v>
      </c>
      <c r="F27" s="654" t="s">
        <v>182</v>
      </c>
      <c r="G27" s="654"/>
      <c r="H27" s="655">
        <v>41061</v>
      </c>
      <c r="I27" s="381">
        <f t="shared" si="2"/>
        <v>6</v>
      </c>
      <c r="J27" s="381">
        <f t="shared" si="3"/>
        <v>2012</v>
      </c>
      <c r="K27" s="656">
        <v>650</v>
      </c>
      <c r="L27" s="652">
        <v>0</v>
      </c>
      <c r="M27" s="681">
        <f t="shared" si="4"/>
        <v>0.8666666666666667</v>
      </c>
      <c r="N27" s="652" t="s">
        <v>221</v>
      </c>
      <c r="Q27" s="388">
        <f t="shared" si="5"/>
        <v>23</v>
      </c>
      <c r="R27" s="380"/>
      <c r="S27" s="380"/>
      <c r="T27" s="379"/>
      <c r="U27" s="381">
        <f t="shared" si="0"/>
        <v>1</v>
      </c>
      <c r="V27" s="381">
        <f t="shared" ref="V27:AD27" si="28">IFERROR(IF(AND($H27&gt;=U$4,$H27&lt;V$4),1,0),0)</f>
        <v>0</v>
      </c>
      <c r="W27" s="381">
        <f t="shared" si="28"/>
        <v>0</v>
      </c>
      <c r="X27" s="381">
        <f t="shared" si="28"/>
        <v>0</v>
      </c>
      <c r="Y27" s="381">
        <f t="shared" si="28"/>
        <v>0</v>
      </c>
      <c r="Z27" s="381">
        <f t="shared" si="28"/>
        <v>0</v>
      </c>
      <c r="AA27" s="381">
        <f t="shared" si="28"/>
        <v>0</v>
      </c>
      <c r="AB27" s="381">
        <f t="shared" si="28"/>
        <v>0</v>
      </c>
      <c r="AC27" s="381">
        <f t="shared" si="28"/>
        <v>0</v>
      </c>
      <c r="AD27" s="389">
        <f t="shared" si="28"/>
        <v>0</v>
      </c>
    </row>
    <row r="28" spans="2:30">
      <c r="B28" s="381">
        <f t="shared" si="7"/>
        <v>24</v>
      </c>
      <c r="C28" s="651">
        <v>24</v>
      </c>
      <c r="D28" s="652">
        <v>2.1</v>
      </c>
      <c r="E28" s="653">
        <v>750</v>
      </c>
      <c r="F28" s="654" t="s">
        <v>182</v>
      </c>
      <c r="G28" s="654"/>
      <c r="H28" s="655">
        <v>41000</v>
      </c>
      <c r="I28" s="381">
        <f t="shared" si="2"/>
        <v>4</v>
      </c>
      <c r="J28" s="381">
        <f t="shared" si="3"/>
        <v>2012</v>
      </c>
      <c r="K28" s="656">
        <v>650</v>
      </c>
      <c r="L28" s="652">
        <v>0</v>
      </c>
      <c r="M28" s="681">
        <f t="shared" si="4"/>
        <v>0.8666666666666667</v>
      </c>
      <c r="N28" s="652" t="s">
        <v>221</v>
      </c>
      <c r="Q28" s="388">
        <f t="shared" si="5"/>
        <v>24</v>
      </c>
      <c r="R28" s="380"/>
      <c r="S28" s="380"/>
      <c r="T28" s="380"/>
      <c r="U28" s="381">
        <f t="shared" si="0"/>
        <v>1</v>
      </c>
      <c r="V28" s="381">
        <f t="shared" ref="V28:AD28" si="29">IFERROR(IF(AND($H28&gt;=U$4,$H28&lt;V$4),1,0),0)</f>
        <v>0</v>
      </c>
      <c r="W28" s="381">
        <f t="shared" si="29"/>
        <v>0</v>
      </c>
      <c r="X28" s="381">
        <f t="shared" si="29"/>
        <v>0</v>
      </c>
      <c r="Y28" s="381">
        <f t="shared" si="29"/>
        <v>0</v>
      </c>
      <c r="Z28" s="381">
        <f t="shared" si="29"/>
        <v>0</v>
      </c>
      <c r="AA28" s="381">
        <f t="shared" si="29"/>
        <v>0</v>
      </c>
      <c r="AB28" s="381">
        <f t="shared" si="29"/>
        <v>0</v>
      </c>
      <c r="AC28" s="381">
        <f t="shared" si="29"/>
        <v>0</v>
      </c>
      <c r="AD28" s="389">
        <f t="shared" si="29"/>
        <v>0</v>
      </c>
    </row>
    <row r="29" spans="2:30">
      <c r="B29" s="381">
        <f t="shared" si="7"/>
        <v>25</v>
      </c>
      <c r="C29" s="651">
        <v>25</v>
      </c>
      <c r="D29" s="652">
        <v>2.1</v>
      </c>
      <c r="E29" s="653">
        <v>750</v>
      </c>
      <c r="F29" s="654" t="s">
        <v>182</v>
      </c>
      <c r="G29" s="654"/>
      <c r="H29" s="655">
        <v>41122</v>
      </c>
      <c r="I29" s="381">
        <f t="shared" si="2"/>
        <v>8</v>
      </c>
      <c r="J29" s="381">
        <f t="shared" si="3"/>
        <v>2012</v>
      </c>
      <c r="K29" s="656">
        <v>995</v>
      </c>
      <c r="L29" s="652">
        <v>0</v>
      </c>
      <c r="M29" s="681">
        <f t="shared" si="4"/>
        <v>1.3266666666666667</v>
      </c>
      <c r="N29" s="652" t="s">
        <v>221</v>
      </c>
      <c r="Q29" s="388">
        <f t="shared" si="5"/>
        <v>25</v>
      </c>
      <c r="R29" s="380"/>
      <c r="S29" s="380"/>
      <c r="T29" s="380"/>
      <c r="U29" s="381">
        <f t="shared" si="0"/>
        <v>1</v>
      </c>
      <c r="V29" s="381">
        <f t="shared" ref="V29:AD29" si="30">IFERROR(IF(AND($H29&gt;=U$4,$H29&lt;V$4),1,0),0)</f>
        <v>0</v>
      </c>
      <c r="W29" s="381">
        <f t="shared" si="30"/>
        <v>0</v>
      </c>
      <c r="X29" s="381">
        <f t="shared" si="30"/>
        <v>0</v>
      </c>
      <c r="Y29" s="381">
        <f t="shared" si="30"/>
        <v>0</v>
      </c>
      <c r="Z29" s="381">
        <f t="shared" si="30"/>
        <v>0</v>
      </c>
      <c r="AA29" s="381">
        <f t="shared" si="30"/>
        <v>0</v>
      </c>
      <c r="AB29" s="381">
        <f t="shared" si="30"/>
        <v>0</v>
      </c>
      <c r="AC29" s="381">
        <f t="shared" si="30"/>
        <v>0</v>
      </c>
      <c r="AD29" s="389">
        <f t="shared" si="30"/>
        <v>0</v>
      </c>
    </row>
    <row r="30" spans="2:30">
      <c r="B30" s="381">
        <f t="shared" si="7"/>
        <v>26</v>
      </c>
      <c r="C30" s="651">
        <v>26</v>
      </c>
      <c r="D30" s="652">
        <v>2.1</v>
      </c>
      <c r="E30" s="653">
        <v>750</v>
      </c>
      <c r="F30" s="654" t="s">
        <v>182</v>
      </c>
      <c r="G30" s="654"/>
      <c r="H30" s="655" t="s">
        <v>334</v>
      </c>
      <c r="I30" s="381">
        <f t="shared" si="2"/>
        <v>0</v>
      </c>
      <c r="J30" s="381">
        <f t="shared" si="3"/>
        <v>0</v>
      </c>
      <c r="K30" s="656">
        <v>1050</v>
      </c>
      <c r="L30" s="652">
        <v>0</v>
      </c>
      <c r="M30" s="681">
        <f t="shared" si="4"/>
        <v>1.4</v>
      </c>
      <c r="N30" s="652" t="s">
        <v>221</v>
      </c>
      <c r="Q30" s="388">
        <f t="shared" si="5"/>
        <v>26</v>
      </c>
      <c r="R30" s="380"/>
      <c r="S30" s="380"/>
      <c r="T30" s="380"/>
      <c r="U30" s="381">
        <f t="shared" si="0"/>
        <v>0</v>
      </c>
      <c r="V30" s="381">
        <f t="shared" ref="V30:AD30" si="31">IFERROR(IF(AND($H30&gt;=U$4,$H30&lt;V$4),1,0),0)</f>
        <v>0</v>
      </c>
      <c r="W30" s="381">
        <f t="shared" si="31"/>
        <v>0</v>
      </c>
      <c r="X30" s="381">
        <f t="shared" si="31"/>
        <v>0</v>
      </c>
      <c r="Y30" s="381">
        <f t="shared" si="31"/>
        <v>0</v>
      </c>
      <c r="Z30" s="381">
        <f t="shared" si="31"/>
        <v>0</v>
      </c>
      <c r="AA30" s="381">
        <f t="shared" si="31"/>
        <v>0</v>
      </c>
      <c r="AB30" s="381">
        <f t="shared" si="31"/>
        <v>0</v>
      </c>
      <c r="AC30" s="381">
        <f t="shared" si="31"/>
        <v>0</v>
      </c>
      <c r="AD30" s="389">
        <f t="shared" si="31"/>
        <v>0</v>
      </c>
    </row>
    <row r="31" spans="2:30">
      <c r="B31" s="381">
        <f t="shared" si="7"/>
        <v>27</v>
      </c>
      <c r="C31" s="651">
        <v>27</v>
      </c>
      <c r="D31" s="652">
        <v>0.1</v>
      </c>
      <c r="E31" s="653">
        <v>510</v>
      </c>
      <c r="F31" s="654" t="s">
        <v>182</v>
      </c>
      <c r="G31" s="654"/>
      <c r="H31" s="655" t="s">
        <v>334</v>
      </c>
      <c r="I31" s="381">
        <f t="shared" si="2"/>
        <v>0</v>
      </c>
      <c r="J31" s="381">
        <f t="shared" si="3"/>
        <v>0</v>
      </c>
      <c r="K31" s="656">
        <v>835</v>
      </c>
      <c r="L31" s="652">
        <v>0</v>
      </c>
      <c r="M31" s="681">
        <f t="shared" si="4"/>
        <v>1.6372549019607843</v>
      </c>
      <c r="N31" s="652" t="s">
        <v>221</v>
      </c>
      <c r="Q31" s="388">
        <f t="shared" si="5"/>
        <v>27</v>
      </c>
      <c r="R31" s="380"/>
      <c r="S31" s="380"/>
      <c r="T31" s="380"/>
      <c r="U31" s="381">
        <f t="shared" si="0"/>
        <v>0</v>
      </c>
      <c r="V31" s="381">
        <f t="shared" ref="V31:AD31" si="32">IFERROR(IF(AND($H31&gt;=U$4,$H31&lt;V$4),1,0),0)</f>
        <v>0</v>
      </c>
      <c r="W31" s="381">
        <f t="shared" si="32"/>
        <v>0</v>
      </c>
      <c r="X31" s="381">
        <f t="shared" si="32"/>
        <v>0</v>
      </c>
      <c r="Y31" s="381">
        <f t="shared" si="32"/>
        <v>0</v>
      </c>
      <c r="Z31" s="381">
        <f t="shared" si="32"/>
        <v>0</v>
      </c>
      <c r="AA31" s="381">
        <f t="shared" si="32"/>
        <v>0</v>
      </c>
      <c r="AB31" s="381">
        <f t="shared" si="32"/>
        <v>0</v>
      </c>
      <c r="AC31" s="381">
        <f t="shared" si="32"/>
        <v>0</v>
      </c>
      <c r="AD31" s="389">
        <f t="shared" si="32"/>
        <v>0</v>
      </c>
    </row>
    <row r="32" spans="2:30">
      <c r="B32" s="381">
        <f t="shared" si="7"/>
        <v>28</v>
      </c>
      <c r="C32" s="651">
        <v>28</v>
      </c>
      <c r="D32" s="652">
        <v>0.1</v>
      </c>
      <c r="E32" s="653">
        <v>510</v>
      </c>
      <c r="F32" s="654" t="s">
        <v>182</v>
      </c>
      <c r="G32" s="654"/>
      <c r="H32" s="655">
        <v>41244</v>
      </c>
      <c r="I32" s="381">
        <f t="shared" si="2"/>
        <v>12</v>
      </c>
      <c r="J32" s="381">
        <f t="shared" si="3"/>
        <v>2012</v>
      </c>
      <c r="K32" s="656">
        <v>650</v>
      </c>
      <c r="L32" s="652">
        <v>0</v>
      </c>
      <c r="M32" s="681">
        <f t="shared" si="4"/>
        <v>1.2745098039215685</v>
      </c>
      <c r="N32" s="652" t="s">
        <v>221</v>
      </c>
      <c r="Q32" s="388">
        <f t="shared" si="5"/>
        <v>28</v>
      </c>
      <c r="R32" s="380"/>
      <c r="S32" s="380"/>
      <c r="T32" s="380"/>
      <c r="U32" s="381">
        <f t="shared" si="0"/>
        <v>1</v>
      </c>
      <c r="V32" s="381">
        <f t="shared" ref="V32:AD32" si="33">IFERROR(IF(AND($H32&gt;=U$4,$H32&lt;V$4),1,0),0)</f>
        <v>0</v>
      </c>
      <c r="W32" s="381">
        <f t="shared" si="33"/>
        <v>0</v>
      </c>
      <c r="X32" s="381">
        <f t="shared" si="33"/>
        <v>0</v>
      </c>
      <c r="Y32" s="381">
        <f t="shared" si="33"/>
        <v>0</v>
      </c>
      <c r="Z32" s="381">
        <f t="shared" si="33"/>
        <v>0</v>
      </c>
      <c r="AA32" s="381">
        <f t="shared" si="33"/>
        <v>0</v>
      </c>
      <c r="AB32" s="381">
        <f t="shared" si="33"/>
        <v>0</v>
      </c>
      <c r="AC32" s="381">
        <f t="shared" si="33"/>
        <v>0</v>
      </c>
      <c r="AD32" s="389">
        <f t="shared" si="33"/>
        <v>0</v>
      </c>
    </row>
    <row r="33" spans="2:31">
      <c r="B33" s="381">
        <f t="shared" si="7"/>
        <v>29</v>
      </c>
      <c r="C33" s="651">
        <v>29</v>
      </c>
      <c r="D33" s="652">
        <v>0.1</v>
      </c>
      <c r="E33" s="653">
        <v>510</v>
      </c>
      <c r="F33" s="654" t="s">
        <v>182</v>
      </c>
      <c r="G33" s="654"/>
      <c r="H33" s="655">
        <v>41030</v>
      </c>
      <c r="I33" s="381">
        <f t="shared" si="2"/>
        <v>5</v>
      </c>
      <c r="J33" s="381">
        <f t="shared" si="3"/>
        <v>2012</v>
      </c>
      <c r="K33" s="656">
        <v>650</v>
      </c>
      <c r="L33" s="652">
        <v>0</v>
      </c>
      <c r="M33" s="681">
        <f t="shared" si="4"/>
        <v>1.2745098039215685</v>
      </c>
      <c r="N33" s="652" t="s">
        <v>221</v>
      </c>
      <c r="Q33" s="388">
        <f t="shared" si="5"/>
        <v>29</v>
      </c>
      <c r="R33" s="380"/>
      <c r="S33" s="380"/>
      <c r="T33" s="380"/>
      <c r="U33" s="381">
        <f t="shared" si="0"/>
        <v>1</v>
      </c>
      <c r="V33" s="381">
        <f t="shared" ref="V33:AD33" si="34">IFERROR(IF(AND($H33&gt;=U$4,$H33&lt;V$4),1,0),0)</f>
        <v>0</v>
      </c>
      <c r="W33" s="381">
        <f t="shared" si="34"/>
        <v>0</v>
      </c>
      <c r="X33" s="381">
        <f t="shared" si="34"/>
        <v>0</v>
      </c>
      <c r="Y33" s="381">
        <f t="shared" si="34"/>
        <v>0</v>
      </c>
      <c r="Z33" s="381">
        <f t="shared" si="34"/>
        <v>0</v>
      </c>
      <c r="AA33" s="381">
        <f t="shared" si="34"/>
        <v>0</v>
      </c>
      <c r="AB33" s="381">
        <f t="shared" si="34"/>
        <v>0</v>
      </c>
      <c r="AC33" s="381">
        <f t="shared" si="34"/>
        <v>0</v>
      </c>
      <c r="AD33" s="389">
        <f t="shared" si="34"/>
        <v>0</v>
      </c>
    </row>
    <row r="34" spans="2:31">
      <c r="B34" s="381">
        <f t="shared" si="7"/>
        <v>30</v>
      </c>
      <c r="C34" s="651">
        <v>30</v>
      </c>
      <c r="D34" s="652">
        <v>0.1</v>
      </c>
      <c r="E34" s="653">
        <v>510</v>
      </c>
      <c r="F34" s="654" t="s">
        <v>182</v>
      </c>
      <c r="G34" s="654"/>
      <c r="H34" s="655" t="s">
        <v>334</v>
      </c>
      <c r="I34" s="381">
        <f t="shared" si="2"/>
        <v>0</v>
      </c>
      <c r="J34" s="381">
        <f t="shared" si="3"/>
        <v>0</v>
      </c>
      <c r="K34" s="656">
        <v>1000</v>
      </c>
      <c r="L34" s="652">
        <v>0</v>
      </c>
      <c r="M34" s="681">
        <f t="shared" si="4"/>
        <v>1.9607843137254901</v>
      </c>
      <c r="N34" s="652" t="s">
        <v>221</v>
      </c>
      <c r="Q34" s="388">
        <f t="shared" si="5"/>
        <v>30</v>
      </c>
      <c r="R34" s="380"/>
      <c r="S34" s="380"/>
      <c r="T34" s="380"/>
      <c r="U34" s="381">
        <f t="shared" si="0"/>
        <v>0</v>
      </c>
      <c r="V34" s="381">
        <f t="shared" ref="V34:AD34" si="35">IFERROR(IF(AND($H34&gt;=U$4,$H34&lt;V$4),1,0),0)</f>
        <v>0</v>
      </c>
      <c r="W34" s="381">
        <f t="shared" si="35"/>
        <v>0</v>
      </c>
      <c r="X34" s="381">
        <f t="shared" si="35"/>
        <v>0</v>
      </c>
      <c r="Y34" s="381">
        <f t="shared" si="35"/>
        <v>0</v>
      </c>
      <c r="Z34" s="381">
        <f t="shared" si="35"/>
        <v>0</v>
      </c>
      <c r="AA34" s="381">
        <f t="shared" si="35"/>
        <v>0</v>
      </c>
      <c r="AB34" s="381">
        <f t="shared" si="35"/>
        <v>0</v>
      </c>
      <c r="AC34" s="381">
        <f t="shared" si="35"/>
        <v>0</v>
      </c>
      <c r="AD34" s="389">
        <f t="shared" si="35"/>
        <v>0</v>
      </c>
    </row>
    <row r="35" spans="2:31">
      <c r="B35" s="843"/>
      <c r="C35" s="844"/>
      <c r="D35" s="845"/>
      <c r="E35" s="846"/>
      <c r="F35" s="847"/>
      <c r="G35" s="847"/>
      <c r="H35" s="848"/>
      <c r="I35" s="843"/>
      <c r="J35" s="843"/>
      <c r="K35" s="680"/>
      <c r="L35" s="845"/>
      <c r="M35" s="849"/>
      <c r="N35" s="845"/>
      <c r="Q35" s="388">
        <f t="shared" si="5"/>
        <v>0</v>
      </c>
      <c r="R35" s="380"/>
      <c r="S35" s="380"/>
      <c r="T35" s="380"/>
      <c r="U35" s="381">
        <f t="shared" si="0"/>
        <v>0</v>
      </c>
      <c r="V35" s="381">
        <f t="shared" ref="V35:AD35" si="36">IFERROR(IF(AND($H35&gt;=U$4,$H35&lt;V$4),1,0),0)</f>
        <v>0</v>
      </c>
      <c r="W35" s="381">
        <f t="shared" si="36"/>
        <v>0</v>
      </c>
      <c r="X35" s="381">
        <f t="shared" si="36"/>
        <v>0</v>
      </c>
      <c r="Y35" s="381">
        <f t="shared" si="36"/>
        <v>0</v>
      </c>
      <c r="Z35" s="381">
        <f t="shared" si="36"/>
        <v>0</v>
      </c>
      <c r="AA35" s="381">
        <f t="shared" si="36"/>
        <v>0</v>
      </c>
      <c r="AB35" s="381">
        <f t="shared" si="36"/>
        <v>0</v>
      </c>
      <c r="AC35" s="381">
        <f t="shared" si="36"/>
        <v>0</v>
      </c>
      <c r="AD35" s="389">
        <f t="shared" si="36"/>
        <v>0</v>
      </c>
    </row>
    <row r="36" spans="2:31">
      <c r="B36" s="380"/>
      <c r="C36" s="399"/>
      <c r="D36" s="399"/>
      <c r="E36" s="456">
        <f>SUM(E5:E35)</f>
        <v>18900</v>
      </c>
      <c r="F36" s="399"/>
      <c r="G36" s="399"/>
      <c r="H36" s="379"/>
      <c r="I36" s="381"/>
      <c r="J36" s="381"/>
      <c r="K36" s="457">
        <f>SUM(K5:K35)</f>
        <v>24225</v>
      </c>
      <c r="L36" s="458">
        <f>SUM(L5:L35)</f>
        <v>0</v>
      </c>
      <c r="M36" s="681"/>
      <c r="N36" s="458"/>
      <c r="Q36" s="392"/>
      <c r="R36" s="393"/>
      <c r="S36" s="393"/>
      <c r="T36" s="393"/>
      <c r="U36" s="394">
        <f t="shared" ref="U36:AD36" si="37">SUM(U5:U35)</f>
        <v>22</v>
      </c>
      <c r="V36" s="394">
        <f t="shared" si="37"/>
        <v>0</v>
      </c>
      <c r="W36" s="394">
        <f t="shared" si="37"/>
        <v>0</v>
      </c>
      <c r="X36" s="394">
        <f t="shared" si="37"/>
        <v>0</v>
      </c>
      <c r="Y36" s="394">
        <f t="shared" si="37"/>
        <v>0</v>
      </c>
      <c r="Z36" s="394">
        <f t="shared" si="37"/>
        <v>0</v>
      </c>
      <c r="AA36" s="394">
        <f t="shared" si="37"/>
        <v>0</v>
      </c>
      <c r="AB36" s="394">
        <f t="shared" si="37"/>
        <v>0</v>
      </c>
      <c r="AC36" s="394">
        <f t="shared" si="37"/>
        <v>0</v>
      </c>
      <c r="AD36" s="395">
        <f t="shared" si="37"/>
        <v>0</v>
      </c>
      <c r="AE36" s="400">
        <f>SUM(U36:AD36)</f>
        <v>22</v>
      </c>
    </row>
    <row r="37" spans="2:31">
      <c r="C37" s="374"/>
      <c r="D37" s="374"/>
      <c r="E37" s="375"/>
      <c r="F37" s="374"/>
      <c r="G37" s="374"/>
      <c r="H37" s="376"/>
      <c r="L37" s="375"/>
      <c r="M37" s="375"/>
      <c r="N37" s="375"/>
    </row>
    <row r="38" spans="2:31">
      <c r="C38" s="374"/>
      <c r="D38" s="374"/>
      <c r="E38" s="375"/>
      <c r="F38" s="374"/>
      <c r="G38" s="374"/>
      <c r="H38" s="376"/>
      <c r="J38" s="470" t="s">
        <v>200</v>
      </c>
      <c r="K38" s="457">
        <f>K36*12</f>
        <v>290700</v>
      </c>
      <c r="L38" s="375"/>
      <c r="M38" s="375"/>
      <c r="N38" s="459">
        <f>COUNTIF(N5:N35,"FM")</f>
        <v>30</v>
      </c>
      <c r="O38" s="400" t="s">
        <v>221</v>
      </c>
    </row>
    <row r="39" spans="2:31">
      <c r="C39" s="374"/>
      <c r="D39" s="374"/>
      <c r="E39" s="375"/>
      <c r="F39" s="374"/>
      <c r="G39" s="374"/>
      <c r="H39" s="376"/>
      <c r="J39" s="470" t="s">
        <v>224</v>
      </c>
      <c r="K39" s="457">
        <f>AVERAGE(K5:K35)</f>
        <v>807.5</v>
      </c>
      <c r="L39" s="375"/>
      <c r="M39" s="375"/>
      <c r="N39" s="460">
        <f>COUNTIF(N5:N35,"RS")</f>
        <v>0</v>
      </c>
      <c r="O39" s="400" t="s">
        <v>218</v>
      </c>
    </row>
    <row r="40" spans="2:31">
      <c r="C40" s="374"/>
      <c r="D40" s="374"/>
      <c r="E40" s="375"/>
      <c r="F40" s="374"/>
      <c r="G40" s="374"/>
      <c r="H40" s="376"/>
      <c r="J40" s="470" t="s">
        <v>223</v>
      </c>
      <c r="K40" s="469">
        <f>K36/E36</f>
        <v>1.2817460317460319</v>
      </c>
      <c r="L40" s="375"/>
      <c r="M40" s="375"/>
      <c r="N40" s="459">
        <f>SUM(N38:N39)</f>
        <v>30</v>
      </c>
      <c r="O40" s="400" t="s">
        <v>10</v>
      </c>
    </row>
    <row r="41" spans="2:31">
      <c r="C41" s="374"/>
      <c r="D41" s="374"/>
      <c r="E41" s="375"/>
      <c r="F41" s="374"/>
      <c r="G41" s="374"/>
      <c r="H41" s="376"/>
      <c r="J41" s="470"/>
      <c r="K41" s="469"/>
      <c r="L41" s="375"/>
      <c r="M41" s="375"/>
      <c r="N41" s="459"/>
      <c r="O41" s="400"/>
    </row>
    <row r="42" spans="2:31">
      <c r="C42" s="374"/>
      <c r="D42" s="374"/>
      <c r="E42" s="375"/>
      <c r="F42" s="374"/>
      <c r="G42" s="374"/>
      <c r="H42" s="376"/>
      <c r="J42" s="470"/>
      <c r="K42" s="469"/>
      <c r="L42" s="375"/>
      <c r="M42" s="375"/>
      <c r="N42" s="459"/>
      <c r="O42" s="400"/>
    </row>
  </sheetData>
  <customSheetViews>
    <customSheetView guid="{AC6D0829-7D33-475A-BFC8-17DE97049707}" scale="70">
      <colBreaks count="1" manualBreakCount="1">
        <brk id="15" min="2" max="54" man="1"/>
      </colBreaks>
      <pageMargins left="0.48" right="0.35" top="0.74" bottom="0.75" header="0.3" footer="0.3"/>
      <pageSetup scale="46" fitToWidth="2" fitToHeight="2" orientation="portrait" horizontalDpi="300" verticalDpi="0" r:id="rId1"/>
    </customSheetView>
  </customSheetViews>
  <pageMargins left="0.48" right="0.35" top="0.74" bottom="0.75" header="0.3" footer="0.3"/>
  <pageSetup scale="46" fitToWidth="2" fitToHeight="2" orientation="portrait" horizontalDpi="300" verticalDpi="0" r:id="rId2"/>
  <colBreaks count="1" manualBreakCount="1">
    <brk id="16" min="1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W207"/>
  <sheetViews>
    <sheetView showGridLines="0" zoomScale="90" zoomScaleNormal="90" workbookViewId="0"/>
  </sheetViews>
  <sheetFormatPr defaultColWidth="9.33203125" defaultRowHeight="15.75"/>
  <cols>
    <col min="1" max="1" width="9" style="8" customWidth="1"/>
    <col min="2" max="2" width="30" style="8" customWidth="1"/>
    <col min="3" max="3" width="15.6640625" style="8" customWidth="1"/>
    <col min="4" max="4" width="16.1640625" style="8" customWidth="1"/>
    <col min="5" max="5" width="15" style="8" customWidth="1"/>
    <col min="6" max="6" width="15.1640625" style="8" customWidth="1"/>
    <col min="7" max="7" width="14.33203125" style="8" customWidth="1"/>
    <col min="8" max="8" width="15.1640625" style="8" customWidth="1"/>
    <col min="9" max="9" width="11" style="8" customWidth="1"/>
    <col min="10" max="10" width="9.83203125" style="8" customWidth="1"/>
    <col min="11" max="11" width="17.83203125" style="8" customWidth="1"/>
    <col min="12" max="12" width="16.33203125" style="8" customWidth="1"/>
    <col min="13" max="13" width="17.6640625" style="8" customWidth="1"/>
    <col min="14" max="14" width="16.33203125" style="8" customWidth="1"/>
    <col min="15" max="15" width="14.5" style="8" customWidth="1"/>
    <col min="16" max="16" width="16.5" style="8" customWidth="1"/>
    <col min="17" max="17" width="3.33203125" style="8" customWidth="1"/>
    <col min="18" max="18" width="22.5" style="8" customWidth="1"/>
    <col min="19" max="19" width="37.5" style="8" customWidth="1"/>
    <col min="20" max="20" width="3.33203125" style="33" customWidth="1"/>
    <col min="21" max="22" width="10.5" style="8" customWidth="1"/>
    <col min="23" max="26" width="7.83203125" style="8" customWidth="1"/>
    <col min="27" max="46" width="17.33203125" style="8" bestFit="1" customWidth="1"/>
    <col min="47" max="47" width="16.1640625" style="8" bestFit="1" customWidth="1"/>
    <col min="48" max="48" width="9.33203125" style="8"/>
    <col min="49" max="49" width="4.83203125" style="8" customWidth="1"/>
    <col min="50" max="16384" width="9.33203125" style="8"/>
  </cols>
  <sheetData>
    <row r="2" spans="2:22" s="1" customFormat="1" ht="21">
      <c r="B2" s="937" t="s">
        <v>176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8"/>
      <c r="T2" s="426"/>
    </row>
    <row r="3" spans="2:22" s="1" customFormat="1" ht="18.75">
      <c r="B3" s="938" t="s">
        <v>337</v>
      </c>
      <c r="C3" s="938"/>
      <c r="D3" s="938"/>
      <c r="E3" s="938"/>
      <c r="F3" s="938"/>
      <c r="G3" s="938"/>
      <c r="H3" s="938"/>
      <c r="I3" s="938"/>
      <c r="J3" s="938"/>
      <c r="K3" s="938"/>
      <c r="L3" s="938"/>
      <c r="M3" s="938"/>
      <c r="N3" s="938"/>
      <c r="O3" s="938"/>
      <c r="P3" s="8"/>
      <c r="T3" s="426"/>
    </row>
    <row r="4" spans="2:22" ht="11.25" customHeight="1">
      <c r="B4" s="9" t="s">
        <v>9</v>
      </c>
      <c r="I4" s="12"/>
      <c r="J4" s="12"/>
      <c r="K4" s="12"/>
      <c r="L4" s="12"/>
      <c r="M4" s="12"/>
      <c r="N4" s="12"/>
      <c r="O4" s="12"/>
    </row>
    <row r="5" spans="2:22" ht="12.75" customHeight="1">
      <c r="B5" s="939" t="s">
        <v>271</v>
      </c>
      <c r="C5" s="940"/>
      <c r="D5" s="940"/>
      <c r="E5" s="940"/>
      <c r="F5" s="940"/>
      <c r="G5" s="940"/>
      <c r="H5" s="941"/>
      <c r="J5" s="939" t="str">
        <f>UPPER("Rent Growth and Renovation Schedule")</f>
        <v>RENT GROWTH AND RENOVATION SCHEDULE</v>
      </c>
      <c r="K5" s="940"/>
      <c r="L5" s="940"/>
      <c r="M5" s="940"/>
      <c r="N5" s="940"/>
      <c r="O5" s="940"/>
      <c r="P5" s="941"/>
      <c r="R5" s="948" t="str">
        <f>IF(N24=unit-M7,"All Eligible Units Renovated", "Fix Renovation Count")</f>
        <v>All Eligible Units Renovated</v>
      </c>
      <c r="S5" s="949"/>
    </row>
    <row r="6" spans="2:22" ht="12.75" customHeight="1">
      <c r="C6" s="272"/>
      <c r="D6" s="272"/>
      <c r="E6" s="272"/>
      <c r="F6" s="272"/>
      <c r="G6" s="272"/>
      <c r="H6" s="272"/>
      <c r="J6" s="10"/>
      <c r="R6" s="951" t="str">
        <f>IF(COUNTIF(N13:N23,"&gt;0")&gt;H14/12,"Fix Renovation Timing to Match Duration","Renovation Timing OK")</f>
        <v>Renovation Timing OK</v>
      </c>
      <c r="S6" s="952"/>
    </row>
    <row r="7" spans="2:22" ht="12.75" customHeight="1">
      <c r="B7" s="327" t="s">
        <v>147</v>
      </c>
      <c r="G7" s="606"/>
      <c r="J7" s="8" t="s">
        <v>265</v>
      </c>
      <c r="M7" s="19">
        <f>'Rent Roll'!L36</f>
        <v>0</v>
      </c>
      <c r="N7" s="623">
        <f>unit-M7</f>
        <v>30</v>
      </c>
      <c r="O7" s="24"/>
    </row>
    <row r="8" spans="2:22" ht="12.75" customHeight="1">
      <c r="B8" s="521" t="s">
        <v>148</v>
      </c>
      <c r="C8" s="152">
        <v>40969</v>
      </c>
      <c r="D8" s="707">
        <v>0</v>
      </c>
      <c r="F8" s="24" t="s">
        <v>263</v>
      </c>
      <c r="G8" s="708">
        <f>C8</f>
        <v>40969</v>
      </c>
      <c r="H8" s="707">
        <v>1</v>
      </c>
      <c r="I8" s="226"/>
      <c r="J8" s="8" t="s">
        <v>268</v>
      </c>
      <c r="N8" s="26"/>
      <c r="O8" s="18">
        <f>P8/F28</f>
        <v>0.1238390092879257</v>
      </c>
      <c r="P8" s="666">
        <v>100</v>
      </c>
      <c r="R8" s="432"/>
      <c r="T8" s="427"/>
      <c r="U8" s="14"/>
      <c r="V8" s="14"/>
    </row>
    <row r="9" spans="2:22" ht="12.75" customHeight="1">
      <c r="B9" s="21" t="s">
        <v>264</v>
      </c>
      <c r="H9" s="159">
        <v>8</v>
      </c>
      <c r="J9" s="8" t="s">
        <v>175</v>
      </c>
      <c r="O9" s="247">
        <f>F28</f>
        <v>807.5</v>
      </c>
      <c r="P9" s="247">
        <f>O9+P8</f>
        <v>907.5</v>
      </c>
      <c r="R9" s="432"/>
    </row>
    <row r="10" spans="2:22" ht="12.75" customHeight="1">
      <c r="B10" s="21" t="s">
        <v>156</v>
      </c>
      <c r="F10" s="24" t="s">
        <v>52</v>
      </c>
      <c r="G10" s="309">
        <f>COUNTIF('Monthly Cash Flow Solution'!P6:EQ6,"&lt;="&amp;Assumptions!H10)</f>
        <v>96</v>
      </c>
      <c r="H10" s="15">
        <f>DATE(YEAR(G8),MONTH(G8)+(H9*12),DAY(G8))-1</f>
        <v>43890</v>
      </c>
      <c r="O10" s="25">
        <f>O9/D28</f>
        <v>1.2817460317460319</v>
      </c>
      <c r="P10" s="25">
        <f>P9/D28</f>
        <v>1.4404761904761905</v>
      </c>
      <c r="Q10" s="33"/>
      <c r="S10" s="29" t="s">
        <v>172</v>
      </c>
    </row>
    <row r="11" spans="2:22" ht="12.75" customHeight="1" thickBot="1">
      <c r="B11" s="327" t="s">
        <v>168</v>
      </c>
      <c r="F11" s="276">
        <f>Assumptions!E28</f>
        <v>18900</v>
      </c>
      <c r="H11" s="19">
        <f>Assumptions!C28</f>
        <v>30</v>
      </c>
      <c r="J11" s="944" t="s">
        <v>173</v>
      </c>
      <c r="K11" s="944"/>
      <c r="L11" s="448" t="s">
        <v>141</v>
      </c>
      <c r="M11" s="448" t="s">
        <v>138</v>
      </c>
      <c r="N11" s="449" t="s">
        <v>64</v>
      </c>
      <c r="O11" s="449" t="s">
        <v>47</v>
      </c>
      <c r="P11" s="449" t="s">
        <v>254</v>
      </c>
      <c r="Q11" s="33"/>
      <c r="S11" s="29" t="s">
        <v>149</v>
      </c>
      <c r="U11" s="4"/>
      <c r="V11" s="4"/>
    </row>
    <row r="12" spans="2:22" ht="12.75" customHeight="1">
      <c r="B12" s="327" t="s">
        <v>219</v>
      </c>
      <c r="E12" s="955">
        <f>'Rent Roll'!N38</f>
        <v>30</v>
      </c>
      <c r="F12" s="955"/>
      <c r="G12" s="945">
        <f>'Rent Roll'!N39</f>
        <v>0</v>
      </c>
      <c r="H12" s="945"/>
      <c r="J12" s="607">
        <v>0</v>
      </c>
      <c r="K12" s="608" t="s">
        <v>189</v>
      </c>
      <c r="L12" s="820"/>
      <c r="M12" s="275">
        <v>0</v>
      </c>
      <c r="N12" s="275">
        <v>0</v>
      </c>
      <c r="O12" s="275">
        <v>0</v>
      </c>
      <c r="P12" s="275">
        <v>0</v>
      </c>
      <c r="R12" s="14" t="s">
        <v>187</v>
      </c>
      <c r="S12" s="29" t="s">
        <v>150</v>
      </c>
      <c r="U12" s="4"/>
      <c r="V12" s="4"/>
    </row>
    <row r="13" spans="2:22" ht="12.75" customHeight="1">
      <c r="B13" s="327" t="s">
        <v>30</v>
      </c>
      <c r="D13" s="18"/>
      <c r="E13" s="18"/>
      <c r="F13" s="333">
        <v>21</v>
      </c>
      <c r="H13" s="334">
        <f>F13/unit</f>
        <v>0.7</v>
      </c>
      <c r="I13" s="20" t="str">
        <f>IF(ROUND(F11-Assumptions!E28,0)=0," ","CHECK!")</f>
        <v xml:space="preserve"> </v>
      </c>
      <c r="J13" s="29">
        <v>1</v>
      </c>
      <c r="K13" s="314">
        <f>G8</f>
        <v>40969</v>
      </c>
      <c r="L13" s="451">
        <v>3.4000000000000002E-2</v>
      </c>
      <c r="M13" s="246">
        <f>L13</f>
        <v>3.4000000000000002E-2</v>
      </c>
      <c r="N13" s="667">
        <v>10</v>
      </c>
      <c r="O13" s="668">
        <v>7500</v>
      </c>
      <c r="P13" s="153">
        <f t="shared" ref="P13:P23" si="0">IF(N13=0,0,12*N13*$P$8)</f>
        <v>12000</v>
      </c>
      <c r="R13" s="29">
        <f>'Rent Roll'!U36</f>
        <v>22</v>
      </c>
      <c r="S13" s="705">
        <f>1*(1+M13)</f>
        <v>1.034</v>
      </c>
      <c r="U13" s="4"/>
      <c r="V13" s="4"/>
    </row>
    <row r="14" spans="2:22" ht="12.75" customHeight="1">
      <c r="B14" s="361" t="s">
        <v>316</v>
      </c>
      <c r="F14" s="55">
        <v>41030</v>
      </c>
      <c r="G14" s="331"/>
      <c r="H14" s="631">
        <v>84</v>
      </c>
      <c r="I14" s="29"/>
      <c r="J14" s="53">
        <f>J13+1</f>
        <v>2</v>
      </c>
      <c r="K14" s="314">
        <f>EDATE(K13,12)</f>
        <v>41334</v>
      </c>
      <c r="L14" s="451">
        <v>4.7E-2</v>
      </c>
      <c r="M14" s="246">
        <f t="shared" ref="M14:M23" si="1">S14/1-1</f>
        <v>8.2597999999999949E-2</v>
      </c>
      <c r="N14" s="667">
        <v>15</v>
      </c>
      <c r="O14" s="669">
        <f>$O$13*(1+$H$69)^(J14-1)</f>
        <v>7725</v>
      </c>
      <c r="P14" s="153">
        <f t="shared" si="0"/>
        <v>18000</v>
      </c>
      <c r="R14" s="29">
        <f>'Rent Roll'!V36</f>
        <v>0</v>
      </c>
      <c r="S14" s="705">
        <f t="shared" ref="S14:S23" si="2">S13*(1+L14)</f>
        <v>1.0825979999999999</v>
      </c>
      <c r="T14" s="411"/>
      <c r="U14" s="4"/>
      <c r="V14" s="4"/>
    </row>
    <row r="15" spans="2:22" ht="12.75" customHeight="1">
      <c r="B15" s="338" t="s">
        <v>248</v>
      </c>
      <c r="D15" s="54"/>
      <c r="E15" s="54"/>
      <c r="H15" s="56">
        <f>EDATE(F14,H14)-1</f>
        <v>43585</v>
      </c>
      <c r="J15" s="53">
        <f t="shared" ref="J15:J23" si="3">J14+1</f>
        <v>3</v>
      </c>
      <c r="K15" s="314">
        <f t="shared" ref="K15:K23" si="4">EDATE(K14,12)</f>
        <v>41699</v>
      </c>
      <c r="L15" s="451">
        <v>4.7E-2</v>
      </c>
      <c r="M15" s="246">
        <f t="shared" si="1"/>
        <v>0.13348010599999993</v>
      </c>
      <c r="N15" s="667">
        <v>5</v>
      </c>
      <c r="O15" s="669">
        <f t="shared" ref="O15:O23" si="5">$O$13*(1+$H$69)^(J15-1)</f>
        <v>7956.75</v>
      </c>
      <c r="P15" s="153">
        <f t="shared" si="0"/>
        <v>6000</v>
      </c>
      <c r="R15" s="29">
        <f>'Rent Roll'!W36</f>
        <v>0</v>
      </c>
      <c r="S15" s="705">
        <f t="shared" si="2"/>
        <v>1.1334801059999999</v>
      </c>
      <c r="U15" s="4"/>
      <c r="V15" s="4"/>
    </row>
    <row r="16" spans="2:22" ht="12.75" customHeight="1">
      <c r="B16" s="338" t="s">
        <v>53</v>
      </c>
      <c r="D16" s="54"/>
      <c r="E16" s="54"/>
      <c r="F16" s="33"/>
      <c r="H16" s="57">
        <v>0.1</v>
      </c>
      <c r="J16" s="53">
        <f t="shared" si="3"/>
        <v>4</v>
      </c>
      <c r="K16" s="314">
        <f t="shared" si="4"/>
        <v>42064</v>
      </c>
      <c r="L16" s="451">
        <v>3.3000000000000002E-2</v>
      </c>
      <c r="M16" s="246">
        <f t="shared" si="1"/>
        <v>0.17088494949799982</v>
      </c>
      <c r="N16" s="667">
        <v>0</v>
      </c>
      <c r="O16" s="669">
        <f t="shared" si="5"/>
        <v>8195.4524999999994</v>
      </c>
      <c r="P16" s="153">
        <f t="shared" si="0"/>
        <v>0</v>
      </c>
      <c r="R16" s="29">
        <f>'Rent Roll'!X36</f>
        <v>0</v>
      </c>
      <c r="S16" s="705">
        <f t="shared" si="2"/>
        <v>1.1708849494979998</v>
      </c>
      <c r="U16" s="4"/>
      <c r="V16" s="4"/>
    </row>
    <row r="17" spans="1:22" ht="12.75" customHeight="1">
      <c r="B17" s="338" t="s">
        <v>77</v>
      </c>
      <c r="D17" s="54"/>
      <c r="E17" s="54"/>
      <c r="F17" s="33"/>
      <c r="G17" s="55"/>
      <c r="H17" s="57">
        <v>0.5</v>
      </c>
      <c r="J17" s="53">
        <f t="shared" si="3"/>
        <v>5</v>
      </c>
      <c r="K17" s="314">
        <f t="shared" si="4"/>
        <v>42430</v>
      </c>
      <c r="L17" s="451">
        <v>2.7E-2</v>
      </c>
      <c r="M17" s="246">
        <f t="shared" si="1"/>
        <v>0.20249884313444566</v>
      </c>
      <c r="N17" s="667">
        <v>0</v>
      </c>
      <c r="O17" s="669">
        <f t="shared" si="5"/>
        <v>8441.3160749999988</v>
      </c>
      <c r="P17" s="153">
        <f t="shared" si="0"/>
        <v>0</v>
      </c>
      <c r="R17" s="29">
        <f>'Rent Roll'!Y36</f>
        <v>0</v>
      </c>
      <c r="S17" s="705">
        <f t="shared" si="2"/>
        <v>1.2024988431344457</v>
      </c>
      <c r="T17" s="181"/>
      <c r="U17" s="4"/>
      <c r="V17" s="4"/>
    </row>
    <row r="18" spans="1:22" ht="12.75" customHeight="1">
      <c r="D18" s="54"/>
      <c r="E18" s="54"/>
      <c r="F18" s="33"/>
      <c r="G18" s="55"/>
      <c r="J18" s="53">
        <f t="shared" si="3"/>
        <v>6</v>
      </c>
      <c r="K18" s="314">
        <f t="shared" si="4"/>
        <v>42795</v>
      </c>
      <c r="L18" s="451">
        <v>0.03</v>
      </c>
      <c r="M18" s="246">
        <f t="shared" si="1"/>
        <v>0.23857380842847897</v>
      </c>
      <c r="N18" s="667">
        <v>0</v>
      </c>
      <c r="O18" s="669">
        <f t="shared" si="5"/>
        <v>8694.5555572499979</v>
      </c>
      <c r="P18" s="153">
        <f t="shared" si="0"/>
        <v>0</v>
      </c>
      <c r="R18" s="29">
        <f>'Rent Roll'!Z36</f>
        <v>0</v>
      </c>
      <c r="S18" s="705">
        <f t="shared" si="2"/>
        <v>1.238573808428479</v>
      </c>
    </row>
    <row r="19" spans="1:22" ht="12.75" customHeight="1">
      <c r="B19" s="939" t="str">
        <f>UPPER("Current Unit Mix and Legal/Market Rents")</f>
        <v>CURRENT UNIT MIX AND LEGAL/MARKET RENTS</v>
      </c>
      <c r="C19" s="940"/>
      <c r="D19" s="940"/>
      <c r="E19" s="940"/>
      <c r="F19" s="940"/>
      <c r="G19" s="940"/>
      <c r="H19" s="941"/>
      <c r="J19" s="53">
        <f t="shared" si="3"/>
        <v>7</v>
      </c>
      <c r="K19" s="314">
        <f t="shared" si="4"/>
        <v>43160</v>
      </c>
      <c r="L19" s="451">
        <v>0.03</v>
      </c>
      <c r="M19" s="246">
        <f t="shared" si="1"/>
        <v>0.27573102268133343</v>
      </c>
      <c r="N19" s="667">
        <v>0</v>
      </c>
      <c r="O19" s="669">
        <f t="shared" si="5"/>
        <v>8955.3922239674994</v>
      </c>
      <c r="P19" s="153">
        <f t="shared" si="0"/>
        <v>0</v>
      </c>
      <c r="R19" s="29">
        <f>'Rent Roll'!AA36</f>
        <v>0</v>
      </c>
      <c r="S19" s="705">
        <f t="shared" si="2"/>
        <v>1.2757310226813334</v>
      </c>
    </row>
    <row r="20" spans="1:22" ht="12.75" customHeight="1">
      <c r="B20" s="350" t="s">
        <v>96</v>
      </c>
      <c r="C20" s="336" t="s">
        <v>31</v>
      </c>
      <c r="D20" s="467" t="s">
        <v>169</v>
      </c>
      <c r="E20" s="468"/>
      <c r="F20" s="464" t="s">
        <v>220</v>
      </c>
      <c r="G20" s="465"/>
      <c r="H20" s="466"/>
      <c r="I20" s="348"/>
      <c r="J20" s="53">
        <f t="shared" si="3"/>
        <v>8</v>
      </c>
      <c r="K20" s="314">
        <f t="shared" si="4"/>
        <v>43525</v>
      </c>
      <c r="L20" s="451">
        <v>0.03</v>
      </c>
      <c r="M20" s="246">
        <f t="shared" si="1"/>
        <v>0.31400295336177342</v>
      </c>
      <c r="N20" s="667">
        <v>0</v>
      </c>
      <c r="O20" s="669">
        <f t="shared" si="5"/>
        <v>9224.0539906865251</v>
      </c>
      <c r="P20" s="153">
        <f t="shared" si="0"/>
        <v>0</v>
      </c>
      <c r="R20" s="29">
        <f>'Rent Roll'!AB36</f>
        <v>0</v>
      </c>
      <c r="S20" s="705">
        <f t="shared" si="2"/>
        <v>1.3140029533617734</v>
      </c>
    </row>
    <row r="21" spans="1:22" ht="12.75" customHeight="1">
      <c r="A21" s="366" t="s">
        <v>32</v>
      </c>
      <c r="B21" s="349" t="s">
        <v>170</v>
      </c>
      <c r="C21" s="349" t="s">
        <v>22</v>
      </c>
      <c r="D21" s="351" t="s">
        <v>21</v>
      </c>
      <c r="E21" s="351" t="s">
        <v>10</v>
      </c>
      <c r="F21" s="351" t="s">
        <v>8</v>
      </c>
      <c r="G21" s="351" t="s">
        <v>33</v>
      </c>
      <c r="H21" s="351" t="s">
        <v>7</v>
      </c>
      <c r="J21" s="53">
        <f t="shared" si="3"/>
        <v>9</v>
      </c>
      <c r="K21" s="314">
        <f t="shared" si="4"/>
        <v>43891</v>
      </c>
      <c r="L21" s="451">
        <v>0.03</v>
      </c>
      <c r="M21" s="246">
        <f t="shared" si="1"/>
        <v>0.35342304196262675</v>
      </c>
      <c r="N21" s="667">
        <v>0</v>
      </c>
      <c r="O21" s="669">
        <f t="shared" si="5"/>
        <v>9500.7756104071195</v>
      </c>
      <c r="P21" s="153">
        <f t="shared" si="0"/>
        <v>0</v>
      </c>
      <c r="R21" s="29">
        <f>'Rent Roll'!AC36</f>
        <v>0</v>
      </c>
      <c r="S21" s="705">
        <f t="shared" si="2"/>
        <v>1.3534230419626267</v>
      </c>
    </row>
    <row r="22" spans="1:22" ht="12.75" customHeight="1">
      <c r="A22" s="367">
        <f t="shared" ref="A22:A27" si="6">C22/$C$28</f>
        <v>0.73333333333333328</v>
      </c>
      <c r="B22" s="347" t="s">
        <v>59</v>
      </c>
      <c r="C22" s="339">
        <f>COUNTIF('Rent Roll'!$D$5:$D$35,"1.1")</f>
        <v>22</v>
      </c>
      <c r="D22" s="340">
        <f>SUMIF('Rent Roll'!$D$5:$D$35,1.1,'Rent Roll'!$E$5:$E$35)/C22</f>
        <v>630</v>
      </c>
      <c r="E22" s="341">
        <f>D22*C22</f>
        <v>13860</v>
      </c>
      <c r="F22" s="342">
        <f>SUMIF('Rent Roll'!$D$5:$D$35,1.1,'Rent Roll'!$K$5:$K$35)/C22</f>
        <v>806.59090909090912</v>
      </c>
      <c r="G22" s="343">
        <f>F22*$C22</f>
        <v>17745</v>
      </c>
      <c r="H22" s="344">
        <f>F22/$D22</f>
        <v>1.2803030303030303</v>
      </c>
      <c r="J22" s="53">
        <f t="shared" si="3"/>
        <v>10</v>
      </c>
      <c r="K22" s="314">
        <f t="shared" si="4"/>
        <v>44256</v>
      </c>
      <c r="L22" s="451">
        <v>0.03</v>
      </c>
      <c r="M22" s="246">
        <f t="shared" si="1"/>
        <v>0.39402573322150558</v>
      </c>
      <c r="N22" s="667">
        <v>0</v>
      </c>
      <c r="O22" s="669">
        <f t="shared" si="5"/>
        <v>9785.7988787193335</v>
      </c>
      <c r="P22" s="153">
        <f t="shared" si="0"/>
        <v>0</v>
      </c>
      <c r="R22" s="29">
        <f>'Rent Roll'!AD36</f>
        <v>0</v>
      </c>
      <c r="S22" s="705">
        <f t="shared" si="2"/>
        <v>1.3940257332215056</v>
      </c>
    </row>
    <row r="23" spans="1:22" ht="12.75" customHeight="1" thickBot="1">
      <c r="A23" s="367">
        <f t="shared" si="6"/>
        <v>0.13333333333333333</v>
      </c>
      <c r="B23" s="347" t="s">
        <v>331</v>
      </c>
      <c r="C23" s="339">
        <f>COUNTIF('Rent Roll'!D5:D34,"2.1")</f>
        <v>4</v>
      </c>
      <c r="D23" s="340">
        <f>SUMIF('Rent Roll'!$D$5:$D$35,2.1,'Rent Roll'!$E$5:$E$35)/C23</f>
        <v>750</v>
      </c>
      <c r="E23" s="341">
        <f>D23*C23</f>
        <v>3000</v>
      </c>
      <c r="F23" s="342">
        <f>SUMIF('Rent Roll'!$D$5:$D$35,2.1,'Rent Roll'!$K$5:$K$35)/C23</f>
        <v>836.25</v>
      </c>
      <c r="G23" s="343">
        <f>F23*$C23</f>
        <v>3345</v>
      </c>
      <c r="H23" s="344">
        <f>F23/$D23</f>
        <v>1.115</v>
      </c>
      <c r="J23" s="53">
        <f t="shared" si="3"/>
        <v>11</v>
      </c>
      <c r="K23" s="314">
        <f t="shared" si="4"/>
        <v>44621</v>
      </c>
      <c r="L23" s="452">
        <v>0.03</v>
      </c>
      <c r="M23" s="246">
        <f t="shared" si="1"/>
        <v>0.43584650521815083</v>
      </c>
      <c r="N23" s="667">
        <v>0</v>
      </c>
      <c r="O23" s="670">
        <f t="shared" si="5"/>
        <v>10079.372845080914</v>
      </c>
      <c r="P23" s="153">
        <f t="shared" si="0"/>
        <v>0</v>
      </c>
      <c r="R23" s="14"/>
      <c r="S23" s="705">
        <f t="shared" si="2"/>
        <v>1.4358465052181508</v>
      </c>
    </row>
    <row r="24" spans="1:22" ht="12.75" customHeight="1">
      <c r="A24" s="367">
        <f t="shared" si="6"/>
        <v>0.13333333333333333</v>
      </c>
      <c r="B24" s="347" t="s">
        <v>313</v>
      </c>
      <c r="C24" s="339">
        <f>COUNTIF('Rent Roll'!$D$5:$D$35,"0.1")</f>
        <v>4</v>
      </c>
      <c r="D24" s="340">
        <f>SUMIF('Rent Roll'!$D$5:$D$35,0.1,'Rent Roll'!$E$5:$E$35)/C24</f>
        <v>510</v>
      </c>
      <c r="E24" s="341">
        <f>D24*C24</f>
        <v>2040</v>
      </c>
      <c r="F24" s="342">
        <f>SUMIF('Rent Roll'!$D$5:$D$35,0.1,'Rent Roll'!$K$5:$K$35)/C24</f>
        <v>783.75</v>
      </c>
      <c r="G24" s="343">
        <f>F24*$C24</f>
        <v>3135</v>
      </c>
      <c r="H24" s="344">
        <f>F24/$D24</f>
        <v>1.536764705882353</v>
      </c>
      <c r="K24" s="31"/>
      <c r="L24" s="32"/>
      <c r="M24" s="32"/>
      <c r="N24" s="359">
        <f>SUM(N13:N23)</f>
        <v>30</v>
      </c>
      <c r="O24" s="635">
        <f>SUM(O13:O23)</f>
        <v>96058.46768111139</v>
      </c>
      <c r="P24" s="613" t="s">
        <v>255</v>
      </c>
      <c r="R24" s="384">
        <f>SUM(R13:R23)</f>
        <v>22</v>
      </c>
    </row>
    <row r="25" spans="1:22" ht="12.75" customHeight="1">
      <c r="A25" s="367">
        <f t="shared" si="6"/>
        <v>0</v>
      </c>
      <c r="B25" s="347"/>
      <c r="C25" s="339"/>
      <c r="D25" s="676"/>
      <c r="E25" s="677"/>
      <c r="F25" s="678"/>
      <c r="G25" s="679"/>
      <c r="H25" s="344"/>
      <c r="Q25" s="233"/>
      <c r="R25" s="234"/>
    </row>
    <row r="26" spans="1:22" ht="12.75" customHeight="1">
      <c r="A26" s="367">
        <f t="shared" si="6"/>
        <v>0</v>
      </c>
      <c r="B26" s="347"/>
      <c r="C26" s="339"/>
      <c r="D26" s="340"/>
      <c r="E26" s="341"/>
      <c r="F26" s="342"/>
      <c r="G26" s="343"/>
      <c r="H26" s="344"/>
      <c r="J26" s="946" t="str">
        <f>UPPER("Acquisition, Financing &amp; Disposition")</f>
        <v>ACQUISITION, FINANCING &amp; DISPOSITION</v>
      </c>
      <c r="K26" s="947"/>
      <c r="L26" s="947"/>
      <c r="M26" s="947"/>
      <c r="N26" s="947"/>
      <c r="O26" s="947"/>
      <c r="P26" s="947"/>
      <c r="Q26" s="233"/>
      <c r="R26" s="953" t="str">
        <f>UPPER("Investment Summary")</f>
        <v>INVESTMENT SUMMARY</v>
      </c>
      <c r="S26" s="954"/>
    </row>
    <row r="27" spans="1:22" ht="12.75" customHeight="1" thickBot="1">
      <c r="A27" s="368">
        <f t="shared" si="6"/>
        <v>0</v>
      </c>
      <c r="B27" s="672"/>
      <c r="C27" s="673"/>
      <c r="D27" s="674"/>
      <c r="E27" s="675"/>
      <c r="F27" s="342"/>
      <c r="G27" s="343"/>
      <c r="H27" s="344"/>
      <c r="J27" s="33"/>
      <c r="K27" s="33"/>
      <c r="L27" s="33"/>
      <c r="M27" s="33"/>
      <c r="N27" s="33"/>
      <c r="O27" s="33"/>
      <c r="P27" s="58"/>
      <c r="Q27" s="233"/>
      <c r="R27" s="687"/>
      <c r="S27" s="688"/>
    </row>
    <row r="28" spans="1:22" ht="12.75" customHeight="1" thickTop="1">
      <c r="A28" s="366">
        <f>SUM(A22:A27)</f>
        <v>0.99999999999999989</v>
      </c>
      <c r="B28" s="671" t="s">
        <v>281</v>
      </c>
      <c r="C28" s="337">
        <f>SUM(C22:C26)</f>
        <v>30</v>
      </c>
      <c r="D28" s="345">
        <f>E28/C28</f>
        <v>630</v>
      </c>
      <c r="E28" s="346">
        <f>SUM(E22:E26)</f>
        <v>18900</v>
      </c>
      <c r="F28" s="643">
        <f>G28/$C$28</f>
        <v>807.5</v>
      </c>
      <c r="G28" s="644">
        <f>SUM(G22:G26)</f>
        <v>24225</v>
      </c>
      <c r="H28" s="645">
        <f>G28/SF</f>
        <v>1.2817460317460319</v>
      </c>
      <c r="J28" s="327" t="s">
        <v>161</v>
      </c>
      <c r="P28" s="58"/>
      <c r="Q28" s="233"/>
      <c r="R28" s="625" t="s">
        <v>272</v>
      </c>
      <c r="S28" s="626">
        <f>L29/P29</f>
        <v>6.7525000000000002E-2</v>
      </c>
    </row>
    <row r="29" spans="1:22" ht="15.75" customHeight="1">
      <c r="C29" s="638"/>
      <c r="F29" s="639"/>
      <c r="G29" s="30"/>
      <c r="H29" s="517"/>
      <c r="J29" s="8" t="s">
        <v>191</v>
      </c>
      <c r="L29" s="247">
        <f>'Annual Cash Flow'!C55</f>
        <v>189070</v>
      </c>
      <c r="O29" s="24" t="s">
        <v>1</v>
      </c>
      <c r="P29" s="162">
        <v>2800000</v>
      </c>
      <c r="Q29" s="233"/>
      <c r="R29" s="625" t="s">
        <v>190</v>
      </c>
      <c r="S29" s="627">
        <f>P29/'Rent Roll'!K38</f>
        <v>9.6319229446164432</v>
      </c>
    </row>
    <row r="30" spans="1:22" ht="12.75" customHeight="1">
      <c r="F30" s="640"/>
      <c r="G30" s="641"/>
      <c r="H30" s="642"/>
      <c r="J30" s="8" t="s">
        <v>57</v>
      </c>
      <c r="P30" s="162">
        <v>40000</v>
      </c>
      <c r="Q30" s="233"/>
      <c r="R30" s="628" t="s">
        <v>20</v>
      </c>
      <c r="S30" s="629">
        <f>P29/unit</f>
        <v>93333.333333333328</v>
      </c>
    </row>
    <row r="31" spans="1:22" ht="12.75" customHeight="1">
      <c r="B31" s="939" t="str">
        <f>UPPER("Estimated Annual Other Income and Passthroughs for "&amp;TEXT(($G$8),"yyyy")&amp;"")</f>
        <v>ESTIMATED ANNUAL OTHER INCOME AND PASSTHROUGHS FOR 2012</v>
      </c>
      <c r="C31" s="940"/>
      <c r="D31" s="940"/>
      <c r="E31" s="940"/>
      <c r="F31" s="940"/>
      <c r="G31" s="940"/>
      <c r="H31" s="941"/>
      <c r="J31" s="8" t="s">
        <v>162</v>
      </c>
      <c r="L31" s="328">
        <v>0.01</v>
      </c>
      <c r="M31" s="8" t="s">
        <v>164</v>
      </c>
      <c r="O31" s="2"/>
      <c r="P31" s="247">
        <f>L31*P29</f>
        <v>28000</v>
      </c>
      <c r="Q31" s="233"/>
      <c r="R31" s="628" t="s">
        <v>217</v>
      </c>
      <c r="S31" s="629">
        <f>P29/SF</f>
        <v>148.14814814814815</v>
      </c>
    </row>
    <row r="32" spans="1:22" ht="12.75" customHeight="1">
      <c r="B32" s="942" t="s">
        <v>115</v>
      </c>
      <c r="C32" s="942"/>
      <c r="D32" s="272"/>
      <c r="F32" s="959">
        <v>0.01</v>
      </c>
      <c r="G32" s="33"/>
      <c r="H32" s="56"/>
      <c r="J32" s="8" t="s">
        <v>163</v>
      </c>
      <c r="L32" s="328">
        <v>0</v>
      </c>
      <c r="M32" s="8" t="s">
        <v>164</v>
      </c>
      <c r="O32" s="2"/>
      <c r="P32" s="247">
        <f>L32*P29</f>
        <v>0</v>
      </c>
      <c r="Q32" s="233"/>
      <c r="R32" s="624" t="s">
        <v>180</v>
      </c>
      <c r="S32" s="629">
        <f ca="1">'Monthly Cash Flow Solution'!N109</f>
        <v>2283532.5563877956</v>
      </c>
    </row>
    <row r="33" spans="2:22" ht="12.75" customHeight="1">
      <c r="B33" s="943"/>
      <c r="C33" s="943"/>
      <c r="F33" s="960"/>
      <c r="J33" s="8" t="s">
        <v>201</v>
      </c>
      <c r="L33" s="328">
        <v>5.0000000000000001E-4</v>
      </c>
      <c r="M33" s="434" t="s">
        <v>164</v>
      </c>
      <c r="N33" s="33"/>
      <c r="O33" s="33"/>
      <c r="P33" s="247">
        <f>L33*P29</f>
        <v>1400</v>
      </c>
      <c r="Q33" s="233"/>
      <c r="R33" s="624" t="s">
        <v>179</v>
      </c>
      <c r="S33" s="689">
        <f ca="1">'Monthly Cash Flow Solution'!I111</f>
        <v>0.22187753804290966</v>
      </c>
    </row>
    <row r="34" spans="2:22" ht="12.75" customHeight="1">
      <c r="B34" s="360" t="str">
        <f>"Other Income ("&amp;TEXT(($G$8),"yyyy")&amp;")"</f>
        <v>Other Income (2012)</v>
      </c>
      <c r="D34" s="8" t="s">
        <v>158</v>
      </c>
      <c r="F34" s="7"/>
      <c r="G34" s="37"/>
      <c r="H34" s="7" t="s">
        <v>25</v>
      </c>
      <c r="J34" s="8" t="s">
        <v>171</v>
      </c>
      <c r="L34" s="433">
        <v>5.4999999999999997E-3</v>
      </c>
      <c r="M34" s="6" t="s">
        <v>164</v>
      </c>
      <c r="P34" s="247">
        <f>L34*P29</f>
        <v>15400</v>
      </c>
      <c r="Q34" s="233"/>
      <c r="R34" s="628" t="s">
        <v>274</v>
      </c>
      <c r="S34" s="629">
        <f ca="1">-'Monthly Cash Flow Solution'!N101-'Monthly Cash Flow Solution'!N102</f>
        <v>1122727.8305451786</v>
      </c>
    </row>
    <row r="35" spans="2:22" ht="12.75" customHeight="1">
      <c r="B35" s="21" t="s">
        <v>30</v>
      </c>
      <c r="D35" s="586">
        <v>0</v>
      </c>
      <c r="F35" s="24" t="s">
        <v>146</v>
      </c>
      <c r="G35" s="306">
        <f>IFERROR(H35/F13,"NA")</f>
        <v>0</v>
      </c>
      <c r="H35" s="163">
        <f>D35*(1+Assumptions!F32)</f>
        <v>0</v>
      </c>
      <c r="J35" s="330" t="s">
        <v>28</v>
      </c>
      <c r="K35" s="327"/>
      <c r="L35" s="328"/>
      <c r="M35" s="327"/>
      <c r="N35" s="327"/>
      <c r="O35" s="327"/>
      <c r="P35" s="329">
        <f>SUM(P29:P34)</f>
        <v>2884800</v>
      </c>
      <c r="Q35" s="233"/>
      <c r="R35" s="630" t="s">
        <v>211</v>
      </c>
      <c r="S35" s="700">
        <f ca="1">Assumptions!S32/(-'Monthly Cash Flow Solution'!N101-'Monthly Cash Flow Solution'!N102)+1</f>
        <v>3.0339146267345569</v>
      </c>
      <c r="T35" s="181"/>
    </row>
    <row r="36" spans="2:22" ht="12.75" customHeight="1">
      <c r="B36" s="21" t="s">
        <v>119</v>
      </c>
      <c r="D36" s="586">
        <v>0</v>
      </c>
      <c r="G36" s="29"/>
      <c r="H36" s="163">
        <f>D36*(1+Assumptions!F32)</f>
        <v>0</v>
      </c>
      <c r="J36" s="363" t="s">
        <v>34</v>
      </c>
      <c r="K36" s="278"/>
      <c r="L36" s="364">
        <v>5.0000000000000001E-3</v>
      </c>
      <c r="M36" s="365" t="s">
        <v>165</v>
      </c>
      <c r="N36" s="278"/>
      <c r="O36" s="278"/>
      <c r="P36" s="362">
        <f>L36*M40</f>
        <v>10096.799999999999</v>
      </c>
      <c r="Q36" s="233"/>
      <c r="T36" s="181"/>
    </row>
    <row r="37" spans="2:22" ht="12.75" customHeight="1">
      <c r="B37" s="21" t="s">
        <v>120</v>
      </c>
      <c r="D37" s="586">
        <v>0</v>
      </c>
      <c r="G37" s="29"/>
      <c r="H37" s="163">
        <f>D37*(1+Assumptions!F32)</f>
        <v>0</v>
      </c>
      <c r="J37" s="330" t="s">
        <v>29</v>
      </c>
      <c r="P37" s="329">
        <f>SUM(P35:P36)</f>
        <v>2894896.8</v>
      </c>
      <c r="Q37" s="233"/>
      <c r="R37" s="936" t="str">
        <f>UPPER("Renovation Initiative")</f>
        <v>RENOVATION INITIATIVE</v>
      </c>
      <c r="S37" s="936"/>
      <c r="T37" s="181"/>
    </row>
    <row r="38" spans="2:22" ht="12.75" customHeight="1">
      <c r="B38" s="21" t="s">
        <v>121</v>
      </c>
      <c r="D38" s="586">
        <v>0</v>
      </c>
      <c r="G38" s="29"/>
      <c r="H38" s="163">
        <f>D38*(1+Assumptions!F32)</f>
        <v>0</v>
      </c>
      <c r="Q38" s="233"/>
      <c r="R38" s="58"/>
      <c r="S38" s="695"/>
      <c r="T38" s="181"/>
    </row>
    <row r="39" spans="2:22" ht="12.75" customHeight="1">
      <c r="B39" s="21" t="s">
        <v>122</v>
      </c>
      <c r="D39" s="586">
        <v>0</v>
      </c>
      <c r="F39" s="24" t="s">
        <v>128</v>
      </c>
      <c r="G39" s="306">
        <f>H39/unit</f>
        <v>0</v>
      </c>
      <c r="H39" s="163">
        <f>D39*(1+Assumptions!F32)</f>
        <v>0</v>
      </c>
      <c r="J39" s="330" t="s">
        <v>160</v>
      </c>
      <c r="K39" s="58"/>
      <c r="L39" s="58"/>
      <c r="M39" s="33"/>
      <c r="O39" s="33"/>
      <c r="P39" s="59"/>
      <c r="Q39" s="233"/>
      <c r="R39" s="410"/>
      <c r="S39" s="696"/>
      <c r="T39" s="181"/>
    </row>
    <row r="40" spans="2:22" ht="12.75" customHeight="1">
      <c r="B40" s="21" t="s">
        <v>125</v>
      </c>
      <c r="D40" s="586">
        <v>0</v>
      </c>
      <c r="F40" s="29"/>
      <c r="G40" s="155"/>
      <c r="H40" s="163">
        <f>D40*(1+Assumptions!F32)</f>
        <v>0</v>
      </c>
      <c r="J40" s="58" t="s">
        <v>58</v>
      </c>
      <c r="L40" s="33"/>
      <c r="M40" s="247">
        <f>P35*P40</f>
        <v>2019359.9999999998</v>
      </c>
      <c r="O40" s="33"/>
      <c r="P40" s="587">
        <v>0.7</v>
      </c>
      <c r="Q40" s="58"/>
      <c r="R40" s="697"/>
      <c r="S40" s="686"/>
      <c r="T40" s="428"/>
    </row>
    <row r="41" spans="2:22" ht="12.75" customHeight="1">
      <c r="B41" s="21" t="s">
        <v>126</v>
      </c>
      <c r="D41" s="586">
        <v>2853</v>
      </c>
      <c r="F41" s="29"/>
      <c r="G41" s="154"/>
      <c r="H41" s="163">
        <f>D41*(1+F32)</f>
        <v>2881.53</v>
      </c>
      <c r="I41" s="27"/>
      <c r="J41" s="8" t="s">
        <v>76</v>
      </c>
      <c r="M41" s="158">
        <v>5.45E-2</v>
      </c>
      <c r="O41" s="24" t="s">
        <v>55</v>
      </c>
      <c r="P41" s="159">
        <v>30</v>
      </c>
      <c r="Q41" s="287"/>
      <c r="R41" s="697"/>
      <c r="S41" s="686"/>
    </row>
    <row r="42" spans="2:22" ht="12.75" customHeight="1">
      <c r="B42" s="354" t="s">
        <v>124</v>
      </c>
      <c r="D42" s="586">
        <v>0</v>
      </c>
      <c r="E42" s="30"/>
      <c r="F42" s="30"/>
      <c r="G42" s="30"/>
      <c r="H42" s="163">
        <f>D42*(1+Assumptions!F32)</f>
        <v>0</v>
      </c>
      <c r="I42" s="27"/>
      <c r="J42" s="8" t="s">
        <v>70</v>
      </c>
      <c r="M42" s="247">
        <f>PMT(M41/12,P41*12,M40)</f>
        <v>-11402.435514931369</v>
      </c>
      <c r="O42" s="24" t="s">
        <v>262</v>
      </c>
      <c r="P42" s="247">
        <f>M42*12</f>
        <v>-136829.22617917642</v>
      </c>
      <c r="R42" s="698"/>
      <c r="S42" s="698"/>
    </row>
    <row r="43" spans="2:22" ht="12.75" customHeight="1">
      <c r="B43" s="604" t="s">
        <v>123</v>
      </c>
      <c r="C43" s="605"/>
      <c r="D43" s="586">
        <v>0</v>
      </c>
      <c r="E43" s="605"/>
      <c r="F43" s="605"/>
      <c r="G43" s="605"/>
      <c r="H43" s="163">
        <f>D43*(1+F32)</f>
        <v>0</v>
      </c>
      <c r="Q43" s="288"/>
      <c r="R43" s="936"/>
      <c r="S43" s="936"/>
      <c r="T43" s="429"/>
      <c r="U43" s="24"/>
      <c r="V43" s="24"/>
    </row>
    <row r="44" spans="2:22" ht="12.75" customHeight="1">
      <c r="B44" s="355" t="s">
        <v>10</v>
      </c>
      <c r="D44" s="277">
        <f>SUM(D35:D43)</f>
        <v>2853</v>
      </c>
      <c r="F44" s="279" t="s">
        <v>128</v>
      </c>
      <c r="G44" s="306">
        <f>H44/unit</f>
        <v>96.051000000000002</v>
      </c>
      <c r="H44" s="277">
        <f>SUM(H35:H43)</f>
        <v>2881.53</v>
      </c>
      <c r="J44" s="410" t="s">
        <v>174</v>
      </c>
      <c r="K44" s="327"/>
      <c r="L44" s="327"/>
      <c r="M44" s="635">
        <f>P37-M40</f>
        <v>875536.8</v>
      </c>
      <c r="N44" s="961">
        <f>M44/P37</f>
        <v>0.30244145490782265</v>
      </c>
      <c r="O44" s="961"/>
      <c r="P44" s="961"/>
      <c r="R44" s="917"/>
      <c r="S44" s="917"/>
      <c r="T44" s="310"/>
      <c r="U44" s="311"/>
      <c r="V44" s="311"/>
    </row>
    <row r="45" spans="2:22" ht="12.75" customHeight="1">
      <c r="R45" s="303"/>
      <c r="S45" s="699"/>
      <c r="T45" s="181"/>
      <c r="U45" s="181"/>
      <c r="V45" s="181"/>
    </row>
    <row r="46" spans="2:22" ht="12.75" customHeight="1">
      <c r="B46" s="360" t="str">
        <f>"Passthroughs ("&amp;TEXT(($G$8),"yyyy")&amp;")"</f>
        <v>Passthroughs (2012)</v>
      </c>
      <c r="C46" s="10"/>
      <c r="D46" s="10"/>
      <c r="E46" s="10"/>
      <c r="F46" s="10"/>
      <c r="G46" s="10"/>
      <c r="H46" s="232">
        <f>'Annual Cash Flow'!C34*(1+Assumptions!F32)</f>
        <v>0</v>
      </c>
      <c r="R46" s="303"/>
      <c r="S46" s="699"/>
      <c r="T46" s="275"/>
      <c r="U46" s="275"/>
      <c r="V46" s="275"/>
    </row>
    <row r="47" spans="2:22" ht="12.75" customHeight="1">
      <c r="J47" s="330" t="s">
        <v>167</v>
      </c>
      <c r="R47" s="53"/>
      <c r="S47" s="463"/>
    </row>
    <row r="48" spans="2:22" ht="12.75" customHeight="1">
      <c r="B48" s="939" t="str">
        <f>UPPER("Estimated Annual Expenses for "&amp;TEXT(($G$8),"yyyy")&amp;"")</f>
        <v>ESTIMATED ANNUAL EXPENSES FOR 2012</v>
      </c>
      <c r="C48" s="940"/>
      <c r="D48" s="940"/>
      <c r="E48" s="940"/>
      <c r="F48" s="940"/>
      <c r="G48" s="940"/>
      <c r="H48" s="941"/>
      <c r="J48" s="33" t="s">
        <v>166</v>
      </c>
      <c r="K48" s="33"/>
      <c r="L48" s="33"/>
      <c r="M48" s="331">
        <v>48</v>
      </c>
      <c r="N48" s="24" t="s">
        <v>260</v>
      </c>
      <c r="O48" s="690">
        <f>M48/12</f>
        <v>4</v>
      </c>
      <c r="P48" s="60">
        <f>DATE(YEAR(F14),MONTH(F14)+M48,DAY(F14))</f>
        <v>42491</v>
      </c>
      <c r="S48" s="463"/>
    </row>
    <row r="49" spans="2:19" ht="14.25" customHeight="1">
      <c r="B49" s="942" t="s">
        <v>115</v>
      </c>
      <c r="C49" s="942"/>
      <c r="D49" s="272"/>
      <c r="F49" s="959">
        <v>0</v>
      </c>
      <c r="G49" s="272"/>
      <c r="J49" s="8" t="s">
        <v>241</v>
      </c>
      <c r="L49" s="158">
        <v>5.7500000000000002E-2</v>
      </c>
      <c r="N49" s="950" t="s">
        <v>55</v>
      </c>
      <c r="O49" s="950"/>
      <c r="P49" s="159">
        <v>30</v>
      </c>
    </row>
    <row r="50" spans="2:19" ht="12.75" customHeight="1">
      <c r="B50" s="943"/>
      <c r="C50" s="943"/>
      <c r="F50" s="960"/>
      <c r="J50" s="33" t="s">
        <v>242</v>
      </c>
      <c r="K50" s="33"/>
      <c r="L50" s="332">
        <f ca="1">MIN(M59,M64)</f>
        <v>2728300.5476896176</v>
      </c>
      <c r="M50" s="33"/>
      <c r="O50" s="358" t="s">
        <v>79</v>
      </c>
      <c r="P50" s="157">
        <v>0.01</v>
      </c>
      <c r="Q50" s="34"/>
      <c r="R50" s="692"/>
      <c r="S50" s="693"/>
    </row>
    <row r="51" spans="2:19" ht="12.75" customHeight="1">
      <c r="B51" s="327" t="s">
        <v>16</v>
      </c>
      <c r="F51" s="228" t="s">
        <v>25</v>
      </c>
      <c r="G51" s="7" t="s">
        <v>20</v>
      </c>
      <c r="H51" s="7" t="s">
        <v>4</v>
      </c>
      <c r="J51" s="521" t="s">
        <v>70</v>
      </c>
      <c r="L51" s="252">
        <f ca="1">PMT(L49/12,P49*12,L50)</f>
        <v>-15921.621438517401</v>
      </c>
      <c r="M51" s="33"/>
      <c r="O51" s="24" t="s">
        <v>262</v>
      </c>
      <c r="P51" s="247">
        <f ca="1">L51*12</f>
        <v>-191059.4572622088</v>
      </c>
      <c r="Q51" s="34"/>
      <c r="R51" s="332">
        <f>VLOOKUP(M48,'Amort Schedule - Acqn Loan'!B29:G388,6,FALSE)</f>
        <v>1899994.9187111054</v>
      </c>
      <c r="S51" s="691" t="s">
        <v>273</v>
      </c>
    </row>
    <row r="52" spans="2:19" ht="12.75" customHeight="1">
      <c r="B52" s="21" t="s">
        <v>24</v>
      </c>
      <c r="F52" s="153">
        <f>-'Annual Cash Flow'!C38*(1+Assumptions!F49)</f>
        <v>20421</v>
      </c>
      <c r="G52" s="16">
        <f t="shared" ref="G52:G59" si="7">F52/unit</f>
        <v>680.7</v>
      </c>
      <c r="H52" s="17">
        <f ca="1">F52/'Annual Cash Flow'!$E$35</f>
        <v>7.7050628273335822E-2</v>
      </c>
      <c r="J52" s="603" t="s">
        <v>251</v>
      </c>
      <c r="Q52" s="35"/>
      <c r="R52" s="684"/>
      <c r="S52" s="694"/>
    </row>
    <row r="53" spans="2:19" ht="12.75" customHeight="1">
      <c r="B53" s="21" t="s">
        <v>109</v>
      </c>
      <c r="F53" s="153">
        <f>-'Annual Cash Flow'!C40*(1+Assumptions!F49)</f>
        <v>0</v>
      </c>
      <c r="G53" s="16">
        <f t="shared" si="7"/>
        <v>0</v>
      </c>
      <c r="H53" s="17">
        <f ca="1">F53/'Annual Cash Flow'!$E$35</f>
        <v>0</v>
      </c>
      <c r="Q53" s="35"/>
      <c r="R53" s="915"/>
      <c r="S53" s="915"/>
    </row>
    <row r="54" spans="2:19" ht="12.75" customHeight="1">
      <c r="B54" s="21" t="s">
        <v>106</v>
      </c>
      <c r="F54" s="153">
        <f>-'Annual Cash Flow'!C41*(1+Assumptions!F49)</f>
        <v>0</v>
      </c>
      <c r="G54" s="16">
        <f t="shared" si="7"/>
        <v>0</v>
      </c>
      <c r="H54" s="17">
        <f ca="1">F54/'Annual Cash Flow'!$E$35</f>
        <v>0</v>
      </c>
      <c r="J54" s="330" t="s">
        <v>250</v>
      </c>
      <c r="Q54" s="36"/>
      <c r="R54" s="916"/>
      <c r="S54" s="916"/>
    </row>
    <row r="55" spans="2:19" ht="12.75" customHeight="1">
      <c r="B55" s="21" t="s">
        <v>107</v>
      </c>
      <c r="F55" s="153">
        <f>-'Annual Cash Flow'!C42*(1+Assumptions!F49)</f>
        <v>0</v>
      </c>
      <c r="G55" s="16">
        <f t="shared" si="7"/>
        <v>0</v>
      </c>
      <c r="H55" s="17">
        <f ca="1">F55/'Annual Cash Flow'!$E$35</f>
        <v>0</v>
      </c>
      <c r="J55" s="33" t="s">
        <v>117</v>
      </c>
      <c r="K55" s="33"/>
      <c r="O55" s="33"/>
      <c r="P55" s="251">
        <f ca="1">IF(ISNA(HLOOKUP(CEILING(M48/12,1),'Annual Cash Flow'!E11:P55,45,FALSE)),"NA",HLOOKUP(CEILING(M48/12,1),'Annual Cash Flow'!E11:P55,45,FALSE))</f>
        <v>272830.0547689618</v>
      </c>
      <c r="R55" s="685"/>
      <c r="S55" s="52"/>
    </row>
    <row r="56" spans="2:19" ht="12.75" customHeight="1">
      <c r="B56" s="21" t="s">
        <v>108</v>
      </c>
      <c r="F56" s="153">
        <f>-'Annual Cash Flow'!C43*(1+Assumptions!F49)</f>
        <v>0</v>
      </c>
      <c r="G56" s="16">
        <f t="shared" si="7"/>
        <v>0</v>
      </c>
      <c r="H56" s="17">
        <f ca="1">F56/'Annual Cash Flow'!$E$35</f>
        <v>0</v>
      </c>
      <c r="J56" s="8" t="s">
        <v>78</v>
      </c>
      <c r="P56" s="3">
        <v>7.0000000000000007E-2</v>
      </c>
      <c r="R56" s="53"/>
      <c r="S56" s="462"/>
    </row>
    <row r="57" spans="2:19" ht="12.75" customHeight="1">
      <c r="B57" s="21" t="s">
        <v>110</v>
      </c>
      <c r="F57" s="153">
        <f>-'Annual Cash Flow'!C44*(1+Assumptions!F49)</f>
        <v>0</v>
      </c>
      <c r="G57" s="16">
        <f t="shared" si="7"/>
        <v>0</v>
      </c>
      <c r="H57" s="17">
        <f ca="1">F57/'Annual Cash Flow'!$E$35</f>
        <v>0</v>
      </c>
      <c r="J57" s="250" t="s">
        <v>75</v>
      </c>
      <c r="K57" s="33"/>
      <c r="M57" s="18"/>
      <c r="N57" s="18"/>
      <c r="O57" s="18"/>
      <c r="P57" s="251">
        <f ca="1">IF(ISERROR(P55/P56),"NA",P55/P56)</f>
        <v>3897572.2109851683</v>
      </c>
      <c r="R57" s="53"/>
      <c r="S57" s="462"/>
    </row>
    <row r="58" spans="2:19" ht="12.75" customHeight="1">
      <c r="B58" s="21" t="s">
        <v>41</v>
      </c>
      <c r="F58" s="153">
        <f>-'Annual Cash Flow'!C45*(1+Assumptions!F49)</f>
        <v>9821</v>
      </c>
      <c r="G58" s="16">
        <f t="shared" si="7"/>
        <v>327.36666666666667</v>
      </c>
      <c r="H58" s="17">
        <f ca="1">F58/'Annual Cash Flow'!$E$35</f>
        <v>3.705568876511587E-2</v>
      </c>
      <c r="J58" s="250" t="s">
        <v>74</v>
      </c>
      <c r="P58" s="161">
        <v>0.7</v>
      </c>
      <c r="R58" s="53"/>
      <c r="S58" s="462"/>
    </row>
    <row r="59" spans="2:19" ht="12.75" customHeight="1">
      <c r="B59" s="21" t="s">
        <v>5</v>
      </c>
      <c r="F59" s="153">
        <f>-'Annual Cash Flow'!C47*(1+Assumptions!F49)</f>
        <v>17748</v>
      </c>
      <c r="G59" s="16">
        <f t="shared" si="7"/>
        <v>591.6</v>
      </c>
      <c r="H59" s="17">
        <f ca="1">F59/'Annual Cash Flow'!$E$35</f>
        <v>6.6965111923763004E-2</v>
      </c>
      <c r="J59" s="250" t="s">
        <v>73</v>
      </c>
      <c r="M59" s="251">
        <f ca="1">IF(ISERROR(P58*P57),"NA",P58*P57)</f>
        <v>2728300.5476896176</v>
      </c>
      <c r="N59" s="42"/>
      <c r="O59" s="24" t="s">
        <v>70</v>
      </c>
      <c r="P59" s="156">
        <f ca="1">IF(ISERROR(PMT(L49/12,P49*12,M59,,)),"NA",PMT(L49/12,P49*12,M59,,))</f>
        <v>-15921.621438517401</v>
      </c>
      <c r="R59" s="53"/>
      <c r="S59" s="462"/>
    </row>
    <row r="60" spans="2:19" ht="12.75" customHeight="1">
      <c r="B60" s="21" t="s">
        <v>45</v>
      </c>
      <c r="F60" s="153">
        <f>-'Annual Cash Flow'!C48*(1+Assumptions!F49)</f>
        <v>0</v>
      </c>
      <c r="G60" s="16">
        <f>F60/unit</f>
        <v>0</v>
      </c>
      <c r="H60" s="17">
        <f ca="1">F60/'Annual Cash Flow'!$E$35</f>
        <v>0</v>
      </c>
      <c r="I60" s="227"/>
      <c r="J60" s="520"/>
      <c r="M60" s="29"/>
      <c r="N60" s="29"/>
      <c r="O60" s="29"/>
      <c r="P60" s="29"/>
      <c r="R60" s="53"/>
      <c r="S60" s="462"/>
    </row>
    <row r="61" spans="2:19" ht="12.75" customHeight="1">
      <c r="B61" s="28" t="s">
        <v>2</v>
      </c>
      <c r="D61" s="21"/>
      <c r="F61" s="229">
        <f>SUM(F52:F60)</f>
        <v>47990</v>
      </c>
      <c r="G61" s="22">
        <f>SUM(G52:G60)</f>
        <v>1599.6666666666667</v>
      </c>
      <c r="H61" s="23">
        <f ca="1">SUM(H52:H60)</f>
        <v>0.1810714289622147</v>
      </c>
      <c r="J61" s="33" t="s">
        <v>117</v>
      </c>
      <c r="K61" s="61"/>
      <c r="P61" s="251">
        <f ca="1">P55</f>
        <v>272830.0547689618</v>
      </c>
      <c r="R61" s="53"/>
      <c r="S61" s="463"/>
    </row>
    <row r="62" spans="2:19" ht="12.75" customHeight="1">
      <c r="C62" s="21"/>
      <c r="D62" s="21"/>
      <c r="F62" s="232"/>
      <c r="G62" s="335"/>
      <c r="H62" s="4"/>
      <c r="J62" s="33" t="s">
        <v>81</v>
      </c>
      <c r="K62" s="61"/>
      <c r="P62" s="253">
        <v>1.2</v>
      </c>
      <c r="R62" s="53"/>
      <c r="S62" s="463"/>
    </row>
    <row r="63" spans="2:19" ht="12.75" customHeight="1">
      <c r="B63" s="21" t="s">
        <v>111</v>
      </c>
      <c r="F63" s="153">
        <f>-'Annual Cash Flow'!C49*(1+Assumptions!F49)</f>
        <v>23604</v>
      </c>
      <c r="G63" s="251">
        <f>F63/unit</f>
        <v>786.8</v>
      </c>
      <c r="H63" s="17">
        <f ca="1">F63/'Annual Cash Flow'!$E$35</f>
        <v>8.906042944830414E-2</v>
      </c>
      <c r="J63" s="33" t="s">
        <v>54</v>
      </c>
      <c r="K63" s="61"/>
      <c r="P63" s="251">
        <f ca="1">IF(ISERROR(P61/P62),"NA",P61/P62)</f>
        <v>227358.37897413483</v>
      </c>
      <c r="R63" s="53"/>
      <c r="S63" s="462"/>
    </row>
    <row r="64" spans="2:19" ht="12.75" customHeight="1">
      <c r="B64" s="21" t="s">
        <v>17</v>
      </c>
      <c r="F64" s="153">
        <f>-'Annual Cash Flow'!C50*(1+Assumptions!F49)</f>
        <v>15000</v>
      </c>
      <c r="G64" s="156">
        <f>F64/unit</f>
        <v>500</v>
      </c>
      <c r="H64" s="308">
        <f ca="1">F64/'Annual Cash Flow'!$E$35</f>
        <v>5.6596612511632012E-2</v>
      </c>
      <c r="J64" s="33" t="s">
        <v>73</v>
      </c>
      <c r="K64" s="61"/>
      <c r="M64" s="156">
        <f ca="1">IF(ISERROR(-PV(L49/12,P49*12,P63/12)),"NA",-PV(L49/12,P49*12,P63/12))</f>
        <v>3246643.7347074542</v>
      </c>
      <c r="O64" s="24" t="s">
        <v>70</v>
      </c>
      <c r="P64" s="156">
        <f ca="1">IF(ISERROR(PMT(L49/12,P49*12,M64,,)),"NA",PMT(L49/12,P49*12,M64,,))</f>
        <v>-18946.53158117794</v>
      </c>
      <c r="R64" s="53"/>
      <c r="S64" s="462"/>
    </row>
    <row r="65" spans="2:49" ht="12.75" customHeight="1">
      <c r="B65" s="353" t="s">
        <v>42</v>
      </c>
      <c r="D65" s="1"/>
      <c r="F65" s="153">
        <f>-'Annual Cash Flow'!C51*(1+Assumptions!F49)</f>
        <v>0</v>
      </c>
      <c r="G65" s="16">
        <f>F65/unit</f>
        <v>0</v>
      </c>
      <c r="H65" s="17">
        <f ca="1">F65/'Annual Cash Flow'!$E$35</f>
        <v>0</v>
      </c>
      <c r="R65" s="53"/>
      <c r="S65" s="462"/>
    </row>
    <row r="66" spans="2:49" ht="12.75" customHeight="1">
      <c r="B66" s="28" t="s">
        <v>3</v>
      </c>
      <c r="D66" s="28"/>
      <c r="F66" s="229">
        <f>SUM(F61:F65)</f>
        <v>86594</v>
      </c>
      <c r="G66" s="22">
        <f>SUM(G61:G65)</f>
        <v>2886.4666666666667</v>
      </c>
      <c r="H66" s="23">
        <f ca="1">SUM(H61:H65)</f>
        <v>0.32672847092215085</v>
      </c>
      <c r="K66" s="61"/>
      <c r="R66" s="53"/>
      <c r="S66" s="462"/>
    </row>
    <row r="67" spans="2:49" ht="12.75" customHeight="1">
      <c r="J67" s="409" t="s">
        <v>137</v>
      </c>
      <c r="K67" s="61"/>
      <c r="L67" s="962" t="s">
        <v>61</v>
      </c>
      <c r="M67" s="962"/>
      <c r="N67" s="357">
        <v>7.0000000000000007E-2</v>
      </c>
      <c r="O67" s="358" t="s">
        <v>62</v>
      </c>
      <c r="P67" s="3">
        <v>0.02</v>
      </c>
    </row>
    <row r="68" spans="2:49" ht="12.75" customHeight="1">
      <c r="B68" s="355" t="s">
        <v>193</v>
      </c>
      <c r="H68" s="3">
        <v>0.01</v>
      </c>
      <c r="L68" s="8" t="s">
        <v>266</v>
      </c>
      <c r="N68" s="518">
        <f ca="1">MAX('Monthly Cash Flow Solution'!O92:EQ92)/(1-Assumptions!P67)</f>
        <v>4500996.3523326162</v>
      </c>
      <c r="P68" s="43"/>
    </row>
    <row r="69" spans="2:49" ht="12.75" customHeight="1">
      <c r="B69" s="355" t="s">
        <v>6</v>
      </c>
      <c r="F69" s="13"/>
      <c r="H69" s="3">
        <v>0.03</v>
      </c>
      <c r="K69" s="356"/>
      <c r="L69" s="962" t="s">
        <v>240</v>
      </c>
      <c r="M69" s="962"/>
      <c r="N69" s="518">
        <f ca="1">SUM('Annual Cash Flow'!E66:P66)</f>
        <v>4410976.4252859643</v>
      </c>
      <c r="P69" s="247"/>
    </row>
    <row r="70" spans="2:49" ht="12.75" customHeight="1"/>
    <row r="71" spans="2:49" ht="12.75" customHeight="1">
      <c r="B71" s="956" t="str">
        <f>UPPER("Gross Rent Deductions and Non-Revenue Units")</f>
        <v>GROSS RENT DEDUCTIONS AND NON-REVENUE UNITS</v>
      </c>
      <c r="C71" s="957"/>
      <c r="D71" s="957"/>
      <c r="E71" s="957"/>
      <c r="F71" s="957"/>
      <c r="G71" s="957"/>
      <c r="H71" s="957"/>
      <c r="I71" s="957"/>
      <c r="J71" s="957"/>
      <c r="K71" s="957"/>
      <c r="L71" s="957"/>
      <c r="M71" s="957"/>
      <c r="N71" s="957"/>
      <c r="O71" s="957"/>
      <c r="P71" s="958"/>
    </row>
    <row r="72" spans="2:49" ht="12.75" customHeight="1">
      <c r="B72" s="273" t="s">
        <v>51</v>
      </c>
      <c r="C72" s="272"/>
      <c r="E72" s="304">
        <f>J13</f>
        <v>1</v>
      </c>
      <c r="F72" s="29">
        <f>J14</f>
        <v>2</v>
      </c>
      <c r="G72" s="266">
        <f>J15</f>
        <v>3</v>
      </c>
      <c r="H72" s="303">
        <f>J16</f>
        <v>4</v>
      </c>
      <c r="I72" s="303">
        <f>J17</f>
        <v>5</v>
      </c>
      <c r="J72" s="303">
        <f>J18</f>
        <v>6</v>
      </c>
      <c r="K72" s="303">
        <f>J19</f>
        <v>7</v>
      </c>
      <c r="L72" s="303">
        <f>J20</f>
        <v>8</v>
      </c>
      <c r="M72" s="303">
        <f>J21</f>
        <v>9</v>
      </c>
      <c r="N72" s="303">
        <f>J22</f>
        <v>10</v>
      </c>
      <c r="O72" s="303">
        <f>J23</f>
        <v>11</v>
      </c>
      <c r="P72" s="29" t="s">
        <v>21</v>
      </c>
    </row>
    <row r="73" spans="2:49" ht="12.75" customHeight="1">
      <c r="B73" s="327" t="s">
        <v>44</v>
      </c>
      <c r="D73" s="414" t="s">
        <v>189</v>
      </c>
      <c r="E73" s="7">
        <f>YEAR(G8)</f>
        <v>2012</v>
      </c>
      <c r="F73" s="7">
        <f t="shared" ref="F73:N73" si="8">E73+1</f>
        <v>2013</v>
      </c>
      <c r="G73" s="7">
        <f t="shared" si="8"/>
        <v>2014</v>
      </c>
      <c r="H73" s="7">
        <f t="shared" si="8"/>
        <v>2015</v>
      </c>
      <c r="I73" s="7">
        <f t="shared" si="8"/>
        <v>2016</v>
      </c>
      <c r="J73" s="7">
        <f>I73+1</f>
        <v>2017</v>
      </c>
      <c r="K73" s="7">
        <f t="shared" si="8"/>
        <v>2018</v>
      </c>
      <c r="L73" s="7">
        <f t="shared" si="8"/>
        <v>2019</v>
      </c>
      <c r="M73" s="7">
        <f t="shared" si="8"/>
        <v>2020</v>
      </c>
      <c r="N73" s="7">
        <f t="shared" si="8"/>
        <v>2021</v>
      </c>
      <c r="O73" s="7">
        <f>N73+1</f>
        <v>2022</v>
      </c>
    </row>
    <row r="74" spans="2:49" ht="12.75" customHeight="1">
      <c r="B74" s="21" t="s">
        <v>269</v>
      </c>
      <c r="D74" s="415">
        <f>'Monthly Cash Flow Solution'!N46/-'Monthly Cash Flow Solution'!N35</f>
        <v>0</v>
      </c>
      <c r="E74" s="453">
        <f>D74</f>
        <v>0</v>
      </c>
      <c r="F74" s="453">
        <f t="shared" ref="F74:O74" si="9">E74</f>
        <v>0</v>
      </c>
      <c r="G74" s="453">
        <f t="shared" si="9"/>
        <v>0</v>
      </c>
      <c r="H74" s="453">
        <f t="shared" si="9"/>
        <v>0</v>
      </c>
      <c r="I74" s="453">
        <f t="shared" si="9"/>
        <v>0</v>
      </c>
      <c r="J74" s="453">
        <f t="shared" si="9"/>
        <v>0</v>
      </c>
      <c r="K74" s="453">
        <f t="shared" si="9"/>
        <v>0</v>
      </c>
      <c r="L74" s="453">
        <f t="shared" si="9"/>
        <v>0</v>
      </c>
      <c r="M74" s="453">
        <f t="shared" si="9"/>
        <v>0</v>
      </c>
      <c r="N74" s="453">
        <f t="shared" si="9"/>
        <v>0</v>
      </c>
      <c r="O74" s="453">
        <f t="shared" si="9"/>
        <v>0</v>
      </c>
      <c r="P74" s="412">
        <f t="shared" ref="P74:P79" si="10">AVERAGE(E74:O74)</f>
        <v>0</v>
      </c>
    </row>
    <row r="75" spans="2:49" ht="12.75" customHeight="1">
      <c r="B75" s="21" t="s">
        <v>134</v>
      </c>
      <c r="D75" s="275">
        <f>-'Monthly Cash Flow Solution'!N50/'Monthly Cash Flow Solution'!N48</f>
        <v>4.3573832562053008E-2</v>
      </c>
      <c r="E75" s="453">
        <v>0.04</v>
      </c>
      <c r="F75" s="453">
        <v>0.04</v>
      </c>
      <c r="G75" s="453">
        <v>0.04</v>
      </c>
      <c r="H75" s="453">
        <v>0.04</v>
      </c>
      <c r="I75" s="453">
        <v>0.04</v>
      </c>
      <c r="J75" s="453">
        <v>0.04</v>
      </c>
      <c r="K75" s="453">
        <v>0.04</v>
      </c>
      <c r="L75" s="453">
        <v>0.04</v>
      </c>
      <c r="M75" s="453">
        <v>0.04</v>
      </c>
      <c r="N75" s="453">
        <v>0.04</v>
      </c>
      <c r="O75" s="453">
        <v>0.04</v>
      </c>
      <c r="P75" s="412">
        <f t="shared" si="10"/>
        <v>3.9999999999999994E-2</v>
      </c>
      <c r="U75" s="38"/>
      <c r="V75" s="38"/>
    </row>
    <row r="76" spans="2:49" ht="12.75" customHeight="1">
      <c r="B76" s="21" t="s">
        <v>270</v>
      </c>
      <c r="D76" s="275">
        <f>'Monthly Cash Flow Solution'!N52/-'Monthly Cash Flow Solution'!N35</f>
        <v>0</v>
      </c>
      <c r="E76" s="160">
        <f>D76</f>
        <v>0</v>
      </c>
      <c r="F76" s="160">
        <f t="shared" ref="F76:O76" si="11">E76</f>
        <v>0</v>
      </c>
      <c r="G76" s="160">
        <f t="shared" si="11"/>
        <v>0</v>
      </c>
      <c r="H76" s="160">
        <f t="shared" si="11"/>
        <v>0</v>
      </c>
      <c r="I76" s="160">
        <f t="shared" si="11"/>
        <v>0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0</v>
      </c>
      <c r="N76" s="160">
        <f t="shared" si="11"/>
        <v>0</v>
      </c>
      <c r="O76" s="160">
        <f t="shared" si="11"/>
        <v>0</v>
      </c>
      <c r="P76" s="412">
        <f t="shared" si="10"/>
        <v>0</v>
      </c>
    </row>
    <row r="77" spans="2:49" ht="12.75" customHeight="1">
      <c r="B77" s="352" t="s">
        <v>129</v>
      </c>
      <c r="C77" s="278"/>
      <c r="D77" s="416">
        <f>-'Monthly Cash Flow Solution'!N58/'Monthly Cash Flow Solution'!N54</f>
        <v>0</v>
      </c>
      <c r="E77" s="160">
        <f>D77</f>
        <v>0</v>
      </c>
      <c r="F77" s="231">
        <f t="shared" ref="F77:O77" si="12">$D$77</f>
        <v>0</v>
      </c>
      <c r="G77" s="231">
        <f t="shared" si="12"/>
        <v>0</v>
      </c>
      <c r="H77" s="231">
        <f t="shared" si="12"/>
        <v>0</v>
      </c>
      <c r="I77" s="231">
        <f t="shared" si="12"/>
        <v>0</v>
      </c>
      <c r="J77" s="231">
        <f t="shared" si="12"/>
        <v>0</v>
      </c>
      <c r="K77" s="231">
        <f t="shared" si="12"/>
        <v>0</v>
      </c>
      <c r="L77" s="231">
        <f t="shared" si="12"/>
        <v>0</v>
      </c>
      <c r="M77" s="231">
        <f t="shared" si="12"/>
        <v>0</v>
      </c>
      <c r="N77" s="231">
        <f t="shared" si="12"/>
        <v>0</v>
      </c>
      <c r="O77" s="231">
        <f t="shared" si="12"/>
        <v>0</v>
      </c>
      <c r="P77" s="413">
        <f t="shared" si="10"/>
        <v>0</v>
      </c>
    </row>
    <row r="78" spans="2:49" ht="12.75" customHeight="1">
      <c r="B78" s="21" t="s">
        <v>10</v>
      </c>
      <c r="D78" s="417">
        <f t="shared" ref="D78:O78" si="13">SUM(D74:D77)</f>
        <v>4.3573832562053008E-2</v>
      </c>
      <c r="E78" s="41">
        <f t="shared" si="13"/>
        <v>0.04</v>
      </c>
      <c r="F78" s="41">
        <f t="shared" si="13"/>
        <v>0.04</v>
      </c>
      <c r="G78" s="41">
        <f t="shared" si="13"/>
        <v>0.04</v>
      </c>
      <c r="H78" s="41">
        <f t="shared" si="13"/>
        <v>0.04</v>
      </c>
      <c r="I78" s="41">
        <f t="shared" si="13"/>
        <v>0.04</v>
      </c>
      <c r="J78" s="41">
        <f t="shared" si="13"/>
        <v>0.04</v>
      </c>
      <c r="K78" s="41">
        <f t="shared" si="13"/>
        <v>0.04</v>
      </c>
      <c r="L78" s="41">
        <f t="shared" si="13"/>
        <v>0.04</v>
      </c>
      <c r="M78" s="41">
        <f t="shared" si="13"/>
        <v>0.04</v>
      </c>
      <c r="N78" s="41">
        <f t="shared" si="13"/>
        <v>0.04</v>
      </c>
      <c r="O78" s="41">
        <f t="shared" si="13"/>
        <v>0.04</v>
      </c>
      <c r="P78" s="412">
        <f t="shared" si="10"/>
        <v>3.9999999999999994E-2</v>
      </c>
    </row>
    <row r="79" spans="2:49" ht="12.75" customHeight="1">
      <c r="B79" s="13" t="s">
        <v>118</v>
      </c>
      <c r="E79" s="302">
        <v>0</v>
      </c>
      <c r="F79" s="29">
        <f t="shared" ref="F79:O79" si="14">$E$79</f>
        <v>0</v>
      </c>
      <c r="G79" s="29">
        <f t="shared" si="14"/>
        <v>0</v>
      </c>
      <c r="H79" s="29">
        <f t="shared" si="14"/>
        <v>0</v>
      </c>
      <c r="I79" s="29">
        <f t="shared" si="14"/>
        <v>0</v>
      </c>
      <c r="J79" s="29">
        <f t="shared" si="14"/>
        <v>0</v>
      </c>
      <c r="K79" s="29">
        <f t="shared" si="14"/>
        <v>0</v>
      </c>
      <c r="L79" s="29">
        <f t="shared" si="14"/>
        <v>0</v>
      </c>
      <c r="M79" s="29">
        <f t="shared" si="14"/>
        <v>0</v>
      </c>
      <c r="N79" s="29">
        <f t="shared" si="14"/>
        <v>0</v>
      </c>
      <c r="O79" s="29">
        <f t="shared" si="14"/>
        <v>0</v>
      </c>
      <c r="P79" s="29">
        <f t="shared" si="10"/>
        <v>0</v>
      </c>
    </row>
    <row r="80" spans="2:49" s="10" customFormat="1" ht="12.75" customHeight="1">
      <c r="T80" s="58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40"/>
      <c r="AW80" s="40"/>
    </row>
    <row r="81" spans="2:49" s="10" customFormat="1" ht="12.75" customHeight="1">
      <c r="T81" s="58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40"/>
      <c r="AW81" s="40"/>
    </row>
    <row r="82" spans="2:49" s="10" customFormat="1" ht="12.75" customHeight="1">
      <c r="T82" s="58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40"/>
      <c r="AW82" s="40"/>
    </row>
    <row r="83" spans="2:49" s="10" customFormat="1" ht="12.75" customHeight="1">
      <c r="B83" s="701" t="s">
        <v>279</v>
      </c>
      <c r="T83" s="33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40"/>
      <c r="AW83" s="40"/>
    </row>
    <row r="84" spans="2:49" s="10" customFormat="1" ht="12.75" customHeight="1">
      <c r="I84" s="8"/>
      <c r="P84" s="8"/>
      <c r="Q84" s="8"/>
      <c r="R84" s="8"/>
      <c r="S84" s="8"/>
      <c r="T84" s="33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40"/>
      <c r="AW84" s="40"/>
    </row>
    <row r="85" spans="2:49" s="10" customFormat="1" ht="12.75" customHeight="1">
      <c r="D85" s="877" t="s">
        <v>276</v>
      </c>
      <c r="E85" s="877"/>
      <c r="F85" s="877"/>
      <c r="G85" s="877"/>
      <c r="H85" s="877"/>
      <c r="P85" s="46"/>
      <c r="Q85" s="44"/>
      <c r="R85" s="44"/>
      <c r="T85" s="430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40"/>
      <c r="AW85" s="40"/>
    </row>
    <row r="86" spans="2:49" s="10" customFormat="1" ht="12.75" customHeight="1">
      <c r="C86" s="702">
        <f ca="1">S33</f>
        <v>0.22187753804290966</v>
      </c>
      <c r="D86" s="703">
        <v>100</v>
      </c>
      <c r="E86" s="703">
        <v>150</v>
      </c>
      <c r="F86" s="703">
        <v>200</v>
      </c>
      <c r="G86" s="703">
        <v>250</v>
      </c>
      <c r="H86" s="703">
        <v>300</v>
      </c>
      <c r="P86" s="47"/>
      <c r="Q86" s="44"/>
      <c r="R86" s="44"/>
      <c r="T86" s="430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40"/>
      <c r="AW86" s="40"/>
    </row>
    <row r="87" spans="2:49" s="10" customFormat="1" ht="12.75" customHeight="1">
      <c r="C87" s="703">
        <v>8000</v>
      </c>
      <c r="D87" s="702"/>
      <c r="E87" s="702"/>
      <c r="F87" s="702"/>
      <c r="G87" s="702"/>
      <c r="H87" s="702"/>
      <c r="P87" s="43"/>
      <c r="Q87" s="44"/>
      <c r="R87" s="44"/>
      <c r="T87" s="430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40"/>
      <c r="AW87" s="40"/>
    </row>
    <row r="88" spans="2:49" s="10" customFormat="1" ht="12.75" customHeight="1">
      <c r="C88" s="703">
        <v>9000</v>
      </c>
      <c r="D88" s="702"/>
      <c r="E88" s="702"/>
      <c r="F88" s="702"/>
      <c r="G88" s="702"/>
      <c r="H88" s="702"/>
      <c r="P88" s="43"/>
      <c r="Q88" s="44"/>
      <c r="R88" s="44"/>
      <c r="T88" s="430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40"/>
      <c r="AW88" s="40"/>
    </row>
    <row r="89" spans="2:49" s="10" customFormat="1" ht="12.75" customHeight="1">
      <c r="B89" s="10" t="s">
        <v>277</v>
      </c>
      <c r="C89" s="703">
        <v>10000</v>
      </c>
      <c r="D89" s="702"/>
      <c r="E89" s="702"/>
      <c r="F89" s="702"/>
      <c r="G89" s="702"/>
      <c r="H89" s="702"/>
      <c r="P89" s="43"/>
      <c r="Q89" s="44"/>
      <c r="R89" s="44"/>
      <c r="T89" s="430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40"/>
      <c r="AW89" s="40"/>
    </row>
    <row r="90" spans="2:49" s="10" customFormat="1" ht="12.75" customHeight="1">
      <c r="C90" s="703">
        <v>11000</v>
      </c>
      <c r="D90" s="702"/>
      <c r="E90" s="702"/>
      <c r="F90" s="702"/>
      <c r="G90" s="702"/>
      <c r="H90" s="702"/>
      <c r="P90" s="43"/>
      <c r="Q90" s="44"/>
      <c r="R90" s="44"/>
      <c r="T90" s="430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40"/>
      <c r="AW90" s="40"/>
    </row>
    <row r="91" spans="2:49" s="10" customFormat="1" ht="12.75" customHeight="1">
      <c r="C91" s="703">
        <v>12000</v>
      </c>
      <c r="D91" s="702"/>
      <c r="E91" s="702"/>
      <c r="F91" s="702"/>
      <c r="G91" s="702"/>
      <c r="H91" s="702"/>
      <c r="P91" s="43"/>
      <c r="Q91" s="44"/>
      <c r="R91" s="44"/>
      <c r="T91" s="430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40"/>
      <c r="AW91" s="40"/>
    </row>
    <row r="92" spans="2:49" s="10" customFormat="1" ht="12.75" customHeight="1">
      <c r="P92" s="43"/>
      <c r="Q92" s="44"/>
      <c r="R92" s="44"/>
      <c r="T92" s="430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40"/>
      <c r="AW92" s="40"/>
    </row>
    <row r="93" spans="2:49" s="10" customFormat="1" ht="12.75" customHeight="1">
      <c r="P93" s="43"/>
      <c r="Q93" s="44"/>
      <c r="R93" s="44"/>
      <c r="T93" s="430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40"/>
      <c r="AW93" s="40"/>
    </row>
    <row r="94" spans="2:49" s="10" customFormat="1" ht="12.75" customHeight="1">
      <c r="D94" s="877" t="s">
        <v>1</v>
      </c>
      <c r="E94" s="877"/>
      <c r="F94" s="877"/>
      <c r="G94" s="877"/>
      <c r="H94" s="877"/>
      <c r="P94" s="43"/>
      <c r="Q94" s="44"/>
      <c r="R94" s="44"/>
      <c r="T94" s="430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40"/>
      <c r="AW94" s="40"/>
    </row>
    <row r="95" spans="2:49" s="10" customFormat="1" ht="12.75" customHeight="1">
      <c r="C95" s="702">
        <f ca="1">S33</f>
        <v>0.22187753804290966</v>
      </c>
      <c r="D95" s="703">
        <v>2800000</v>
      </c>
      <c r="E95" s="703">
        <v>2900000</v>
      </c>
      <c r="F95" s="703">
        <v>3000000</v>
      </c>
      <c r="G95" s="703">
        <v>3100000</v>
      </c>
      <c r="H95" s="703">
        <v>3200000</v>
      </c>
      <c r="P95" s="43"/>
      <c r="Q95" s="48"/>
      <c r="R95" s="44"/>
      <c r="T95" s="430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40"/>
      <c r="AW95" s="40"/>
    </row>
    <row r="96" spans="2:49" s="10" customFormat="1" ht="12.75" customHeight="1">
      <c r="C96" s="704">
        <v>0.06</v>
      </c>
      <c r="D96" s="702"/>
      <c r="E96" s="702"/>
      <c r="F96" s="702"/>
      <c r="G96" s="702"/>
      <c r="H96" s="702"/>
      <c r="P96" s="43"/>
      <c r="Q96" s="44"/>
      <c r="R96" s="44"/>
      <c r="T96" s="430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40"/>
      <c r="AW96" s="40"/>
    </row>
    <row r="97" spans="2:49" s="10" customFormat="1" ht="12.75" customHeight="1">
      <c r="C97" s="704">
        <v>6.5000000000000002E-2</v>
      </c>
      <c r="D97" s="702"/>
      <c r="E97" s="702"/>
      <c r="F97" s="702"/>
      <c r="G97" s="702"/>
      <c r="H97" s="702"/>
      <c r="P97" s="43"/>
      <c r="Q97" s="44"/>
      <c r="R97" s="44"/>
      <c r="T97" s="430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40"/>
      <c r="AW97" s="40"/>
    </row>
    <row r="98" spans="2:49" ht="12.75" customHeight="1">
      <c r="B98" s="10" t="s">
        <v>278</v>
      </c>
      <c r="C98" s="704">
        <v>7.0000000000000007E-2</v>
      </c>
      <c r="D98" s="702"/>
      <c r="E98" s="702"/>
      <c r="F98" s="702"/>
      <c r="G98" s="702"/>
      <c r="H98" s="702"/>
      <c r="S98" s="49"/>
    </row>
    <row r="99" spans="2:49" ht="12.75" customHeight="1">
      <c r="C99" s="704">
        <v>7.4999999999999997E-2</v>
      </c>
      <c r="D99" s="702"/>
      <c r="E99" s="702"/>
      <c r="F99" s="702"/>
      <c r="G99" s="702"/>
      <c r="H99" s="702"/>
      <c r="S99" s="49"/>
    </row>
    <row r="100" spans="2:49" ht="12.75" customHeight="1">
      <c r="C100" s="704">
        <v>0.08</v>
      </c>
      <c r="D100" s="702"/>
      <c r="E100" s="702"/>
      <c r="F100" s="702"/>
      <c r="G100" s="702"/>
      <c r="H100" s="702"/>
      <c r="S100" s="49"/>
    </row>
    <row r="101" spans="2:49" ht="12.75" customHeight="1">
      <c r="C101" s="704"/>
      <c r="D101" s="702"/>
      <c r="E101" s="702"/>
      <c r="F101" s="702"/>
      <c r="G101" s="702"/>
      <c r="H101" s="702"/>
      <c r="S101" s="49"/>
    </row>
    <row r="102" spans="2:49" ht="12.75" customHeight="1">
      <c r="I102" s="10"/>
      <c r="J102" s="49"/>
      <c r="K102" s="30"/>
      <c r="L102" s="30"/>
      <c r="S102" s="49"/>
    </row>
    <row r="103" spans="2:49" ht="12.75" customHeight="1">
      <c r="D103" s="877" t="s">
        <v>280</v>
      </c>
      <c r="E103" s="877"/>
      <c r="F103" s="877"/>
      <c r="G103" s="877"/>
      <c r="H103" s="877"/>
      <c r="I103" s="10"/>
      <c r="J103" s="10"/>
      <c r="K103" s="30"/>
      <c r="L103" s="30"/>
      <c r="S103" s="50"/>
    </row>
    <row r="104" spans="2:49" ht="12.75" customHeight="1">
      <c r="C104" s="18"/>
      <c r="D104" s="159">
        <v>5</v>
      </c>
      <c r="E104" s="159">
        <v>6</v>
      </c>
      <c r="F104" s="159">
        <v>7</v>
      </c>
      <c r="G104" s="159">
        <v>8</v>
      </c>
      <c r="H104" s="159">
        <v>9</v>
      </c>
      <c r="I104" s="10"/>
      <c r="S104" s="10"/>
    </row>
    <row r="105" spans="2:49" ht="12.75" customHeight="1">
      <c r="B105" s="10"/>
      <c r="C105" s="331">
        <v>12</v>
      </c>
      <c r="D105" s="702"/>
      <c r="E105" s="702"/>
      <c r="F105" s="702"/>
      <c r="G105" s="702"/>
      <c r="H105" s="702"/>
      <c r="I105" s="10"/>
      <c r="J105" s="45"/>
      <c r="S105" s="10"/>
    </row>
    <row r="106" spans="2:49" ht="12.75" customHeight="1">
      <c r="C106" s="331">
        <v>24</v>
      </c>
      <c r="D106" s="702"/>
      <c r="E106" s="702"/>
      <c r="F106" s="702"/>
      <c r="G106" s="702"/>
      <c r="H106" s="702"/>
      <c r="I106" s="10"/>
      <c r="J106" s="45"/>
      <c r="S106" s="10"/>
    </row>
    <row r="107" spans="2:49" ht="12.75" customHeight="1">
      <c r="B107" s="8" t="s">
        <v>275</v>
      </c>
      <c r="C107" s="331">
        <v>36</v>
      </c>
      <c r="D107" s="702"/>
      <c r="E107" s="702"/>
      <c r="F107" s="702"/>
      <c r="G107" s="702"/>
      <c r="H107" s="702"/>
      <c r="I107" s="30"/>
      <c r="J107" s="30"/>
      <c r="M107" s="10"/>
      <c r="N107" s="10"/>
      <c r="O107" s="51"/>
      <c r="P107" s="45"/>
      <c r="Q107" s="45"/>
      <c r="R107" s="45"/>
      <c r="S107" s="10"/>
    </row>
    <row r="108" spans="2:49" ht="12.75" customHeight="1">
      <c r="B108" s="29"/>
      <c r="C108" s="331">
        <v>48</v>
      </c>
      <c r="D108" s="702"/>
      <c r="E108" s="702"/>
      <c r="F108" s="702"/>
      <c r="G108" s="702"/>
      <c r="H108" s="702"/>
      <c r="I108" s="29"/>
      <c r="J108" s="29"/>
      <c r="K108" s="29"/>
      <c r="L108" s="29"/>
      <c r="M108" s="29"/>
      <c r="N108" s="29"/>
      <c r="O108" s="29"/>
      <c r="P108" s="29"/>
    </row>
    <row r="109" spans="2:49" ht="12.75" customHeight="1">
      <c r="B109" s="29"/>
      <c r="C109" s="331">
        <v>59</v>
      </c>
      <c r="D109" s="702"/>
      <c r="E109" s="702"/>
      <c r="F109" s="702"/>
      <c r="G109" s="702"/>
      <c r="H109" s="702"/>
      <c r="I109" s="29"/>
      <c r="J109" s="29"/>
      <c r="K109" s="29"/>
      <c r="L109" s="29"/>
      <c r="M109" s="29"/>
      <c r="N109" s="29"/>
      <c r="O109" s="29"/>
      <c r="P109" s="29"/>
    </row>
    <row r="110" spans="2:49" ht="12.75" customHeight="1">
      <c r="B110" s="29"/>
      <c r="C110" s="29"/>
      <c r="D110" s="29"/>
      <c r="E110" s="29"/>
      <c r="F110" s="29"/>
      <c r="G110" s="29"/>
      <c r="H110" s="29"/>
      <c r="I110" s="29"/>
      <c r="J110" s="29"/>
      <c r="M110" s="29"/>
      <c r="N110" s="29"/>
      <c r="O110" s="52"/>
      <c r="P110" s="53"/>
    </row>
    <row r="111" spans="2:49">
      <c r="B111" s="29"/>
      <c r="C111" s="29"/>
      <c r="D111" s="29"/>
      <c r="E111" s="29"/>
      <c r="F111" s="29"/>
      <c r="G111" s="29"/>
      <c r="H111" s="29"/>
      <c r="I111" s="29"/>
      <c r="J111" s="29"/>
      <c r="M111" s="29"/>
      <c r="N111" s="29"/>
      <c r="O111" s="29"/>
      <c r="P111" s="29"/>
    </row>
    <row r="112" spans="2:49">
      <c r="B112" s="29"/>
      <c r="C112" s="29"/>
      <c r="D112" s="29"/>
      <c r="E112" s="29"/>
      <c r="F112" s="29"/>
      <c r="G112" s="29"/>
      <c r="H112" s="29"/>
      <c r="I112" s="29"/>
      <c r="J112" s="29"/>
      <c r="M112" s="29"/>
      <c r="N112" s="29"/>
      <c r="O112" s="29"/>
      <c r="P112" s="29"/>
    </row>
    <row r="113" spans="2:16">
      <c r="B113" s="29"/>
      <c r="C113" s="29"/>
      <c r="D113" s="29"/>
      <c r="E113" s="29"/>
      <c r="F113" s="29"/>
      <c r="G113" s="29"/>
      <c r="H113" s="29"/>
      <c r="I113" s="29"/>
      <c r="J113" s="29"/>
      <c r="M113" s="29"/>
      <c r="N113" s="29"/>
      <c r="O113" s="29"/>
      <c r="P113" s="29"/>
    </row>
    <row r="114" spans="2:16">
      <c r="B114" s="29"/>
      <c r="C114" s="29"/>
      <c r="D114" s="29"/>
      <c r="E114" s="29"/>
      <c r="F114" s="29"/>
      <c r="G114" s="29"/>
      <c r="H114" s="29"/>
      <c r="I114" s="29"/>
      <c r="J114" s="29"/>
      <c r="M114" s="29"/>
      <c r="N114" s="29"/>
      <c r="O114" s="29"/>
      <c r="P114" s="29"/>
    </row>
    <row r="115" spans="2:16">
      <c r="B115" s="29"/>
      <c r="C115" s="29"/>
      <c r="D115" s="29"/>
      <c r="E115" s="29"/>
      <c r="F115" s="29"/>
      <c r="G115" s="29"/>
      <c r="H115" s="29"/>
      <c r="I115" s="29"/>
      <c r="J115" s="29"/>
      <c r="M115" s="29"/>
      <c r="N115" s="29"/>
      <c r="O115" s="29"/>
      <c r="P115" s="29"/>
    </row>
    <row r="116" spans="2:16">
      <c r="B116" s="29"/>
      <c r="C116" s="29"/>
      <c r="D116" s="29"/>
      <c r="E116" s="29"/>
      <c r="F116" s="29"/>
      <c r="G116" s="29"/>
      <c r="H116" s="29"/>
      <c r="I116" s="29"/>
      <c r="J116" s="29"/>
      <c r="M116" s="29"/>
      <c r="N116" s="29"/>
      <c r="O116" s="29"/>
      <c r="P116" s="29"/>
    </row>
    <row r="117" spans="2:16">
      <c r="B117" s="29"/>
      <c r="C117" s="29"/>
      <c r="D117" s="29"/>
      <c r="E117" s="29"/>
      <c r="F117" s="29"/>
      <c r="G117" s="29"/>
      <c r="H117" s="29"/>
      <c r="I117" s="29"/>
      <c r="J117" s="29"/>
      <c r="M117" s="29"/>
      <c r="N117" s="29"/>
      <c r="O117" s="29"/>
      <c r="P117" s="29"/>
    </row>
    <row r="118" spans="2:16">
      <c r="B118" s="29"/>
      <c r="C118" s="29"/>
      <c r="D118" s="29"/>
      <c r="E118" s="29"/>
      <c r="F118" s="29"/>
      <c r="G118" s="29"/>
      <c r="H118" s="29"/>
      <c r="I118" s="29"/>
      <c r="J118" s="29"/>
      <c r="M118" s="29"/>
      <c r="N118" s="29"/>
      <c r="O118" s="29"/>
      <c r="P118" s="29"/>
    </row>
    <row r="119" spans="2:16">
      <c r="B119" s="29"/>
      <c r="C119" s="29"/>
      <c r="D119" s="29"/>
      <c r="E119" s="29"/>
      <c r="F119" s="29"/>
      <c r="G119" s="29"/>
      <c r="H119" s="29"/>
      <c r="I119" s="29"/>
      <c r="J119" s="29"/>
      <c r="M119" s="29"/>
      <c r="N119" s="29"/>
      <c r="O119" s="29"/>
      <c r="P119" s="29"/>
    </row>
    <row r="120" spans="2:16">
      <c r="B120" s="29"/>
      <c r="C120" s="29"/>
      <c r="D120" s="29"/>
      <c r="E120" s="29"/>
      <c r="F120" s="29"/>
      <c r="G120" s="29"/>
      <c r="H120" s="29"/>
      <c r="I120" s="29"/>
      <c r="J120" s="29"/>
      <c r="M120" s="29"/>
      <c r="N120" s="29"/>
      <c r="O120" s="29"/>
      <c r="P120" s="29"/>
    </row>
    <row r="121" spans="2:16">
      <c r="B121" s="29"/>
      <c r="C121" s="29"/>
      <c r="D121" s="29"/>
      <c r="E121" s="29"/>
      <c r="F121" s="29"/>
      <c r="G121" s="29"/>
      <c r="H121" s="29"/>
      <c r="I121" s="29"/>
      <c r="J121" s="29"/>
      <c r="M121" s="29"/>
      <c r="N121" s="29"/>
      <c r="O121" s="29"/>
      <c r="P121" s="29"/>
    </row>
    <row r="122" spans="2:16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2:16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2:16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2:16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2:16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2:16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2:16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2:16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2:16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2:16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2:16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2:16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2:16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2:16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2:16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2:16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2:16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2:16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2:16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2:16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2:16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2:16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2:16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2:16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2:16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2:16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2:16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2:16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2:16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2:16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2:16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2:16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2:16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2:16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2:16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2:16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2:16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2:16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2:16"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2:16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2:16"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2:16"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2:16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2:16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2:16"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2:16"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2:16"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2:16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2:16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2:16"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2:16"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2:16"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2:16"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2:16"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2:16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2:16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2:16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2:16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2:16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2:16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2:16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  <row r="183" spans="2:16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</row>
    <row r="184" spans="2:16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</row>
    <row r="185" spans="2:16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</row>
    <row r="186" spans="2:16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</row>
    <row r="187" spans="2:16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</row>
    <row r="188" spans="2:16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</row>
    <row r="189" spans="2:16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</row>
    <row r="190" spans="2:16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2:16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spans="2:16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</row>
    <row r="193" spans="2:16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</row>
    <row r="194" spans="2:16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</row>
    <row r="195" spans="2:16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2:16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</row>
    <row r="197" spans="2:16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</row>
    <row r="198" spans="2:16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</row>
    <row r="199" spans="2:16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</row>
    <row r="200" spans="2:16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</row>
    <row r="201" spans="2:16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</row>
    <row r="202" spans="2:16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</row>
    <row r="203" spans="2:16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</row>
    <row r="204" spans="2:16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</row>
    <row r="205" spans="2:16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</row>
    <row r="206" spans="2:16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</row>
    <row r="207" spans="2:16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</row>
  </sheetData>
  <customSheetViews>
    <customSheetView guid="{AC6D0829-7D33-475A-BFC8-17DE97049707}" scale="70" showGridLines="0" fitToPage="1" topLeftCell="A4">
      <selection activeCell="K14" sqref="K14"/>
      <rowBreaks count="2" manualBreakCount="2">
        <brk id="145" max="65535" man="1"/>
        <brk id="251" max="65535" man="1"/>
      </rowBreaks>
      <pageMargins left="0.25" right="0.25" top="0.17" bottom="0.18" header="0.22" footer="0.1"/>
      <printOptions horizontalCentered="1" verticalCentered="1"/>
      <pageSetup scale="56" orientation="landscape" horizontalDpi="4294967294" verticalDpi="4294967292" r:id="rId1"/>
      <headerFooter alignWithMargins="0"/>
    </customSheetView>
  </customSheetViews>
  <mergeCells count="31">
    <mergeCell ref="J5:P5"/>
    <mergeCell ref="B31:H31"/>
    <mergeCell ref="B48:H48"/>
    <mergeCell ref="L67:M67"/>
    <mergeCell ref="L69:M69"/>
    <mergeCell ref="D85:H85"/>
    <mergeCell ref="D94:H94"/>
    <mergeCell ref="D103:H103"/>
    <mergeCell ref="E12:F12"/>
    <mergeCell ref="B19:H19"/>
    <mergeCell ref="B71:P71"/>
    <mergeCell ref="B49:C50"/>
    <mergeCell ref="F49:F50"/>
    <mergeCell ref="F32:F33"/>
    <mergeCell ref="N44:P44"/>
    <mergeCell ref="R37:S37"/>
    <mergeCell ref="R54:S54"/>
    <mergeCell ref="R53:S53"/>
    <mergeCell ref="B2:O2"/>
    <mergeCell ref="B3:O3"/>
    <mergeCell ref="B5:H5"/>
    <mergeCell ref="B32:C33"/>
    <mergeCell ref="J11:K11"/>
    <mergeCell ref="G12:H12"/>
    <mergeCell ref="J26:P26"/>
    <mergeCell ref="R5:S5"/>
    <mergeCell ref="N49:O49"/>
    <mergeCell ref="R6:S6"/>
    <mergeCell ref="R26:S26"/>
    <mergeCell ref="R43:S43"/>
    <mergeCell ref="R44:S44"/>
  </mergeCells>
  <phoneticPr fontId="5" type="noConversion"/>
  <conditionalFormatting sqref="R5:S5">
    <cfRule type="containsText" dxfId="25" priority="3" stopIfTrue="1" operator="containsText" text="fix">
      <formula>NOT(ISERROR(SEARCH("fix",R5)))</formula>
    </cfRule>
    <cfRule type="containsText" dxfId="24" priority="4" stopIfTrue="1" operator="containsText" text="all">
      <formula>NOT(ISERROR(SEARCH("all",R5)))</formula>
    </cfRule>
  </conditionalFormatting>
  <conditionalFormatting sqref="R6:S6">
    <cfRule type="containsText" dxfId="23" priority="1" stopIfTrue="1" operator="containsText" text="OK">
      <formula>NOT(ISERROR(SEARCH("OK",R6)))</formula>
    </cfRule>
    <cfRule type="containsText" dxfId="22" priority="2" stopIfTrue="1" operator="containsText" text="Fix">
      <formula>NOT(ISERROR(SEARCH("Fix",R6)))</formula>
    </cfRule>
  </conditionalFormatting>
  <dataValidations count="4">
    <dataValidation type="whole" operator="lessThan" allowBlank="1" showInputMessage="1" showErrorMessage="1" errorTitle="REFM Logic Warning" error="You must fix this timing to occur prior to the anticipated Disposition timing either by decreasing this value or increasing the Asset Hold Period." prompt="Must occur prior to anticipated Disposition month." sqref="M48 C105:C109">
      <formula1>XFA10</formula1>
    </dataValidation>
    <dataValidation type="whole" operator="greaterThan" allowBlank="1" showInputMessage="1" showErrorMessage="1" errorTitle="REFM Logic Warning" error="Must be greater than the year # in which refinancing occurs." prompt="This value must be greater than the year # in which any refinancing occurs." sqref="H9 D104:H104">
      <formula1>K48</formula1>
    </dataValidation>
    <dataValidation type="date" operator="greaterThanOrEqual" allowBlank="1" showInputMessage="1" showErrorMessage="1" errorTitle="REFM Logic Warning" error="You must change this date to occur no sooner than the Acquisition Closing Date." prompt="This date must be greater than or equal to the Acquisition Closing Date above." sqref="F14">
      <formula1>G8</formula1>
    </dataValidation>
    <dataValidation allowBlank="1" showInputMessage="1" showErrorMessage="1" prompt="Note: you must make the Renovation Schedule to the right reflect the Start Date and Duration input here." sqref="H14"/>
  </dataValidations>
  <printOptions horizontalCentered="1" verticalCentered="1"/>
  <pageMargins left="0.25" right="0.25" top="0.17" bottom="0.18" header="0.22" footer="0.1"/>
  <pageSetup scale="54" orientation="landscape" horizontalDpi="4294967294" verticalDpi="4294967292" r:id="rId2"/>
  <headerFooter alignWithMargins="0"/>
  <rowBreaks count="2" manualBreakCount="2">
    <brk id="145" max="65535" man="1"/>
    <brk id="251" max="65535" man="1"/>
  </rowBreak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U44"/>
  <sheetViews>
    <sheetView zoomScaleNormal="100" workbookViewId="0"/>
  </sheetViews>
  <sheetFormatPr defaultColWidth="9.33203125" defaultRowHeight="12.75"/>
  <cols>
    <col min="1" max="1" width="9.33203125" style="258"/>
    <col min="2" max="2" width="22" style="258" customWidth="1"/>
    <col min="3" max="3" width="15.1640625" style="258" customWidth="1"/>
    <col min="4" max="4" width="15.33203125" style="258" customWidth="1"/>
    <col min="5" max="5" width="15" style="258" customWidth="1"/>
    <col min="6" max="7" width="14" style="258" bestFit="1" customWidth="1"/>
    <col min="8" max="10" width="15.83203125" style="258" customWidth="1"/>
    <col min="11" max="11" width="15.6640625" style="258" customWidth="1"/>
    <col min="12" max="14" width="15.5" style="258" bestFit="1" customWidth="1"/>
    <col min="15" max="15" width="14.6640625" style="258" customWidth="1"/>
    <col min="16" max="17" width="16" style="258" customWidth="1"/>
    <col min="18" max="19" width="14" style="258" bestFit="1" customWidth="1"/>
    <col min="20" max="22" width="16.6640625" style="258" customWidth="1"/>
    <col min="23" max="23" width="14" style="258" bestFit="1" customWidth="1"/>
    <col min="24" max="26" width="15.5" style="258" bestFit="1" customWidth="1"/>
    <col min="27" max="27" width="16.33203125" style="258" customWidth="1"/>
    <col min="28" max="29" width="15.5" style="258" customWidth="1"/>
    <col min="30" max="35" width="14" style="258" bestFit="1" customWidth="1"/>
    <col min="36" max="38" width="15.5" style="258" bestFit="1" customWidth="1"/>
    <col min="39" max="47" width="14" style="258" bestFit="1" customWidth="1"/>
    <col min="48" max="16384" width="9.33203125" style="258"/>
  </cols>
  <sheetData>
    <row r="2" spans="2:2" ht="23.25">
      <c r="B2" s="259" t="s">
        <v>105</v>
      </c>
    </row>
    <row r="30" spans="2:47" ht="23.25">
      <c r="B30" s="259" t="s">
        <v>104</v>
      </c>
    </row>
    <row r="32" spans="2:47" s="260" customFormat="1" ht="18.75">
      <c r="C32" s="263">
        <f>'Monthly Cash Flow Solution'!P9</f>
        <v>40969</v>
      </c>
      <c r="D32" s="263">
        <f>'Monthly Cash Flow Solution'!Q9</f>
        <v>41000</v>
      </c>
      <c r="E32" s="263">
        <f>'Monthly Cash Flow Solution'!R9</f>
        <v>41030</v>
      </c>
      <c r="F32" s="263">
        <f>'Monthly Cash Flow Solution'!S9</f>
        <v>41061</v>
      </c>
      <c r="G32" s="263">
        <f>'Monthly Cash Flow Solution'!T9</f>
        <v>41091</v>
      </c>
      <c r="H32" s="263">
        <f>'Monthly Cash Flow Solution'!U9</f>
        <v>41122</v>
      </c>
      <c r="I32" s="263">
        <f>'Monthly Cash Flow Solution'!V9</f>
        <v>41153</v>
      </c>
      <c r="J32" s="263">
        <f>'Monthly Cash Flow Solution'!W9</f>
        <v>41183</v>
      </c>
      <c r="K32" s="263">
        <f>'Monthly Cash Flow Solution'!X9</f>
        <v>41214</v>
      </c>
      <c r="L32" s="263">
        <f>'Monthly Cash Flow Solution'!Y9</f>
        <v>41244</v>
      </c>
      <c r="M32" s="263">
        <f>'Monthly Cash Flow Solution'!Z9</f>
        <v>41275</v>
      </c>
      <c r="N32" s="263">
        <f>'Monthly Cash Flow Solution'!AA9</f>
        <v>41306</v>
      </c>
      <c r="O32" s="263">
        <f>'Monthly Cash Flow Solution'!AB9</f>
        <v>41334</v>
      </c>
      <c r="P32" s="263">
        <f>'Monthly Cash Flow Solution'!AC9</f>
        <v>41365</v>
      </c>
      <c r="Q32" s="263">
        <f>'Monthly Cash Flow Solution'!AD9</f>
        <v>41395</v>
      </c>
      <c r="R32" s="263">
        <f>'Monthly Cash Flow Solution'!AE9</f>
        <v>41426</v>
      </c>
      <c r="S32" s="263">
        <f>'Monthly Cash Flow Solution'!AF9</f>
        <v>41456</v>
      </c>
      <c r="T32" s="263">
        <f>'Monthly Cash Flow Solution'!AG9</f>
        <v>41487</v>
      </c>
      <c r="U32" s="263">
        <f>'Monthly Cash Flow Solution'!AH9</f>
        <v>41518</v>
      </c>
      <c r="V32" s="263">
        <f>'Monthly Cash Flow Solution'!AI9</f>
        <v>41548</v>
      </c>
      <c r="W32" s="263">
        <f>'Monthly Cash Flow Solution'!AJ9</f>
        <v>41579</v>
      </c>
      <c r="X32" s="263">
        <f>'Monthly Cash Flow Solution'!AK9</f>
        <v>41609</v>
      </c>
      <c r="Y32" s="263">
        <f>'Monthly Cash Flow Solution'!AL9</f>
        <v>41640</v>
      </c>
      <c r="Z32" s="263">
        <f>'Monthly Cash Flow Solution'!AM9</f>
        <v>41671</v>
      </c>
      <c r="AA32" s="263">
        <f>'Monthly Cash Flow Solution'!AN9</f>
        <v>41699</v>
      </c>
      <c r="AB32" s="263">
        <f>'Monthly Cash Flow Solution'!AO9</f>
        <v>41730</v>
      </c>
      <c r="AC32" s="263">
        <f>'Monthly Cash Flow Solution'!AP9</f>
        <v>41760</v>
      </c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</row>
    <row r="33" spans="1:29" s="260" customFormat="1" ht="18.75">
      <c r="A33" s="260">
        <f>SUM(C33:AC33)</f>
        <v>22</v>
      </c>
      <c r="B33" s="265" t="s">
        <v>95</v>
      </c>
      <c r="C33" s="264">
        <f>COUNTIFS('Rent Roll'!$I$5:$I$35,MONTH(C32),'Rent Roll'!$J$5:$J$35,YEAR(C32))</f>
        <v>0</v>
      </c>
      <c r="D33" s="264">
        <f>COUNTIFS('Rent Roll'!$I$5:$I$35,MONTH(D32),'Rent Roll'!$J$5:$J$35,YEAR(D32))</f>
        <v>5</v>
      </c>
      <c r="E33" s="264">
        <f>COUNTIFS('Rent Roll'!$I$5:$I$35,MONTH(E32),'Rent Roll'!$J$5:$J$35,YEAR(E32))</f>
        <v>3</v>
      </c>
      <c r="F33" s="264">
        <f>COUNTIFS('Rent Roll'!$I$5:$I$35,MONTH(F32),'Rent Roll'!$J$5:$J$35,YEAR(F32))</f>
        <v>3</v>
      </c>
      <c r="G33" s="264">
        <f>COUNTIFS('Rent Roll'!$I$5:$I$35,MONTH(G32),'Rent Roll'!$J$5:$J$35,YEAR(G32))</f>
        <v>0</v>
      </c>
      <c r="H33" s="264">
        <f>COUNTIFS('Rent Roll'!$I$5:$I$35,MONTH(H32),'Rent Roll'!$J$5:$J$35,YEAR(H32))</f>
        <v>3</v>
      </c>
      <c r="I33" s="264">
        <f>COUNTIFS('Rent Roll'!$I$5:$I$35,MONTH(I32),'Rent Roll'!$J$5:$J$35,YEAR(I32))</f>
        <v>1</v>
      </c>
      <c r="J33" s="264">
        <f>COUNTIFS('Rent Roll'!$I$5:$I$35,MONTH(J32),'Rent Roll'!$J$5:$J$35,YEAR(J32))</f>
        <v>1</v>
      </c>
      <c r="K33" s="264">
        <f>COUNTIFS('Rent Roll'!$I$5:$I$35,MONTH(K32),'Rent Roll'!$J$5:$J$35,YEAR(K32))</f>
        <v>4</v>
      </c>
      <c r="L33" s="264">
        <f>COUNTIFS('Rent Roll'!$I$5:$I$35,MONTH(L32),'Rent Roll'!$J$5:$J$35,YEAR(L32))</f>
        <v>2</v>
      </c>
      <c r="M33" s="264">
        <f>COUNTIFS('Rent Roll'!$I$5:$I$35,MONTH(M32),'Rent Roll'!$J$5:$J$35,YEAR(M32))</f>
        <v>0</v>
      </c>
      <c r="N33" s="264">
        <f>COUNTIFS('Rent Roll'!$I$5:$I$35,MONTH(N32),'Rent Roll'!$J$5:$J$35,YEAR(N32))</f>
        <v>0</v>
      </c>
      <c r="O33" s="264">
        <f>COUNTIFS('Rent Roll'!$I$5:$I$35,MONTH(O32),'Rent Roll'!$J$5:$J$35,YEAR(O32))</f>
        <v>0</v>
      </c>
      <c r="P33" s="264">
        <f>COUNTIFS('Rent Roll'!$I$5:$I$35,MONTH(P32),'Rent Roll'!$J$5:$J$35,YEAR(P32))</f>
        <v>0</v>
      </c>
      <c r="Q33" s="264">
        <f>COUNTIFS('Rent Roll'!$I$5:$I$35,MONTH(Q32),'Rent Roll'!$J$5:$J$35,YEAR(Q32))</f>
        <v>0</v>
      </c>
      <c r="R33" s="264">
        <f>COUNTIFS('Rent Roll'!$I$5:$I$35,MONTH(R32),'Rent Roll'!$J$5:$J$35,YEAR(R32))</f>
        <v>0</v>
      </c>
      <c r="S33" s="264">
        <f>COUNTIFS('Rent Roll'!$I$5:$I$35,MONTH(S32),'Rent Roll'!$J$5:$J$35,YEAR(S32))</f>
        <v>0</v>
      </c>
      <c r="T33" s="264">
        <f>COUNTIFS('Rent Roll'!$I$5:$I$35,MONTH(T32),'Rent Roll'!$J$5:$J$35,YEAR(T32))</f>
        <v>0</v>
      </c>
      <c r="U33" s="264">
        <f>COUNTIFS('Rent Roll'!$I$5:$I$35,MONTH(U32),'Rent Roll'!$J$5:$J$35,YEAR(U32))</f>
        <v>0</v>
      </c>
      <c r="V33" s="264">
        <f>COUNTIFS('Rent Roll'!$I$5:$I$35,MONTH(V32),'Rent Roll'!$J$5:$J$35,YEAR(V32))</f>
        <v>0</v>
      </c>
      <c r="W33" s="264">
        <f>COUNTIFS('Rent Roll'!$I$5:$I$35,MONTH(W32),'Rent Roll'!$J$5:$J$35,YEAR(W32))</f>
        <v>0</v>
      </c>
      <c r="X33" s="264">
        <f>COUNTIFS('Rent Roll'!$I$5:$I$35,MONTH(X32),'Rent Roll'!$J$5:$J$35,YEAR(X32))</f>
        <v>0</v>
      </c>
      <c r="Y33" s="264">
        <f>COUNTIFS('Rent Roll'!$I$5:$I$35,MONTH(Y32),'Rent Roll'!$J$5:$J$35,YEAR(Y32))</f>
        <v>0</v>
      </c>
      <c r="Z33" s="264">
        <f>COUNTIFS('Rent Roll'!$I$5:$I$35,MONTH(Z32),'Rent Roll'!$J$5:$J$35,YEAR(Z32))</f>
        <v>0</v>
      </c>
      <c r="AA33" s="264">
        <f>COUNTIFS('Rent Roll'!$I$5:$I$35,MONTH(AA32),'Rent Roll'!$J$5:$J$35,YEAR(AA32))</f>
        <v>0</v>
      </c>
      <c r="AB33" s="264">
        <f>COUNTIFS('Rent Roll'!$I$5:$I$35,MONTH(AB32),'Rent Roll'!$J$5:$J$35,YEAR(AB32))</f>
        <v>0</v>
      </c>
      <c r="AC33" s="264">
        <f>COUNTIFS('Rent Roll'!$I$5:$I$35,MONTH(AC32),'Rent Roll'!$J$5:$J$35,YEAR(AC32))</f>
        <v>0</v>
      </c>
    </row>
    <row r="34" spans="1:29" ht="18.75">
      <c r="B34" s="265" t="s">
        <v>142</v>
      </c>
      <c r="C34" s="305">
        <f>SUMIFS('Rent Roll'!$K$5:$K$35,'Rent Roll'!$I$5:$I$35,MONTH(C32),'Rent Roll'!$J$5:$J$35,YEAR(C32))</f>
        <v>0</v>
      </c>
      <c r="D34" s="305">
        <f>SUMIFS('Rent Roll'!$K$5:$K$35,'Rent Roll'!$I$5:$I$35,MONTH(D32),'Rent Roll'!$J$5:$J$35,YEAR(D32))</f>
        <v>3760</v>
      </c>
      <c r="E34" s="305">
        <f>SUMIFS('Rent Roll'!$K$5:$K$35,'Rent Roll'!$I$5:$I$35,MONTH(E32),'Rent Roll'!$J$5:$J$35,YEAR(E32))</f>
        <v>2235</v>
      </c>
      <c r="F34" s="305">
        <f>SUMIFS('Rent Roll'!$K$5:$K$35,'Rent Roll'!$I$5:$I$35,MONTH(F32),'Rent Roll'!$J$5:$J$35,YEAR(F32))</f>
        <v>2235</v>
      </c>
      <c r="G34" s="305">
        <f>SUMIFS('Rent Roll'!$K$5:$K$35,'Rent Roll'!$I$5:$I$35,MONTH(G32),'Rent Roll'!$J$5:$J$35,YEAR(G32))</f>
        <v>0</v>
      </c>
      <c r="H34" s="305">
        <f>SUMIFS('Rent Roll'!$K$5:$K$35,'Rent Roll'!$I$5:$I$35,MONTH(H32),'Rent Roll'!$J$5:$J$35,YEAR(H32))</f>
        <v>2800</v>
      </c>
      <c r="I34" s="305">
        <f>SUMIFS('Rent Roll'!$K$5:$K$35,'Rent Roll'!$I$5:$I$35,MONTH(I32),'Rent Roll'!$J$5:$J$35,YEAR(I32))</f>
        <v>795</v>
      </c>
      <c r="J34" s="305">
        <f>SUMIFS('Rent Roll'!$K$5:$K$35,'Rent Roll'!$I$5:$I$35,MONTH(J32),'Rent Roll'!$J$5:$J$35,YEAR(J32))</f>
        <v>800</v>
      </c>
      <c r="K34" s="305">
        <f>SUMIFS('Rent Roll'!$K$5:$K$35,'Rent Roll'!$I$5:$I$35,MONTH(K32),'Rent Roll'!$J$5:$J$35,YEAR(K32))</f>
        <v>3165</v>
      </c>
      <c r="L34" s="305">
        <f>SUMIFS('Rent Roll'!$K$5:$K$35,'Rent Roll'!$I$5:$I$35,MONTH(L32),'Rent Roll'!$J$5:$J$35,YEAR(L32))</f>
        <v>1480</v>
      </c>
      <c r="M34" s="305">
        <f>SUMIFS('Rent Roll'!$K$5:$K$35,'Rent Roll'!$I$5:$I$35,MONTH(M32),'Rent Roll'!$J$5:$J$35,YEAR(M32))</f>
        <v>0</v>
      </c>
      <c r="N34" s="305">
        <f>SUMIFS('Rent Roll'!$K$5:$K$35,'Rent Roll'!$I$5:$I$35,MONTH(N32),'Rent Roll'!$J$5:$J$35,YEAR(N32))</f>
        <v>0</v>
      </c>
      <c r="O34" s="305">
        <f>SUMIFS('Rent Roll'!$K$5:$K$35,'Rent Roll'!$I$5:$I$35,MONTH(O32),'Rent Roll'!$J$5:$J$35,YEAR(O32))</f>
        <v>0</v>
      </c>
      <c r="P34" s="305">
        <f>SUMIFS('Rent Roll'!$K$5:$K$35,'Rent Roll'!$I$5:$I$35,MONTH(P32),'Rent Roll'!$J$5:$J$35,YEAR(P32))</f>
        <v>0</v>
      </c>
      <c r="Q34" s="305">
        <f>SUMIFS('Rent Roll'!$K$5:$K$35,'Rent Roll'!$I$5:$I$35,MONTH(Q32),'Rent Roll'!$J$5:$J$35,YEAR(Q32))</f>
        <v>0</v>
      </c>
      <c r="R34" s="305">
        <f>SUMIFS('Rent Roll'!$K$5:$K$35,'Rent Roll'!$I$5:$I$35,MONTH(R32),'Rent Roll'!$J$5:$J$35,YEAR(R32))</f>
        <v>0</v>
      </c>
      <c r="S34" s="305">
        <f>SUMIFS('Rent Roll'!$K$5:$K$35,'Rent Roll'!$I$5:$I$35,MONTH(S32),'Rent Roll'!$J$5:$J$35,YEAR(S32))</f>
        <v>0</v>
      </c>
      <c r="T34" s="305">
        <f>SUMIFS('Rent Roll'!$K$5:$K$35,'Rent Roll'!$I$5:$I$35,MONTH(T32),'Rent Roll'!$J$5:$J$35,YEAR(T32))</f>
        <v>0</v>
      </c>
      <c r="U34" s="305">
        <f>SUMIFS('Rent Roll'!$K$5:$K$35,'Rent Roll'!$I$5:$I$35,MONTH(U32),'Rent Roll'!$J$5:$J$35,YEAR(U32))</f>
        <v>0</v>
      </c>
      <c r="V34" s="305">
        <f>SUMIFS('Rent Roll'!$K$5:$K$35,'Rent Roll'!$I$5:$I$35,MONTH(V32),'Rent Roll'!$J$5:$J$35,YEAR(V32))</f>
        <v>0</v>
      </c>
      <c r="W34" s="305">
        <f>SUMIFS('Rent Roll'!$K$5:$K$35,'Rent Roll'!$I$5:$I$35,MONTH(W32),'Rent Roll'!$J$5:$J$35,YEAR(W32))</f>
        <v>0</v>
      </c>
      <c r="X34" s="305">
        <f>SUMIFS('Rent Roll'!$K$5:$K$35,'Rent Roll'!$I$5:$I$35,MONTH(X32),'Rent Roll'!$J$5:$J$35,YEAR(X32))</f>
        <v>0</v>
      </c>
      <c r="Y34" s="305">
        <f>SUMIFS('Rent Roll'!$K$5:$K$35,'Rent Roll'!$I$5:$I$35,MONTH(Y32),'Rent Roll'!$J$5:$J$35,YEAR(Y32))</f>
        <v>0</v>
      </c>
      <c r="Z34" s="305">
        <f>SUMIFS('Rent Roll'!$K$5:$K$35,'Rent Roll'!$I$5:$I$35,MONTH(Z32),'Rent Roll'!$J$5:$J$35,YEAR(Z32))</f>
        <v>0</v>
      </c>
      <c r="AA34" s="305">
        <f>SUMIFS('Rent Roll'!$K$5:$K$35,'Rent Roll'!$I$5:$I$35,MONTH(AA32),'Rent Roll'!$J$5:$J$35,YEAR(AA32))</f>
        <v>0</v>
      </c>
      <c r="AB34" s="305">
        <f>SUMIFS('Rent Roll'!$K$5:$K$35,'Rent Roll'!$I$5:$I$35,MONTH(AB32),'Rent Roll'!$J$5:$J$35,YEAR(AB32))</f>
        <v>0</v>
      </c>
      <c r="AC34" s="305">
        <f>SUMIFS('Rent Roll'!$K$5:$K$35,'Rent Roll'!$I$5:$I$35,MONTH(AC32),'Rent Roll'!$J$5:$J$35,YEAR(AC32))</f>
        <v>0</v>
      </c>
    </row>
    <row r="38" spans="1:29" ht="18.75">
      <c r="B38" s="260"/>
      <c r="E38" s="260"/>
      <c r="F38" s="260"/>
      <c r="G38" s="260"/>
    </row>
    <row r="39" spans="1:29" ht="18.75">
      <c r="B39" s="260"/>
      <c r="C39" s="260"/>
      <c r="D39" s="260"/>
      <c r="E39" s="260"/>
      <c r="F39" s="260"/>
      <c r="G39" s="260"/>
    </row>
    <row r="40" spans="1:29" ht="18.75">
      <c r="B40" s="260"/>
      <c r="C40" s="260"/>
      <c r="D40" s="260"/>
      <c r="E40" s="260"/>
      <c r="F40" s="260"/>
      <c r="G40" s="260"/>
    </row>
    <row r="41" spans="1:29" ht="18.75">
      <c r="B41" s="260"/>
      <c r="C41" s="260"/>
      <c r="D41" s="260"/>
      <c r="E41" s="260"/>
      <c r="F41" s="260"/>
      <c r="G41" s="260"/>
    </row>
    <row r="42" spans="1:29" ht="18.75">
      <c r="B42" s="260"/>
      <c r="C42" s="260"/>
      <c r="D42" s="260"/>
      <c r="E42" s="260"/>
      <c r="F42" s="260"/>
      <c r="G42" s="260"/>
    </row>
    <row r="43" spans="1:29" ht="18.75">
      <c r="B43" s="260"/>
      <c r="C43" s="260"/>
      <c r="D43" s="260"/>
      <c r="E43" s="260"/>
      <c r="F43" s="260"/>
      <c r="G43" s="260"/>
    </row>
    <row r="44" spans="1:29" ht="18.75">
      <c r="B44" s="260"/>
      <c r="C44" s="260"/>
      <c r="D44" s="260"/>
      <c r="E44" s="260"/>
      <c r="F44" s="260"/>
      <c r="G44" s="260"/>
    </row>
  </sheetData>
  <customSheetViews>
    <customSheetView guid="{AC6D0829-7D33-475A-BFC8-17DE97049707}" scale="80">
      <pageMargins left="0.7" right="0.7" top="0.75" bottom="0.75" header="0.3" footer="0.3"/>
      <pageSetup orientation="portrait" horizontalDpi="200" verticalDpi="200" r:id="rId1"/>
    </customSheetView>
  </customSheetViews>
  <pageMargins left="0.7" right="0.7" top="0.75" bottom="0.75" header="0.3" footer="0.3"/>
  <pageSetup orientation="portrait" horizontalDpi="200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7"/>
  <sheetViews>
    <sheetView showGridLines="0" zoomScaleNormal="100" zoomScaleSheetLayoutView="70" workbookViewId="0"/>
  </sheetViews>
  <sheetFormatPr defaultColWidth="9.33203125" defaultRowHeight="9.6" customHeight="1"/>
  <cols>
    <col min="1" max="1" width="5.1640625" style="64" customWidth="1"/>
    <col min="2" max="2" width="9.33203125" style="64" customWidth="1"/>
    <col min="3" max="3" width="30.1640625" style="64" customWidth="1"/>
    <col min="4" max="4" width="5" style="64" customWidth="1"/>
    <col min="5" max="5" width="9.1640625" style="64" customWidth="1"/>
    <col min="6" max="6" width="15.5" style="64" customWidth="1"/>
    <col min="7" max="7" width="4.5" style="64" customWidth="1"/>
    <col min="8" max="8" width="15.83203125" style="150" customWidth="1"/>
    <col min="9" max="9" width="14.5" style="64" customWidth="1"/>
    <col min="10" max="10" width="14.6640625" style="64" customWidth="1"/>
    <col min="11" max="11" width="15.5" style="64" customWidth="1"/>
    <col min="12" max="12" width="15" style="64" customWidth="1"/>
    <col min="13" max="14" width="15.33203125" style="64" customWidth="1"/>
    <col min="15" max="15" width="15.1640625" style="64" customWidth="1"/>
    <col min="16" max="16384" width="9.33203125" style="64"/>
  </cols>
  <sheetData>
    <row r="1" spans="1:16" s="63" customFormat="1" ht="15.75">
      <c r="A1" s="714"/>
      <c r="C1" s="64"/>
      <c r="D1" s="64"/>
      <c r="E1" s="65"/>
      <c r="F1" s="66"/>
      <c r="G1" s="66"/>
      <c r="H1" s="68"/>
      <c r="I1" s="68"/>
      <c r="J1" s="68"/>
      <c r="K1" s="68"/>
      <c r="L1" s="68"/>
      <c r="M1" s="68"/>
      <c r="N1" s="68"/>
      <c r="O1" s="68"/>
    </row>
    <row r="2" spans="1:16" s="63" customFormat="1" ht="23.25">
      <c r="A2" s="714"/>
      <c r="B2" s="752" t="s">
        <v>133</v>
      </c>
      <c r="C2" s="241"/>
      <c r="D2" s="241"/>
      <c r="E2" s="241"/>
      <c r="F2" s="241"/>
      <c r="G2" s="241"/>
    </row>
    <row r="3" spans="1:16" s="87" customFormat="1" ht="13.5" customHeight="1">
      <c r="A3" s="256"/>
      <c r="C3" s="480"/>
      <c r="D3" s="75"/>
      <c r="E3" s="212"/>
      <c r="F3" s="757" t="s">
        <v>284</v>
      </c>
      <c r="G3" s="75"/>
      <c r="H3" s="963" t="s">
        <v>283</v>
      </c>
      <c r="I3" s="964"/>
      <c r="J3" s="964"/>
      <c r="K3" s="964"/>
      <c r="L3" s="964"/>
      <c r="M3" s="964"/>
      <c r="N3" s="964"/>
      <c r="O3" s="965"/>
    </row>
    <row r="4" spans="1:16" s="87" customFormat="1" ht="13.5" customHeight="1">
      <c r="A4" s="256"/>
      <c r="C4" s="480"/>
      <c r="D4" s="75"/>
      <c r="E4" s="212"/>
      <c r="F4" s="716" t="s">
        <v>285</v>
      </c>
      <c r="G4" s="75"/>
      <c r="H4" s="966"/>
      <c r="I4" s="967"/>
      <c r="J4" s="967"/>
      <c r="K4" s="967"/>
      <c r="L4" s="967"/>
      <c r="M4" s="967"/>
      <c r="N4" s="967"/>
      <c r="O4" s="968"/>
    </row>
    <row r="5" spans="1:16" s="87" customFormat="1" ht="15.75">
      <c r="A5" s="256"/>
      <c r="C5" s="482"/>
      <c r="D5" s="184"/>
      <c r="E5" s="214"/>
      <c r="F5" s="717" t="s">
        <v>287</v>
      </c>
      <c r="G5" s="184"/>
    </row>
    <row r="6" spans="1:16" s="87" customFormat="1" ht="15.75">
      <c r="A6" s="256"/>
      <c r="C6" s="483"/>
      <c r="D6" s="268"/>
      <c r="E6" s="270"/>
      <c r="F6" s="717" t="s">
        <v>286</v>
      </c>
      <c r="G6" s="268"/>
      <c r="H6" s="758" t="s">
        <v>290</v>
      </c>
      <c r="I6" s="759">
        <v>1</v>
      </c>
      <c r="J6" s="759">
        <f t="shared" ref="J6:O6" si="0">I6+1</f>
        <v>2</v>
      </c>
      <c r="K6" s="759">
        <f t="shared" si="0"/>
        <v>3</v>
      </c>
      <c r="L6" s="759">
        <f t="shared" si="0"/>
        <v>4</v>
      </c>
      <c r="M6" s="759">
        <f t="shared" si="0"/>
        <v>5</v>
      </c>
      <c r="N6" s="759">
        <f t="shared" si="0"/>
        <v>6</v>
      </c>
      <c r="O6" s="759">
        <f t="shared" si="0"/>
        <v>7</v>
      </c>
    </row>
    <row r="7" spans="1:16" s="87" customFormat="1" ht="15.75">
      <c r="A7" s="256"/>
      <c r="B7" s="760" t="s">
        <v>291</v>
      </c>
      <c r="C7" s="483"/>
      <c r="D7" s="268"/>
      <c r="E7" s="270"/>
      <c r="F7" s="717"/>
      <c r="G7" s="268"/>
      <c r="H7" s="758"/>
      <c r="I7" s="759"/>
      <c r="J7" s="759"/>
      <c r="K7" s="759"/>
      <c r="L7" s="759"/>
      <c r="M7" s="759"/>
      <c r="N7" s="759"/>
      <c r="O7" s="759"/>
    </row>
    <row r="8" spans="1:16" s="65" customFormat="1" ht="15.75">
      <c r="A8" s="610"/>
      <c r="B8" s="480" t="s">
        <v>289</v>
      </c>
      <c r="C8" s="483"/>
      <c r="D8" s="268"/>
      <c r="E8" s="270"/>
      <c r="F8" s="718"/>
      <c r="G8" s="268"/>
      <c r="H8" s="271"/>
      <c r="I8" s="271"/>
      <c r="J8" s="271"/>
      <c r="K8" s="271"/>
      <c r="L8" s="271"/>
      <c r="M8" s="271"/>
      <c r="N8" s="271"/>
      <c r="O8" s="271"/>
      <c r="P8" s="472"/>
    </row>
    <row r="9" spans="1:16" s="87" customFormat="1" ht="15.75">
      <c r="A9" s="256"/>
      <c r="B9" s="482" t="s">
        <v>99</v>
      </c>
      <c r="C9" s="480"/>
      <c r="D9" s="75"/>
      <c r="E9" s="212"/>
      <c r="F9" s="715"/>
      <c r="G9" s="75"/>
      <c r="H9" s="102"/>
      <c r="I9" s="102"/>
      <c r="J9" s="102"/>
      <c r="K9" s="102"/>
      <c r="L9" s="102"/>
      <c r="M9" s="102"/>
      <c r="N9" s="102"/>
      <c r="O9" s="102"/>
      <c r="P9" s="89"/>
    </row>
    <row r="10" spans="1:16" s="87" customFormat="1" ht="15.75">
      <c r="A10" s="256"/>
      <c r="B10" s="480" t="s">
        <v>85</v>
      </c>
      <c r="C10" s="89"/>
      <c r="D10" s="89"/>
      <c r="E10" s="211"/>
      <c r="F10" s="719"/>
      <c r="G10" s="89"/>
      <c r="H10" s="102"/>
      <c r="I10" s="102"/>
      <c r="J10" s="102"/>
      <c r="K10" s="102"/>
      <c r="L10" s="102"/>
      <c r="M10" s="102"/>
      <c r="N10" s="102"/>
      <c r="O10" s="102"/>
      <c r="P10" s="89"/>
    </row>
    <row r="11" spans="1:16" s="87" customFormat="1" ht="15.75">
      <c r="A11" s="256"/>
      <c r="B11" s="85" t="s">
        <v>91</v>
      </c>
      <c r="C11" s="85"/>
      <c r="D11" s="86"/>
      <c r="E11" s="212"/>
      <c r="F11" s="715"/>
      <c r="G11" s="75"/>
      <c r="H11" s="102"/>
      <c r="I11" s="102"/>
      <c r="J11" s="102"/>
      <c r="K11" s="102"/>
      <c r="L11" s="102"/>
      <c r="M11" s="102"/>
      <c r="N11" s="102"/>
      <c r="O11" s="102"/>
      <c r="P11" s="89"/>
    </row>
    <row r="12" spans="1:16" s="87" customFormat="1" ht="15.75">
      <c r="A12" s="257"/>
      <c r="B12" s="756" t="s">
        <v>86</v>
      </c>
      <c r="C12" s="480"/>
      <c r="D12" s="75"/>
      <c r="E12" s="212"/>
      <c r="F12" s="715"/>
      <c r="G12" s="75"/>
      <c r="H12" s="102"/>
      <c r="I12" s="102"/>
      <c r="J12" s="102"/>
      <c r="K12" s="102"/>
      <c r="L12" s="102"/>
      <c r="M12" s="102"/>
      <c r="N12" s="102"/>
      <c r="O12" s="102"/>
      <c r="P12" s="89"/>
    </row>
    <row r="13" spans="1:16" s="87" customFormat="1" ht="15.75">
      <c r="A13" s="256"/>
      <c r="C13" s="480"/>
      <c r="D13" s="75"/>
      <c r="E13" s="212"/>
      <c r="F13" s="715"/>
      <c r="G13" s="75"/>
      <c r="H13" s="102"/>
      <c r="I13" s="102"/>
      <c r="J13" s="102"/>
      <c r="K13" s="102"/>
      <c r="L13" s="102"/>
      <c r="M13" s="102"/>
      <c r="N13" s="102"/>
      <c r="O13" s="102"/>
    </row>
    <row r="14" spans="1:16" s="87" customFormat="1" ht="15.75">
      <c r="B14" s="731" t="s">
        <v>11</v>
      </c>
      <c r="C14" s="732"/>
      <c r="D14" s="733"/>
      <c r="E14" s="734"/>
      <c r="F14" s="735"/>
      <c r="G14" s="733"/>
      <c r="H14" s="736"/>
      <c r="I14" s="737"/>
      <c r="J14" s="737"/>
      <c r="K14" s="737"/>
      <c r="L14" s="737"/>
      <c r="M14" s="737"/>
      <c r="N14" s="737"/>
      <c r="O14" s="738"/>
    </row>
    <row r="15" spans="1:16" ht="9" customHeight="1">
      <c r="B15" s="494"/>
      <c r="C15" s="482"/>
      <c r="D15" s="108"/>
      <c r="E15" s="218"/>
      <c r="F15" s="722"/>
      <c r="G15" s="108"/>
      <c r="H15" s="106"/>
      <c r="I15" s="106"/>
      <c r="J15" s="106"/>
      <c r="K15" s="110"/>
      <c r="L15" s="106"/>
      <c r="M15" s="106"/>
      <c r="N15" s="106"/>
      <c r="O15" s="106"/>
    </row>
    <row r="16" spans="1:16" ht="15.75">
      <c r="B16" s="145"/>
      <c r="C16" s="482" t="s">
        <v>134</v>
      </c>
      <c r="D16" s="495"/>
      <c r="E16" s="496"/>
      <c r="F16" s="723"/>
      <c r="G16" s="112"/>
      <c r="H16" s="106"/>
      <c r="I16" s="106"/>
      <c r="J16" s="106"/>
      <c r="K16" s="106"/>
      <c r="L16" s="106"/>
      <c r="M16" s="106"/>
      <c r="N16" s="106"/>
      <c r="O16" s="106"/>
    </row>
    <row r="17" spans="1:15" ht="15.75">
      <c r="B17" s="145"/>
      <c r="C17" s="307" t="s">
        <v>118</v>
      </c>
      <c r="D17" s="495"/>
      <c r="E17" s="217"/>
      <c r="F17" s="723"/>
      <c r="G17" s="112"/>
      <c r="H17" s="106"/>
      <c r="I17" s="106"/>
      <c r="J17" s="106"/>
      <c r="K17" s="106"/>
      <c r="L17" s="106"/>
      <c r="M17" s="106"/>
      <c r="N17" s="106"/>
      <c r="O17" s="106"/>
    </row>
    <row r="18" spans="1:15" ht="15.75">
      <c r="B18" s="485"/>
      <c r="C18" s="113" t="s">
        <v>13</v>
      </c>
      <c r="D18" s="497"/>
      <c r="E18" s="217"/>
      <c r="F18" s="723"/>
      <c r="G18" s="112"/>
      <c r="H18" s="106"/>
      <c r="I18" s="106"/>
      <c r="J18" s="106"/>
      <c r="K18" s="106"/>
      <c r="L18" s="106"/>
      <c r="M18" s="106"/>
      <c r="N18" s="106"/>
      <c r="O18" s="106"/>
    </row>
    <row r="19" spans="1:15" ht="6" customHeight="1">
      <c r="B19" s="485"/>
      <c r="C19" s="113"/>
      <c r="D19" s="497"/>
      <c r="E19" s="220"/>
      <c r="F19" s="720"/>
      <c r="G19" s="102"/>
      <c r="H19" s="102"/>
      <c r="I19" s="112"/>
      <c r="J19" s="112"/>
      <c r="K19" s="115"/>
      <c r="L19" s="112"/>
      <c r="M19" s="112"/>
      <c r="N19" s="112"/>
      <c r="O19" s="112"/>
    </row>
    <row r="20" spans="1:15" ht="15.75">
      <c r="B20" s="728" t="s">
        <v>14</v>
      </c>
      <c r="C20" s="729"/>
      <c r="D20" s="739"/>
      <c r="E20" s="740"/>
      <c r="F20" s="741"/>
      <c r="G20" s="742"/>
      <c r="H20" s="742"/>
      <c r="I20" s="743"/>
      <c r="J20" s="743"/>
      <c r="K20" s="743"/>
      <c r="L20" s="743"/>
      <c r="M20" s="743"/>
      <c r="N20" s="743"/>
      <c r="O20" s="743"/>
    </row>
    <row r="21" spans="1:15" ht="9" customHeight="1">
      <c r="B21" s="494"/>
      <c r="C21" s="145"/>
      <c r="D21" s="108"/>
      <c r="E21" s="217"/>
      <c r="F21" s="721"/>
      <c r="G21" s="106"/>
      <c r="H21" s="207"/>
      <c r="I21" s="106"/>
      <c r="J21" s="106"/>
      <c r="K21" s="110"/>
      <c r="L21" s="106"/>
      <c r="M21" s="106"/>
      <c r="N21" s="106"/>
      <c r="O21" s="106"/>
    </row>
    <row r="22" spans="1:15" ht="15.75">
      <c r="B22" s="145"/>
      <c r="C22" s="498" t="s">
        <v>0</v>
      </c>
      <c r="D22" s="184"/>
      <c r="E22" s="239"/>
      <c r="F22" s="724"/>
      <c r="G22" s="444"/>
      <c r="H22" s="102"/>
      <c r="I22" s="115"/>
      <c r="J22" s="115"/>
      <c r="K22" s="115"/>
      <c r="L22" s="115"/>
      <c r="M22" s="115"/>
      <c r="N22" s="115"/>
      <c r="O22" s="115"/>
    </row>
    <row r="23" spans="1:15" ht="15.75">
      <c r="B23" s="145"/>
      <c r="C23" s="113" t="s">
        <v>129</v>
      </c>
      <c r="D23" s="495"/>
      <c r="E23" s="220"/>
      <c r="F23" s="725"/>
      <c r="G23" s="104"/>
      <c r="H23" s="115"/>
      <c r="I23" s="115"/>
      <c r="J23" s="115"/>
      <c r="K23" s="115"/>
      <c r="L23" s="115"/>
      <c r="M23" s="115"/>
      <c r="N23" s="115"/>
      <c r="O23" s="115"/>
    </row>
    <row r="24" spans="1:15" ht="15.75">
      <c r="B24" s="145"/>
      <c r="C24" s="113" t="s">
        <v>127</v>
      </c>
      <c r="D24" s="495"/>
      <c r="E24" s="217"/>
      <c r="F24" s="721"/>
      <c r="G24" s="106"/>
      <c r="H24" s="106"/>
      <c r="I24" s="115"/>
      <c r="J24" s="115"/>
      <c r="K24" s="115"/>
      <c r="L24" s="115"/>
      <c r="M24" s="115"/>
      <c r="N24" s="115"/>
      <c r="O24" s="115"/>
    </row>
    <row r="25" spans="1:15" ht="15.75">
      <c r="B25" s="145"/>
      <c r="C25" s="113"/>
      <c r="D25" s="495"/>
      <c r="E25" s="217"/>
      <c r="F25" s="721"/>
      <c r="G25" s="106"/>
      <c r="H25" s="106"/>
      <c r="I25" s="115"/>
      <c r="J25" s="115"/>
      <c r="K25" s="115"/>
      <c r="L25" s="115"/>
      <c r="M25" s="115"/>
      <c r="N25" s="115"/>
      <c r="O25" s="115"/>
    </row>
    <row r="26" spans="1:15" ht="15.75">
      <c r="B26" s="728" t="s">
        <v>15</v>
      </c>
      <c r="C26" s="729"/>
      <c r="D26" s="744"/>
      <c r="E26" s="745"/>
      <c r="F26" s="746"/>
      <c r="G26" s="747"/>
      <c r="H26" s="747"/>
      <c r="I26" s="747"/>
      <c r="J26" s="747"/>
      <c r="K26" s="747"/>
      <c r="L26" s="747"/>
      <c r="M26" s="747"/>
      <c r="N26" s="747"/>
      <c r="O26" s="747"/>
    </row>
    <row r="27" spans="1:15" ht="9" customHeight="1">
      <c r="B27" s="145"/>
      <c r="C27" s="145"/>
      <c r="D27" s="108"/>
      <c r="E27" s="217"/>
      <c r="F27" s="721"/>
      <c r="G27" s="106"/>
      <c r="H27" s="106"/>
      <c r="I27" s="106"/>
      <c r="J27" s="106"/>
      <c r="K27" s="110"/>
      <c r="L27" s="106"/>
      <c r="M27" s="106"/>
      <c r="N27" s="106"/>
      <c r="O27" s="106"/>
    </row>
    <row r="28" spans="1:15" ht="15.75">
      <c r="B28" s="485" t="s">
        <v>136</v>
      </c>
      <c r="C28" s="145"/>
      <c r="D28" s="97"/>
      <c r="E28" s="220"/>
      <c r="F28" s="720"/>
      <c r="G28" s="102"/>
      <c r="H28" s="102"/>
      <c r="I28" s="104"/>
      <c r="J28" s="104"/>
      <c r="K28" s="127"/>
      <c r="L28" s="4"/>
      <c r="M28" s="4"/>
      <c r="N28" s="4"/>
      <c r="O28" s="4"/>
    </row>
    <row r="29" spans="1:15" ht="9" customHeight="1">
      <c r="B29" s="145"/>
      <c r="C29" s="128"/>
      <c r="D29" s="132"/>
      <c r="E29" s="137"/>
      <c r="F29" s="727"/>
      <c r="G29" s="132"/>
      <c r="H29" s="102"/>
      <c r="I29" s="104"/>
      <c r="J29" s="104"/>
      <c r="K29" s="105"/>
      <c r="L29" s="104"/>
      <c r="M29" s="104"/>
      <c r="N29" s="131"/>
      <c r="O29" s="131"/>
    </row>
    <row r="30" spans="1:15" ht="15.75">
      <c r="B30" s="728" t="s">
        <v>19</v>
      </c>
      <c r="C30" s="729"/>
      <c r="D30" s="730"/>
      <c r="E30" s="748"/>
      <c r="F30" s="749"/>
      <c r="G30" s="743"/>
      <c r="H30" s="743"/>
      <c r="I30" s="743"/>
      <c r="J30" s="743"/>
      <c r="K30" s="743"/>
      <c r="L30" s="743"/>
      <c r="M30" s="743"/>
      <c r="N30" s="743"/>
      <c r="O30" s="743"/>
    </row>
    <row r="31" spans="1:15" ht="9" customHeight="1">
      <c r="B31" s="485"/>
      <c r="C31" s="128"/>
      <c r="D31" s="504"/>
      <c r="E31" s="507"/>
      <c r="F31" s="726"/>
      <c r="G31" s="131"/>
      <c r="H31" s="102"/>
      <c r="I31" s="102"/>
      <c r="J31" s="102"/>
      <c r="K31" s="102"/>
      <c r="L31" s="102"/>
      <c r="M31" s="102"/>
      <c r="N31" s="129"/>
      <c r="O31" s="129"/>
    </row>
    <row r="32" spans="1:15" s="65" customFormat="1" ht="15.75">
      <c r="A32" s="64"/>
      <c r="B32" s="145"/>
      <c r="C32" s="284" t="s">
        <v>43</v>
      </c>
      <c r="D32" s="472"/>
      <c r="E32" s="503"/>
      <c r="F32" s="725"/>
      <c r="G32" s="447"/>
      <c r="H32" s="447"/>
      <c r="I32" s="447"/>
      <c r="J32" s="447"/>
      <c r="K32" s="447"/>
      <c r="L32" s="447"/>
      <c r="M32" s="447"/>
      <c r="N32" s="447"/>
      <c r="O32" s="447"/>
    </row>
    <row r="33" spans="2:15" ht="15.75">
      <c r="B33" s="145"/>
      <c r="C33" s="139" t="s">
        <v>145</v>
      </c>
      <c r="D33" s="144"/>
      <c r="E33" s="505"/>
      <c r="F33" s="725"/>
      <c r="G33" s="104"/>
      <c r="H33" s="104"/>
      <c r="I33" s="104"/>
      <c r="J33" s="104"/>
      <c r="K33" s="104"/>
      <c r="L33" s="104"/>
      <c r="M33" s="104"/>
      <c r="N33" s="104"/>
      <c r="O33" s="104"/>
    </row>
    <row r="34" spans="2:15" ht="15.75">
      <c r="B34" s="145"/>
      <c r="C34" s="139" t="s">
        <v>46</v>
      </c>
      <c r="D34" s="144"/>
      <c r="E34" s="505"/>
      <c r="F34" s="725"/>
      <c r="G34" s="104"/>
      <c r="H34" s="104"/>
      <c r="I34" s="104"/>
      <c r="J34" s="104"/>
      <c r="K34" s="104"/>
      <c r="L34" s="104"/>
      <c r="M34" s="104"/>
      <c r="N34" s="104"/>
      <c r="O34" s="104"/>
    </row>
    <row r="35" spans="2:15" ht="9" customHeight="1">
      <c r="B35" s="145"/>
      <c r="C35" s="508"/>
      <c r="D35" s="97"/>
      <c r="E35" s="220"/>
      <c r="F35" s="720"/>
      <c r="G35" s="102"/>
      <c r="H35" s="102"/>
      <c r="I35" s="104"/>
      <c r="J35" s="104"/>
      <c r="K35" s="105"/>
      <c r="L35" s="104"/>
      <c r="M35" s="104"/>
      <c r="N35" s="104"/>
      <c r="O35" s="104"/>
    </row>
    <row r="36" spans="2:15" ht="15.75">
      <c r="B36" s="728" t="s">
        <v>35</v>
      </c>
      <c r="C36" s="729"/>
      <c r="D36" s="730"/>
      <c r="E36" s="750"/>
      <c r="F36" s="751"/>
      <c r="G36" s="743"/>
      <c r="H36" s="743"/>
      <c r="I36" s="743"/>
      <c r="J36" s="743"/>
      <c r="K36" s="743"/>
      <c r="L36" s="743"/>
      <c r="M36" s="743"/>
      <c r="N36" s="743"/>
      <c r="O36" s="743"/>
    </row>
    <row r="37" spans="2:15" ht="15.75">
      <c r="B37" s="94"/>
      <c r="C37" s="117"/>
      <c r="D37" s="95"/>
      <c r="E37" s="102"/>
      <c r="F37" s="102"/>
      <c r="G37" s="102"/>
      <c r="H37" s="102"/>
      <c r="I37" s="104"/>
      <c r="J37" s="104"/>
      <c r="K37" s="105"/>
      <c r="L37" s="104"/>
      <c r="M37" s="104"/>
      <c r="N37" s="104"/>
      <c r="O37" s="104"/>
    </row>
    <row r="38" spans="2:15" ht="15.75">
      <c r="B38" s="187" t="s">
        <v>157</v>
      </c>
      <c r="C38" s="236"/>
      <c r="D38" s="182"/>
      <c r="E38" s="140"/>
      <c r="F38" s="102"/>
      <c r="G38" s="102"/>
      <c r="H38" s="102"/>
      <c r="I38" s="104"/>
      <c r="J38" s="104"/>
      <c r="K38" s="105"/>
      <c r="L38" s="104"/>
      <c r="M38" s="104"/>
      <c r="N38" s="104"/>
      <c r="O38" s="104"/>
    </row>
    <row r="39" spans="2:15" ht="15.75">
      <c r="B39" s="101"/>
      <c r="C39" s="117" t="s">
        <v>178</v>
      </c>
      <c r="D39" s="95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</row>
    <row r="40" spans="2:15" ht="15.75">
      <c r="C40" s="94" t="s">
        <v>247</v>
      </c>
      <c r="D40" s="95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</row>
    <row r="41" spans="2:15" ht="15.75">
      <c r="B41" s="94"/>
      <c r="C41" s="117"/>
      <c r="D41" s="95"/>
      <c r="E41" s="102"/>
      <c r="F41" s="102"/>
      <c r="G41" s="102"/>
      <c r="H41" s="102"/>
      <c r="I41" s="104"/>
      <c r="J41" s="104"/>
      <c r="K41" s="105"/>
      <c r="L41" s="104"/>
      <c r="M41" s="104"/>
      <c r="N41" s="104"/>
      <c r="O41" s="104"/>
    </row>
    <row r="42" spans="2:15" ht="15.75">
      <c r="B42" s="101" t="s">
        <v>314</v>
      </c>
      <c r="C42" s="117"/>
      <c r="D42" s="95"/>
      <c r="E42" s="102"/>
      <c r="F42" s="585"/>
      <c r="G42" s="585"/>
      <c r="H42" s="102"/>
      <c r="I42" s="104"/>
      <c r="J42" s="104"/>
      <c r="K42" s="105"/>
      <c r="L42" s="104"/>
      <c r="M42" s="104"/>
      <c r="N42" s="104"/>
      <c r="O42" s="104"/>
    </row>
    <row r="43" spans="2:15" ht="15.75">
      <c r="B43" s="101"/>
      <c r="C43" s="236" t="s">
        <v>196</v>
      </c>
      <c r="D43" s="182"/>
      <c r="E43" s="140"/>
      <c r="F43" s="102"/>
      <c r="G43" s="649"/>
      <c r="H43" s="102"/>
      <c r="I43" s="102"/>
      <c r="J43" s="102"/>
      <c r="K43" s="102"/>
      <c r="L43" s="102"/>
      <c r="M43" s="102"/>
      <c r="N43" s="102"/>
      <c r="O43" s="102"/>
    </row>
    <row r="44" spans="2:15" ht="15.75">
      <c r="B44" s="101"/>
      <c r="C44" s="125" t="s">
        <v>215</v>
      </c>
      <c r="D44" s="95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pans="2:15" ht="15.75">
      <c r="B45" s="94"/>
      <c r="C45" s="117"/>
      <c r="D45" s="95"/>
      <c r="E45" s="102"/>
      <c r="F45" s="585"/>
      <c r="G45" s="585"/>
      <c r="H45" s="102"/>
      <c r="I45" s="104"/>
      <c r="J45" s="104"/>
      <c r="K45" s="105"/>
      <c r="L45" s="104"/>
      <c r="M45" s="104"/>
      <c r="N45" s="104"/>
      <c r="O45" s="104"/>
    </row>
    <row r="46" spans="2:15" ht="15.75">
      <c r="B46" s="753" t="s">
        <v>315</v>
      </c>
      <c r="C46" s="754"/>
      <c r="D46" s="755"/>
      <c r="E46" s="742"/>
      <c r="F46" s="742"/>
      <c r="G46" s="742"/>
      <c r="H46" s="742"/>
      <c r="I46" s="742"/>
      <c r="J46" s="742"/>
      <c r="K46" s="742"/>
      <c r="L46" s="742"/>
      <c r="M46" s="742"/>
      <c r="N46" s="742"/>
      <c r="O46" s="742"/>
    </row>
    <row r="47" spans="2:15" ht="15.75">
      <c r="B47" s="94"/>
      <c r="C47" s="117"/>
      <c r="D47" s="95"/>
      <c r="E47" s="102"/>
      <c r="F47" s="102"/>
      <c r="G47" s="102"/>
      <c r="H47" s="102"/>
      <c r="I47" s="104"/>
      <c r="J47" s="104"/>
      <c r="K47" s="105"/>
      <c r="L47" s="104"/>
      <c r="M47" s="104"/>
      <c r="N47" s="104"/>
      <c r="O47" s="104"/>
    </row>
    <row r="48" spans="2:15" ht="15.75">
      <c r="B48" s="101" t="s">
        <v>69</v>
      </c>
      <c r="C48" s="117"/>
      <c r="D48" s="95"/>
      <c r="E48" s="102"/>
      <c r="F48" s="585"/>
      <c r="G48" s="585"/>
      <c r="H48" s="102"/>
      <c r="I48" s="104"/>
      <c r="J48" s="104"/>
      <c r="K48" s="105"/>
      <c r="L48" s="104"/>
      <c r="M48" s="104"/>
      <c r="N48" s="104"/>
      <c r="O48" s="104"/>
    </row>
    <row r="49" spans="2:15" ht="15.75">
      <c r="B49" s="101"/>
      <c r="C49" s="236" t="s">
        <v>288</v>
      </c>
      <c r="D49" s="182"/>
      <c r="E49" s="431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spans="2:15" ht="15.75">
      <c r="B50" s="101"/>
      <c r="C50" s="117" t="s">
        <v>195</v>
      </c>
      <c r="D50" s="95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pans="2:15" ht="15.75">
      <c r="B51" s="101"/>
      <c r="C51" s="117" t="s">
        <v>197</v>
      </c>
      <c r="D51" s="95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</row>
    <row r="52" spans="2:15" ht="15.75">
      <c r="B52" s="101"/>
      <c r="C52" s="117" t="s">
        <v>204</v>
      </c>
      <c r="D52" s="95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pans="2:15" ht="15.75">
      <c r="B53" s="101"/>
      <c r="C53" s="125" t="s">
        <v>205</v>
      </c>
      <c r="D53" s="95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pans="2:15" ht="15.75">
      <c r="B54" s="101"/>
      <c r="C54" s="125" t="s">
        <v>206</v>
      </c>
      <c r="D54" s="95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2:15" ht="15.75">
      <c r="B55" s="101"/>
      <c r="C55" s="125"/>
      <c r="D55" s="95"/>
      <c r="E55" s="102"/>
      <c r="F55" s="585"/>
      <c r="G55" s="585"/>
      <c r="H55" s="102"/>
      <c r="I55" s="104"/>
      <c r="J55" s="104"/>
      <c r="K55" s="105"/>
      <c r="L55" s="104"/>
      <c r="M55" s="104"/>
      <c r="N55" s="104"/>
      <c r="O55" s="104"/>
    </row>
    <row r="56" spans="2:15" ht="15.75">
      <c r="B56" s="753" t="s">
        <v>66</v>
      </c>
      <c r="C56" s="754"/>
      <c r="D56" s="755"/>
      <c r="E56" s="742"/>
      <c r="F56" s="742"/>
      <c r="G56" s="742"/>
      <c r="H56" s="742"/>
      <c r="I56" s="742"/>
      <c r="J56" s="742"/>
      <c r="K56" s="742"/>
      <c r="L56" s="742"/>
      <c r="M56" s="742"/>
      <c r="N56" s="742"/>
      <c r="O56" s="742"/>
    </row>
    <row r="57" spans="2:15" ht="16.5" thickBot="1">
      <c r="B57" s="101"/>
      <c r="C57" s="117"/>
      <c r="D57" s="95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</row>
    <row r="58" spans="2:15" ht="16.5" thickBot="1">
      <c r="B58" s="369" t="s">
        <v>177</v>
      </c>
      <c r="C58" s="370"/>
      <c r="D58" s="435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</row>
    <row r="59" spans="2:15" ht="15.75">
      <c r="B59" s="101"/>
      <c r="C59" s="117"/>
      <c r="D59" s="95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pans="2:15" ht="15.75">
      <c r="B60" s="145"/>
      <c r="C60" s="117"/>
      <c r="D60" s="95"/>
      <c r="E60" s="102"/>
      <c r="F60" s="102"/>
      <c r="G60" s="181"/>
      <c r="H60" s="181"/>
      <c r="I60" s="181"/>
      <c r="J60" s="181"/>
      <c r="K60" s="4"/>
      <c r="L60" s="4"/>
      <c r="M60" s="4"/>
      <c r="N60" s="4"/>
      <c r="O60" s="4"/>
    </row>
    <row r="61" spans="2:15" ht="15.75">
      <c r="B61" s="143"/>
      <c r="C61" s="117"/>
      <c r="D61" s="95"/>
      <c r="E61" s="102"/>
      <c r="F61" s="102"/>
      <c r="G61" s="181"/>
      <c r="H61" s="181"/>
      <c r="I61" s="181"/>
      <c r="J61" s="181"/>
      <c r="K61" s="4"/>
      <c r="L61" s="4"/>
      <c r="M61" s="4"/>
      <c r="N61" s="4"/>
      <c r="O61" s="4"/>
    </row>
    <row r="62" spans="2:15" ht="15.75">
      <c r="B62" s="145"/>
      <c r="C62" s="117"/>
      <c r="D62" s="95"/>
      <c r="E62" s="102"/>
      <c r="F62" s="102"/>
      <c r="G62" s="254"/>
      <c r="H62" s="254"/>
      <c r="I62" s="254"/>
      <c r="J62" s="254"/>
      <c r="K62" s="254"/>
      <c r="L62" s="254"/>
      <c r="M62" s="254"/>
      <c r="N62" s="254"/>
      <c r="O62" s="254"/>
    </row>
    <row r="63" spans="2:15" ht="15.75">
      <c r="B63" s="94"/>
      <c r="C63" s="117"/>
      <c r="D63" s="95"/>
      <c r="E63" s="102"/>
      <c r="F63" s="102"/>
      <c r="G63" s="254"/>
      <c r="H63" s="254"/>
      <c r="I63" s="254"/>
      <c r="J63" s="254"/>
      <c r="K63" s="254"/>
      <c r="L63" s="254"/>
      <c r="M63" s="254"/>
      <c r="N63" s="254"/>
      <c r="O63" s="254"/>
    </row>
    <row r="64" spans="2:15" ht="15.75">
      <c r="B64" s="101"/>
      <c r="C64" s="117"/>
      <c r="D64" s="95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</row>
    <row r="65" spans="2:15" ht="15.75">
      <c r="B65" s="101"/>
      <c r="C65" s="117"/>
      <c r="D65" s="95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</row>
    <row r="66" spans="2:15" ht="15.75">
      <c r="B66" s="101"/>
      <c r="C66" s="117"/>
      <c r="D66" s="95"/>
      <c r="E66" s="102"/>
      <c r="F66" s="102"/>
      <c r="G66" s="102"/>
      <c r="H66" s="102"/>
      <c r="I66" s="104"/>
      <c r="J66" s="104"/>
      <c r="K66" s="105"/>
      <c r="L66" s="104"/>
      <c r="M66" s="104"/>
      <c r="N66" s="104"/>
      <c r="O66" s="104"/>
    </row>
    <row r="67" spans="2:15" ht="15.75">
      <c r="B67" s="94"/>
      <c r="C67" s="117"/>
      <c r="D67" s="95"/>
      <c r="E67" s="102"/>
      <c r="F67" s="102"/>
      <c r="G67" s="102"/>
      <c r="H67" s="102"/>
      <c r="I67" s="104"/>
      <c r="J67" s="104"/>
      <c r="K67" s="105"/>
      <c r="L67" s="104"/>
      <c r="M67" s="104"/>
      <c r="N67" s="104"/>
      <c r="O67" s="104"/>
    </row>
    <row r="68" spans="2:15" ht="15.75">
      <c r="B68" s="94"/>
      <c r="C68" s="117"/>
      <c r="D68" s="95"/>
      <c r="E68" s="102"/>
      <c r="F68" s="102"/>
      <c r="G68" s="102"/>
      <c r="H68" s="102"/>
      <c r="I68" s="104"/>
      <c r="J68" s="104"/>
      <c r="K68" s="105"/>
      <c r="L68" s="104"/>
      <c r="M68" s="104"/>
      <c r="N68" s="104"/>
      <c r="O68" s="104"/>
    </row>
    <row r="69" spans="2:15" ht="15.75">
      <c r="B69" s="144"/>
      <c r="C69" s="146"/>
      <c r="D69" s="147"/>
      <c r="E69" s="147"/>
      <c r="F69" s="144"/>
      <c r="G69" s="144"/>
      <c r="H69" s="148"/>
      <c r="I69" s="148"/>
      <c r="J69" s="148"/>
      <c r="K69" s="148"/>
      <c r="L69" s="148"/>
      <c r="M69" s="148"/>
      <c r="N69" s="148"/>
      <c r="O69" s="148"/>
    </row>
    <row r="70" spans="2:15" s="145" customFormat="1" ht="15.75"/>
    <row r="71" spans="2:15" s="145" customFormat="1" ht="15.75"/>
    <row r="72" spans="2:15" s="145" customFormat="1" ht="15.75"/>
    <row r="73" spans="2:15" s="145" customFormat="1" ht="15.75"/>
    <row r="74" spans="2:15" s="145" customFormat="1" ht="11.25" customHeight="1"/>
    <row r="75" spans="2:15" s="145" customFormat="1" ht="11.25" customHeight="1"/>
    <row r="76" spans="2:15" s="145" customFormat="1" ht="12.75" customHeight="1"/>
    <row r="77" spans="2:15" s="145" customFormat="1" ht="12.75" customHeight="1"/>
    <row r="78" spans="2:15" s="145" customFormat="1" ht="12.75" customHeight="1"/>
    <row r="79" spans="2:15" s="145" customFormat="1" ht="12.75" customHeight="1"/>
    <row r="80" spans="2:15" s="145" customFormat="1" ht="12.75" customHeight="1"/>
    <row r="81" s="145" customFormat="1" ht="12.75" customHeight="1"/>
    <row r="82" s="145" customFormat="1" ht="12.75" customHeight="1"/>
    <row r="83" s="145" customFormat="1" ht="12.75" customHeight="1"/>
    <row r="84" s="145" customFormat="1" ht="12.75" customHeight="1"/>
    <row r="85" s="145" customFormat="1" ht="12.75" customHeight="1"/>
    <row r="86" s="145" customFormat="1" ht="12.75" customHeight="1"/>
    <row r="87" s="145" customFormat="1" ht="12.75" customHeight="1"/>
    <row r="88" s="145" customFormat="1" ht="26.25" customHeight="1"/>
    <row r="89" s="145" customFormat="1" ht="12.75" customHeight="1"/>
    <row r="90" s="145" customFormat="1" ht="12.75" customHeight="1"/>
    <row r="91" s="145" customFormat="1" ht="12.75" customHeight="1"/>
    <row r="92" s="145" customFormat="1" ht="12.75" customHeight="1"/>
    <row r="93" s="145" customFormat="1" ht="12.75" customHeight="1"/>
    <row r="94" s="145" customFormat="1" ht="12.75" customHeight="1"/>
    <row r="95" s="145" customFormat="1" ht="12.75" customHeight="1"/>
    <row r="96" s="145" customFormat="1" ht="15.75"/>
    <row r="97" s="145" customFormat="1" ht="15.75"/>
    <row r="98" s="145" customFormat="1" ht="15.75"/>
    <row r="99" s="145" customFormat="1" ht="12.75" customHeight="1"/>
    <row r="100" s="145" customFormat="1" ht="12.75" customHeight="1"/>
    <row r="101" s="145" customFormat="1" ht="12.75" customHeight="1"/>
    <row r="102" s="145" customFormat="1" ht="12.75" customHeight="1"/>
    <row r="103" s="145" customFormat="1" ht="12.75" customHeight="1"/>
    <row r="104" s="145" customFormat="1" ht="12.75" customHeight="1"/>
    <row r="105" s="145" customFormat="1" ht="12.75" customHeight="1"/>
    <row r="106" s="145" customFormat="1" ht="15.75"/>
    <row r="107" s="145" customFormat="1" ht="12.75" customHeight="1"/>
    <row r="108" s="145" customFormat="1" ht="12.75" customHeight="1"/>
    <row r="109" s="145" customFormat="1" ht="12.75" customHeight="1"/>
    <row r="110" s="145" customFormat="1" ht="12.75" customHeight="1"/>
    <row r="111" s="145" customFormat="1" ht="12.75" customHeight="1"/>
    <row r="112" s="145" customFormat="1" ht="12.75" customHeight="1"/>
    <row r="113" spans="8:8" s="145" customFormat="1" ht="12.75" customHeight="1"/>
    <row r="114" spans="8:8" s="145" customFormat="1" ht="12.75" customHeight="1"/>
    <row r="115" spans="8:8" s="145" customFormat="1" ht="12.75" customHeight="1"/>
    <row r="116" spans="8:8" s="145" customFormat="1" ht="15.75"/>
    <row r="117" spans="8:8" s="145" customFormat="1" ht="12.75" customHeight="1"/>
    <row r="118" spans="8:8" s="145" customFormat="1" ht="12.75" customHeight="1"/>
    <row r="119" spans="8:8" ht="12.75" customHeight="1">
      <c r="H119" s="64"/>
    </row>
    <row r="120" spans="8:8" ht="12.75" customHeight="1"/>
    <row r="121" spans="8:8" ht="12.75" customHeight="1"/>
    <row r="122" spans="8:8" ht="12.75" customHeight="1"/>
    <row r="123" spans="8:8" ht="12.75" customHeight="1"/>
    <row r="124" spans="8:8" ht="12.75" customHeight="1"/>
    <row r="125" spans="8:8" ht="12.75" customHeight="1"/>
    <row r="126" spans="8:8" ht="12.75" customHeight="1"/>
    <row r="127" spans="8:8" ht="12.75" customHeight="1"/>
    <row r="128" spans="8: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</sheetData>
  <mergeCells count="1">
    <mergeCell ref="H3:O4"/>
  </mergeCells>
  <conditionalFormatting sqref="A1:A2">
    <cfRule type="cellIs" dxfId="21" priority="8" stopIfTrue="1" operator="between">
      <formula>10</formula>
      <formula>10</formula>
    </cfRule>
  </conditionalFormatting>
  <conditionalFormatting sqref="A1">
    <cfRule type="cellIs" dxfId="20" priority="6" stopIfTrue="1" operator="between">
      <formula>5</formula>
      <formula>5</formula>
    </cfRule>
  </conditionalFormatting>
  <conditionalFormatting sqref="A1:A2">
    <cfRule type="containsText" dxfId="19" priority="1" stopIfTrue="1" operator="containsText" text="OK">
      <formula>NOT(ISERROR(SEARCH("OK",A1)))</formula>
    </cfRule>
    <cfRule type="containsText" dxfId="18" priority="2" stopIfTrue="1" operator="containsText" text="Fix">
      <formula>NOT(ISERROR(SEARCH("Fix",A1)))</formula>
    </cfRule>
  </conditionalFormatting>
  <pageMargins left="0.2" right="0.2" top="0.4" bottom="0.4" header="0.5" footer="0.32"/>
  <pageSetup paperSize="5" scale="69" fitToWidth="10" fitToHeight="2" orientation="landscape" horizontalDpi="4294967294" verticalDpi="4294967292" r:id="rId1"/>
  <headerFooter alignWithMargins="0"/>
  <rowBreaks count="2" manualBreakCount="2">
    <brk id="27" min="1" max="140" man="1"/>
    <brk id="47" min="1" max="14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U215"/>
  <sheetViews>
    <sheetView showGridLines="0" zoomScaleNormal="100" zoomScaleSheetLayoutView="70" workbookViewId="0"/>
  </sheetViews>
  <sheetFormatPr defaultColWidth="9.33203125" defaultRowHeight="9.6" customHeight="1" outlineLevelRow="1" outlineLevelCol="1"/>
  <cols>
    <col min="1" max="1" width="3.33203125" style="64" customWidth="1"/>
    <col min="2" max="2" width="19.1640625" style="64" customWidth="1"/>
    <col min="3" max="4" width="9.33203125" style="64"/>
    <col min="5" max="5" width="21.33203125" style="64" customWidth="1"/>
    <col min="6" max="6" width="2.83203125" style="64" customWidth="1"/>
    <col min="7" max="7" width="9.33203125" style="64" customWidth="1"/>
    <col min="8" max="8" width="27.83203125" style="64" customWidth="1"/>
    <col min="9" max="9" width="11.1640625" style="64" customWidth="1"/>
    <col min="10" max="10" width="9.1640625" style="64" customWidth="1"/>
    <col min="11" max="11" width="14.5" style="64" hidden="1" customWidth="1" outlineLevel="1"/>
    <col min="12" max="12" width="14.83203125" style="64" hidden="1" customWidth="1" outlineLevel="1"/>
    <col min="13" max="13" width="14.33203125" style="64" hidden="1" customWidth="1" outlineLevel="1"/>
    <col min="14" max="14" width="17.33203125" style="64" customWidth="1" collapsed="1"/>
    <col min="15" max="15" width="16.1640625" style="64" customWidth="1"/>
    <col min="16" max="16" width="15.83203125" style="150" customWidth="1"/>
    <col min="17" max="17" width="14.5" style="64" customWidth="1"/>
    <col min="18" max="18" width="14.6640625" style="64" customWidth="1"/>
    <col min="19" max="19" width="15.5" style="64" customWidth="1"/>
    <col min="20" max="20" width="15" style="64" customWidth="1"/>
    <col min="21" max="22" width="15.33203125" style="64" customWidth="1"/>
    <col min="23" max="23" width="15.1640625" style="64" customWidth="1"/>
    <col min="24" max="24" width="16.1640625" style="64" customWidth="1"/>
    <col min="25" max="139" width="15.1640625" style="64" customWidth="1"/>
    <col min="140" max="140" width="14.5" style="64" bestFit="1" customWidth="1"/>
    <col min="141" max="141" width="16.5" style="64" customWidth="1"/>
    <col min="142" max="146" width="15.1640625" style="64" customWidth="1"/>
    <col min="147" max="147" width="15" style="64" customWidth="1"/>
    <col min="148" max="148" width="15.33203125" style="64" customWidth="1"/>
    <col min="149" max="151" width="15" style="64" customWidth="1"/>
    <col min="152" max="16384" width="9.33203125" style="64"/>
  </cols>
  <sheetData>
    <row r="1" spans="1:151" ht="9.6" customHeight="1">
      <c r="A1" s="65"/>
      <c r="B1" s="65"/>
      <c r="C1" s="65"/>
      <c r="D1" s="65"/>
      <c r="E1" s="65"/>
      <c r="F1" s="65"/>
    </row>
    <row r="2" spans="1:151" s="11" customFormat="1" ht="18.75">
      <c r="A2" s="634"/>
      <c r="B2" s="971" t="s">
        <v>258</v>
      </c>
      <c r="C2" s="972"/>
      <c r="D2" s="972"/>
      <c r="E2" s="973"/>
      <c r="F2" s="632"/>
      <c r="G2" s="62"/>
      <c r="H2" s="461" t="str">
        <f>Assumptions!B3</f>
        <v>Miami Beach Multi-family Building: Rue Vendome</v>
      </c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</row>
    <row r="3" spans="1:151" s="11" customFormat="1" ht="18.75">
      <c r="A3" s="634"/>
      <c r="B3" s="614" t="s">
        <v>51</v>
      </c>
      <c r="C3" s="615" t="s">
        <v>256</v>
      </c>
      <c r="D3" s="615" t="s">
        <v>259</v>
      </c>
      <c r="E3" s="616" t="s">
        <v>257</v>
      </c>
      <c r="F3" s="632"/>
      <c r="G3" s="62"/>
      <c r="H3" s="230" t="s">
        <v>133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S3" s="422"/>
    </row>
    <row r="4" spans="1:151" s="67" customFormat="1" ht="12.75" customHeight="1">
      <c r="B4" s="617">
        <f>Assumptions!J13</f>
        <v>1</v>
      </c>
      <c r="C4" s="618">
        <f>Assumptions!N13</f>
        <v>10</v>
      </c>
      <c r="D4" s="618">
        <f>SUM(P36:AA36)</f>
        <v>10</v>
      </c>
      <c r="E4" s="619" t="str">
        <f>IF(SUM(P36:AA36)-C4=0,"OK","Fix Schedule")</f>
        <v>OK</v>
      </c>
      <c r="F4" s="633"/>
      <c r="H4" s="65"/>
      <c r="I4" s="65"/>
      <c r="J4" s="65"/>
      <c r="K4" s="185"/>
      <c r="L4" s="6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974" t="s">
        <v>139</v>
      </c>
    </row>
    <row r="5" spans="1:151" s="63" customFormat="1" ht="12.75" customHeight="1">
      <c r="A5" s="67"/>
      <c r="B5" s="617">
        <f>Assumptions!J14</f>
        <v>2</v>
      </c>
      <c r="C5" s="618">
        <f>Assumptions!N14</f>
        <v>15</v>
      </c>
      <c r="D5" s="618">
        <f>SUM(AB36:AM36)</f>
        <v>15</v>
      </c>
      <c r="E5" s="619" t="str">
        <f>IF(SUM(AB36:AM36)-C5=0,"OK","Fix Schedule")</f>
        <v>OK</v>
      </c>
      <c r="F5" s="633"/>
      <c r="H5" s="64"/>
      <c r="I5" s="64"/>
      <c r="J5" s="65"/>
      <c r="K5" s="66"/>
      <c r="L5" s="67"/>
      <c r="M5" s="67"/>
      <c r="N5" s="66"/>
      <c r="O5" s="66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974"/>
      <c r="ES5" s="975"/>
    </row>
    <row r="6" spans="1:151" s="63" customFormat="1" ht="15.75">
      <c r="A6" s="67"/>
      <c r="B6" s="617">
        <f>Assumptions!J15</f>
        <v>3</v>
      </c>
      <c r="C6" s="618">
        <f>Assumptions!N15</f>
        <v>5</v>
      </c>
      <c r="D6" s="618">
        <f>SUM(AN36:AY36)</f>
        <v>5</v>
      </c>
      <c r="E6" s="619" t="str">
        <f>IF(SUM(AN36:AY36)-C6=0,"OK","Fix Schedule")</f>
        <v>OK</v>
      </c>
      <c r="F6" s="633"/>
      <c r="G6" s="243" t="s">
        <v>67</v>
      </c>
      <c r="H6" s="64"/>
      <c r="I6" s="64"/>
      <c r="J6" s="510"/>
      <c r="K6" s="976" t="s">
        <v>72</v>
      </c>
      <c r="L6" s="977"/>
      <c r="M6" s="977"/>
      <c r="N6" s="471"/>
      <c r="O6" s="683">
        <f>Assumptions!C8</f>
        <v>40969</v>
      </c>
      <c r="P6" s="203">
        <f>Assumptions!G8</f>
        <v>40969</v>
      </c>
      <c r="Q6" s="69">
        <f t="shared" ref="Q6:CB6" si="0">DATE(YEAR(P6),MONTH(P6)+1,DAY(P6))</f>
        <v>41000</v>
      </c>
      <c r="R6" s="69">
        <f t="shared" si="0"/>
        <v>41030</v>
      </c>
      <c r="S6" s="69">
        <f t="shared" si="0"/>
        <v>41061</v>
      </c>
      <c r="T6" s="69">
        <f t="shared" si="0"/>
        <v>41091</v>
      </c>
      <c r="U6" s="69">
        <f t="shared" si="0"/>
        <v>41122</v>
      </c>
      <c r="V6" s="69">
        <f t="shared" si="0"/>
        <v>41153</v>
      </c>
      <c r="W6" s="69">
        <f t="shared" si="0"/>
        <v>41183</v>
      </c>
      <c r="X6" s="69">
        <f t="shared" si="0"/>
        <v>41214</v>
      </c>
      <c r="Y6" s="69">
        <f t="shared" si="0"/>
        <v>41244</v>
      </c>
      <c r="Z6" s="69">
        <f t="shared" si="0"/>
        <v>41275</v>
      </c>
      <c r="AA6" s="69">
        <f t="shared" si="0"/>
        <v>41306</v>
      </c>
      <c r="AB6" s="69">
        <f t="shared" si="0"/>
        <v>41334</v>
      </c>
      <c r="AC6" s="69">
        <f t="shared" si="0"/>
        <v>41365</v>
      </c>
      <c r="AD6" s="69">
        <f t="shared" si="0"/>
        <v>41395</v>
      </c>
      <c r="AE6" s="69">
        <f t="shared" si="0"/>
        <v>41426</v>
      </c>
      <c r="AF6" s="69">
        <f t="shared" si="0"/>
        <v>41456</v>
      </c>
      <c r="AG6" s="69">
        <f t="shared" si="0"/>
        <v>41487</v>
      </c>
      <c r="AH6" s="69">
        <f t="shared" si="0"/>
        <v>41518</v>
      </c>
      <c r="AI6" s="69">
        <f t="shared" si="0"/>
        <v>41548</v>
      </c>
      <c r="AJ6" s="69">
        <f t="shared" si="0"/>
        <v>41579</v>
      </c>
      <c r="AK6" s="69">
        <f t="shared" si="0"/>
        <v>41609</v>
      </c>
      <c r="AL6" s="69">
        <f t="shared" si="0"/>
        <v>41640</v>
      </c>
      <c r="AM6" s="69">
        <f t="shared" si="0"/>
        <v>41671</v>
      </c>
      <c r="AN6" s="69">
        <f t="shared" si="0"/>
        <v>41699</v>
      </c>
      <c r="AO6" s="69">
        <f t="shared" si="0"/>
        <v>41730</v>
      </c>
      <c r="AP6" s="69">
        <f t="shared" si="0"/>
        <v>41760</v>
      </c>
      <c r="AQ6" s="69">
        <f t="shared" si="0"/>
        <v>41791</v>
      </c>
      <c r="AR6" s="69">
        <f t="shared" si="0"/>
        <v>41821</v>
      </c>
      <c r="AS6" s="69">
        <f t="shared" si="0"/>
        <v>41852</v>
      </c>
      <c r="AT6" s="69">
        <f t="shared" si="0"/>
        <v>41883</v>
      </c>
      <c r="AU6" s="69">
        <f t="shared" si="0"/>
        <v>41913</v>
      </c>
      <c r="AV6" s="69">
        <f t="shared" si="0"/>
        <v>41944</v>
      </c>
      <c r="AW6" s="69">
        <f t="shared" si="0"/>
        <v>41974</v>
      </c>
      <c r="AX6" s="69">
        <f t="shared" si="0"/>
        <v>42005</v>
      </c>
      <c r="AY6" s="69">
        <f t="shared" si="0"/>
        <v>42036</v>
      </c>
      <c r="AZ6" s="69">
        <f t="shared" si="0"/>
        <v>42064</v>
      </c>
      <c r="BA6" s="69">
        <f t="shared" si="0"/>
        <v>42095</v>
      </c>
      <c r="BB6" s="69">
        <f t="shared" si="0"/>
        <v>42125</v>
      </c>
      <c r="BC6" s="69">
        <f t="shared" si="0"/>
        <v>42156</v>
      </c>
      <c r="BD6" s="69">
        <f t="shared" si="0"/>
        <v>42186</v>
      </c>
      <c r="BE6" s="69">
        <f t="shared" si="0"/>
        <v>42217</v>
      </c>
      <c r="BF6" s="69">
        <f t="shared" si="0"/>
        <v>42248</v>
      </c>
      <c r="BG6" s="69">
        <f t="shared" si="0"/>
        <v>42278</v>
      </c>
      <c r="BH6" s="69">
        <f t="shared" si="0"/>
        <v>42309</v>
      </c>
      <c r="BI6" s="69">
        <f t="shared" si="0"/>
        <v>42339</v>
      </c>
      <c r="BJ6" s="69">
        <f t="shared" si="0"/>
        <v>42370</v>
      </c>
      <c r="BK6" s="69">
        <f t="shared" si="0"/>
        <v>42401</v>
      </c>
      <c r="BL6" s="69">
        <f t="shared" si="0"/>
        <v>42430</v>
      </c>
      <c r="BM6" s="69">
        <f t="shared" si="0"/>
        <v>42461</v>
      </c>
      <c r="BN6" s="69">
        <f t="shared" si="0"/>
        <v>42491</v>
      </c>
      <c r="BO6" s="69">
        <f t="shared" si="0"/>
        <v>42522</v>
      </c>
      <c r="BP6" s="69">
        <f t="shared" si="0"/>
        <v>42552</v>
      </c>
      <c r="BQ6" s="69">
        <f t="shared" si="0"/>
        <v>42583</v>
      </c>
      <c r="BR6" s="69">
        <f t="shared" si="0"/>
        <v>42614</v>
      </c>
      <c r="BS6" s="69">
        <f t="shared" si="0"/>
        <v>42644</v>
      </c>
      <c r="BT6" s="69">
        <f t="shared" si="0"/>
        <v>42675</v>
      </c>
      <c r="BU6" s="69">
        <f t="shared" si="0"/>
        <v>42705</v>
      </c>
      <c r="BV6" s="69">
        <f t="shared" si="0"/>
        <v>42736</v>
      </c>
      <c r="BW6" s="69">
        <f t="shared" si="0"/>
        <v>42767</v>
      </c>
      <c r="BX6" s="69">
        <f t="shared" si="0"/>
        <v>42795</v>
      </c>
      <c r="BY6" s="69">
        <f t="shared" si="0"/>
        <v>42826</v>
      </c>
      <c r="BZ6" s="69">
        <f t="shared" si="0"/>
        <v>42856</v>
      </c>
      <c r="CA6" s="69">
        <f t="shared" si="0"/>
        <v>42887</v>
      </c>
      <c r="CB6" s="69">
        <f t="shared" si="0"/>
        <v>42917</v>
      </c>
      <c r="CC6" s="69">
        <f t="shared" ref="CC6:EN6" si="1">DATE(YEAR(CB6),MONTH(CB6)+1,DAY(CB6))</f>
        <v>42948</v>
      </c>
      <c r="CD6" s="69">
        <f t="shared" si="1"/>
        <v>42979</v>
      </c>
      <c r="CE6" s="69">
        <f t="shared" si="1"/>
        <v>43009</v>
      </c>
      <c r="CF6" s="69">
        <f t="shared" si="1"/>
        <v>43040</v>
      </c>
      <c r="CG6" s="69">
        <f t="shared" si="1"/>
        <v>43070</v>
      </c>
      <c r="CH6" s="69">
        <f t="shared" si="1"/>
        <v>43101</v>
      </c>
      <c r="CI6" s="69">
        <f t="shared" si="1"/>
        <v>43132</v>
      </c>
      <c r="CJ6" s="69">
        <f t="shared" si="1"/>
        <v>43160</v>
      </c>
      <c r="CK6" s="69">
        <f t="shared" si="1"/>
        <v>43191</v>
      </c>
      <c r="CL6" s="69">
        <f t="shared" si="1"/>
        <v>43221</v>
      </c>
      <c r="CM6" s="69">
        <f t="shared" si="1"/>
        <v>43252</v>
      </c>
      <c r="CN6" s="69">
        <f t="shared" si="1"/>
        <v>43282</v>
      </c>
      <c r="CO6" s="69">
        <f t="shared" si="1"/>
        <v>43313</v>
      </c>
      <c r="CP6" s="69">
        <f t="shared" si="1"/>
        <v>43344</v>
      </c>
      <c r="CQ6" s="69">
        <f t="shared" si="1"/>
        <v>43374</v>
      </c>
      <c r="CR6" s="69">
        <f t="shared" si="1"/>
        <v>43405</v>
      </c>
      <c r="CS6" s="69">
        <f t="shared" si="1"/>
        <v>43435</v>
      </c>
      <c r="CT6" s="69">
        <f t="shared" si="1"/>
        <v>43466</v>
      </c>
      <c r="CU6" s="69">
        <f t="shared" si="1"/>
        <v>43497</v>
      </c>
      <c r="CV6" s="69">
        <f t="shared" si="1"/>
        <v>43525</v>
      </c>
      <c r="CW6" s="69">
        <f t="shared" si="1"/>
        <v>43556</v>
      </c>
      <c r="CX6" s="69">
        <f t="shared" si="1"/>
        <v>43586</v>
      </c>
      <c r="CY6" s="69">
        <f t="shared" si="1"/>
        <v>43617</v>
      </c>
      <c r="CZ6" s="69">
        <f t="shared" si="1"/>
        <v>43647</v>
      </c>
      <c r="DA6" s="69">
        <f t="shared" si="1"/>
        <v>43678</v>
      </c>
      <c r="DB6" s="69">
        <f t="shared" si="1"/>
        <v>43709</v>
      </c>
      <c r="DC6" s="69">
        <f t="shared" si="1"/>
        <v>43739</v>
      </c>
      <c r="DD6" s="69">
        <f t="shared" si="1"/>
        <v>43770</v>
      </c>
      <c r="DE6" s="69">
        <f t="shared" si="1"/>
        <v>43800</v>
      </c>
      <c r="DF6" s="69">
        <f t="shared" si="1"/>
        <v>43831</v>
      </c>
      <c r="DG6" s="69">
        <f t="shared" si="1"/>
        <v>43862</v>
      </c>
      <c r="DH6" s="69">
        <f t="shared" si="1"/>
        <v>43891</v>
      </c>
      <c r="DI6" s="69">
        <f t="shared" si="1"/>
        <v>43922</v>
      </c>
      <c r="DJ6" s="69">
        <f t="shared" si="1"/>
        <v>43952</v>
      </c>
      <c r="DK6" s="69">
        <f t="shared" si="1"/>
        <v>43983</v>
      </c>
      <c r="DL6" s="69">
        <f t="shared" si="1"/>
        <v>44013</v>
      </c>
      <c r="DM6" s="69">
        <f t="shared" si="1"/>
        <v>44044</v>
      </c>
      <c r="DN6" s="69">
        <f t="shared" si="1"/>
        <v>44075</v>
      </c>
      <c r="DO6" s="69">
        <f t="shared" si="1"/>
        <v>44105</v>
      </c>
      <c r="DP6" s="69">
        <f t="shared" si="1"/>
        <v>44136</v>
      </c>
      <c r="DQ6" s="69">
        <f t="shared" si="1"/>
        <v>44166</v>
      </c>
      <c r="DR6" s="69">
        <f t="shared" si="1"/>
        <v>44197</v>
      </c>
      <c r="DS6" s="69">
        <f t="shared" si="1"/>
        <v>44228</v>
      </c>
      <c r="DT6" s="69">
        <f t="shared" si="1"/>
        <v>44256</v>
      </c>
      <c r="DU6" s="69">
        <f t="shared" si="1"/>
        <v>44287</v>
      </c>
      <c r="DV6" s="69">
        <f t="shared" si="1"/>
        <v>44317</v>
      </c>
      <c r="DW6" s="69">
        <f t="shared" si="1"/>
        <v>44348</v>
      </c>
      <c r="DX6" s="69">
        <f t="shared" si="1"/>
        <v>44378</v>
      </c>
      <c r="DY6" s="69">
        <f t="shared" si="1"/>
        <v>44409</v>
      </c>
      <c r="DZ6" s="69">
        <f t="shared" si="1"/>
        <v>44440</v>
      </c>
      <c r="EA6" s="69">
        <f t="shared" si="1"/>
        <v>44470</v>
      </c>
      <c r="EB6" s="69">
        <f t="shared" si="1"/>
        <v>44501</v>
      </c>
      <c r="EC6" s="69">
        <f t="shared" si="1"/>
        <v>44531</v>
      </c>
      <c r="ED6" s="69">
        <f t="shared" si="1"/>
        <v>44562</v>
      </c>
      <c r="EE6" s="69">
        <f t="shared" si="1"/>
        <v>44593</v>
      </c>
      <c r="EF6" s="69">
        <f t="shared" si="1"/>
        <v>44621</v>
      </c>
      <c r="EG6" s="69">
        <f t="shared" si="1"/>
        <v>44652</v>
      </c>
      <c r="EH6" s="69">
        <f t="shared" si="1"/>
        <v>44682</v>
      </c>
      <c r="EI6" s="69">
        <f t="shared" si="1"/>
        <v>44713</v>
      </c>
      <c r="EJ6" s="69">
        <f t="shared" si="1"/>
        <v>44743</v>
      </c>
      <c r="EK6" s="69">
        <f t="shared" si="1"/>
        <v>44774</v>
      </c>
      <c r="EL6" s="69">
        <f t="shared" si="1"/>
        <v>44805</v>
      </c>
      <c r="EM6" s="69">
        <f t="shared" si="1"/>
        <v>44835</v>
      </c>
      <c r="EN6" s="69">
        <f t="shared" si="1"/>
        <v>44866</v>
      </c>
      <c r="EO6" s="69">
        <f t="shared" ref="EO6" si="2">DATE(YEAR(EN6),MONTH(EN6)+1,DAY(EN6))</f>
        <v>44896</v>
      </c>
      <c r="EP6" s="69">
        <f>DATE(YEAR(EO6),MONTH(EO6)+1,DAY(EO6))</f>
        <v>44927</v>
      </c>
      <c r="EQ6" s="69">
        <f>DATE(YEAR(EP6),MONTH(EP6)+1,DAY(EP6))</f>
        <v>44958</v>
      </c>
      <c r="ER6" s="69">
        <f>DATE(YEAR(EQ6),MONTH(EQ6)+1,DAY(EQ6))</f>
        <v>44986</v>
      </c>
      <c r="ES6" s="975"/>
    </row>
    <row r="7" spans="1:151" ht="15.75">
      <c r="A7" s="65"/>
      <c r="B7" s="617">
        <f>Assumptions!J16</f>
        <v>4</v>
      </c>
      <c r="C7" s="618">
        <f>Assumptions!N16</f>
        <v>0</v>
      </c>
      <c r="D7" s="618">
        <f>SUM(AZ36:BK36)</f>
        <v>0</v>
      </c>
      <c r="E7" s="619" t="str">
        <f>IF(SUM(AZ36:BK36)-C7=0,"OK","Fix Schedule")</f>
        <v>OK</v>
      </c>
      <c r="F7" s="633"/>
      <c r="G7" s="243" t="s">
        <v>68</v>
      </c>
      <c r="J7" s="208"/>
      <c r="K7" s="424"/>
      <c r="L7" s="425"/>
      <c r="M7" s="425"/>
      <c r="N7" s="423" t="s">
        <v>189</v>
      </c>
      <c r="O7" s="648" t="s">
        <v>261</v>
      </c>
      <c r="P7" s="70">
        <f>Q6-1</f>
        <v>40999</v>
      </c>
      <c r="Q7" s="70">
        <f t="shared" ref="Q7:V7" si="3">R6-1</f>
        <v>41029</v>
      </c>
      <c r="R7" s="70">
        <f t="shared" si="3"/>
        <v>41060</v>
      </c>
      <c r="S7" s="70">
        <f t="shared" si="3"/>
        <v>41090</v>
      </c>
      <c r="T7" s="70">
        <f t="shared" si="3"/>
        <v>41121</v>
      </c>
      <c r="U7" s="70">
        <f t="shared" si="3"/>
        <v>41152</v>
      </c>
      <c r="V7" s="70">
        <f t="shared" si="3"/>
        <v>41182</v>
      </c>
      <c r="W7" s="70">
        <f>X6-1</f>
        <v>41213</v>
      </c>
      <c r="X7" s="70">
        <f>Y6-1</f>
        <v>41243</v>
      </c>
      <c r="Y7" s="70">
        <f t="shared" ref="Y7:CJ7" si="4">Z6-1</f>
        <v>41274</v>
      </c>
      <c r="Z7" s="70">
        <f t="shared" si="4"/>
        <v>41305</v>
      </c>
      <c r="AA7" s="70">
        <f t="shared" si="4"/>
        <v>41333</v>
      </c>
      <c r="AB7" s="70">
        <f t="shared" si="4"/>
        <v>41364</v>
      </c>
      <c r="AC7" s="70">
        <f t="shared" si="4"/>
        <v>41394</v>
      </c>
      <c r="AD7" s="70">
        <f t="shared" si="4"/>
        <v>41425</v>
      </c>
      <c r="AE7" s="70">
        <f t="shared" si="4"/>
        <v>41455</v>
      </c>
      <c r="AF7" s="70">
        <f t="shared" si="4"/>
        <v>41486</v>
      </c>
      <c r="AG7" s="70">
        <f t="shared" si="4"/>
        <v>41517</v>
      </c>
      <c r="AH7" s="70">
        <f t="shared" si="4"/>
        <v>41547</v>
      </c>
      <c r="AI7" s="70">
        <f t="shared" si="4"/>
        <v>41578</v>
      </c>
      <c r="AJ7" s="70">
        <f t="shared" si="4"/>
        <v>41608</v>
      </c>
      <c r="AK7" s="70">
        <f t="shared" si="4"/>
        <v>41639</v>
      </c>
      <c r="AL7" s="70">
        <f t="shared" si="4"/>
        <v>41670</v>
      </c>
      <c r="AM7" s="70">
        <f t="shared" si="4"/>
        <v>41698</v>
      </c>
      <c r="AN7" s="70">
        <f t="shared" si="4"/>
        <v>41729</v>
      </c>
      <c r="AO7" s="70">
        <f t="shared" si="4"/>
        <v>41759</v>
      </c>
      <c r="AP7" s="70">
        <f t="shared" si="4"/>
        <v>41790</v>
      </c>
      <c r="AQ7" s="70">
        <f t="shared" si="4"/>
        <v>41820</v>
      </c>
      <c r="AR7" s="70">
        <f t="shared" si="4"/>
        <v>41851</v>
      </c>
      <c r="AS7" s="70">
        <f t="shared" si="4"/>
        <v>41882</v>
      </c>
      <c r="AT7" s="70">
        <f t="shared" si="4"/>
        <v>41912</v>
      </c>
      <c r="AU7" s="70">
        <f t="shared" si="4"/>
        <v>41943</v>
      </c>
      <c r="AV7" s="70">
        <f t="shared" si="4"/>
        <v>41973</v>
      </c>
      <c r="AW7" s="70">
        <f t="shared" si="4"/>
        <v>42004</v>
      </c>
      <c r="AX7" s="70">
        <f t="shared" si="4"/>
        <v>42035</v>
      </c>
      <c r="AY7" s="70">
        <f t="shared" si="4"/>
        <v>42063</v>
      </c>
      <c r="AZ7" s="70">
        <f t="shared" si="4"/>
        <v>42094</v>
      </c>
      <c r="BA7" s="70">
        <f t="shared" si="4"/>
        <v>42124</v>
      </c>
      <c r="BB7" s="70">
        <f t="shared" si="4"/>
        <v>42155</v>
      </c>
      <c r="BC7" s="70">
        <f t="shared" si="4"/>
        <v>42185</v>
      </c>
      <c r="BD7" s="70">
        <f t="shared" si="4"/>
        <v>42216</v>
      </c>
      <c r="BE7" s="70">
        <f t="shared" si="4"/>
        <v>42247</v>
      </c>
      <c r="BF7" s="70">
        <f t="shared" si="4"/>
        <v>42277</v>
      </c>
      <c r="BG7" s="70">
        <f t="shared" si="4"/>
        <v>42308</v>
      </c>
      <c r="BH7" s="70">
        <f t="shared" si="4"/>
        <v>42338</v>
      </c>
      <c r="BI7" s="70">
        <f t="shared" si="4"/>
        <v>42369</v>
      </c>
      <c r="BJ7" s="70">
        <f t="shared" si="4"/>
        <v>42400</v>
      </c>
      <c r="BK7" s="70">
        <f t="shared" si="4"/>
        <v>42429</v>
      </c>
      <c r="BL7" s="70">
        <f t="shared" si="4"/>
        <v>42460</v>
      </c>
      <c r="BM7" s="70">
        <f t="shared" si="4"/>
        <v>42490</v>
      </c>
      <c r="BN7" s="70">
        <f t="shared" si="4"/>
        <v>42521</v>
      </c>
      <c r="BO7" s="70">
        <f t="shared" si="4"/>
        <v>42551</v>
      </c>
      <c r="BP7" s="70">
        <f t="shared" si="4"/>
        <v>42582</v>
      </c>
      <c r="BQ7" s="70">
        <f t="shared" si="4"/>
        <v>42613</v>
      </c>
      <c r="BR7" s="70">
        <f t="shared" si="4"/>
        <v>42643</v>
      </c>
      <c r="BS7" s="70">
        <f t="shared" si="4"/>
        <v>42674</v>
      </c>
      <c r="BT7" s="70">
        <f t="shared" si="4"/>
        <v>42704</v>
      </c>
      <c r="BU7" s="70">
        <f t="shared" si="4"/>
        <v>42735</v>
      </c>
      <c r="BV7" s="70">
        <f t="shared" si="4"/>
        <v>42766</v>
      </c>
      <c r="BW7" s="70">
        <f t="shared" si="4"/>
        <v>42794</v>
      </c>
      <c r="BX7" s="70">
        <f t="shared" si="4"/>
        <v>42825</v>
      </c>
      <c r="BY7" s="70">
        <f t="shared" si="4"/>
        <v>42855</v>
      </c>
      <c r="BZ7" s="70">
        <f t="shared" si="4"/>
        <v>42886</v>
      </c>
      <c r="CA7" s="70">
        <f t="shared" si="4"/>
        <v>42916</v>
      </c>
      <c r="CB7" s="70">
        <f t="shared" si="4"/>
        <v>42947</v>
      </c>
      <c r="CC7" s="70">
        <f t="shared" si="4"/>
        <v>42978</v>
      </c>
      <c r="CD7" s="70">
        <f t="shared" si="4"/>
        <v>43008</v>
      </c>
      <c r="CE7" s="70">
        <f t="shared" si="4"/>
        <v>43039</v>
      </c>
      <c r="CF7" s="70">
        <f t="shared" si="4"/>
        <v>43069</v>
      </c>
      <c r="CG7" s="70">
        <f t="shared" si="4"/>
        <v>43100</v>
      </c>
      <c r="CH7" s="70">
        <f t="shared" si="4"/>
        <v>43131</v>
      </c>
      <c r="CI7" s="70">
        <f t="shared" si="4"/>
        <v>43159</v>
      </c>
      <c r="CJ7" s="70">
        <f t="shared" si="4"/>
        <v>43190</v>
      </c>
      <c r="CK7" s="70">
        <f t="shared" ref="CK7:EQ7" si="5">CL6-1</f>
        <v>43220</v>
      </c>
      <c r="CL7" s="70">
        <f t="shared" si="5"/>
        <v>43251</v>
      </c>
      <c r="CM7" s="70">
        <f t="shared" si="5"/>
        <v>43281</v>
      </c>
      <c r="CN7" s="70">
        <f t="shared" si="5"/>
        <v>43312</v>
      </c>
      <c r="CO7" s="70">
        <f t="shared" si="5"/>
        <v>43343</v>
      </c>
      <c r="CP7" s="70">
        <f t="shared" si="5"/>
        <v>43373</v>
      </c>
      <c r="CQ7" s="70">
        <f t="shared" si="5"/>
        <v>43404</v>
      </c>
      <c r="CR7" s="70">
        <f t="shared" si="5"/>
        <v>43434</v>
      </c>
      <c r="CS7" s="70">
        <f t="shared" si="5"/>
        <v>43465</v>
      </c>
      <c r="CT7" s="70">
        <f t="shared" si="5"/>
        <v>43496</v>
      </c>
      <c r="CU7" s="70">
        <f t="shared" si="5"/>
        <v>43524</v>
      </c>
      <c r="CV7" s="70">
        <f t="shared" si="5"/>
        <v>43555</v>
      </c>
      <c r="CW7" s="70">
        <f t="shared" si="5"/>
        <v>43585</v>
      </c>
      <c r="CX7" s="70">
        <f t="shared" si="5"/>
        <v>43616</v>
      </c>
      <c r="CY7" s="70">
        <f t="shared" si="5"/>
        <v>43646</v>
      </c>
      <c r="CZ7" s="70">
        <f t="shared" si="5"/>
        <v>43677</v>
      </c>
      <c r="DA7" s="70">
        <f t="shared" si="5"/>
        <v>43708</v>
      </c>
      <c r="DB7" s="70">
        <f t="shared" si="5"/>
        <v>43738</v>
      </c>
      <c r="DC7" s="70">
        <f t="shared" si="5"/>
        <v>43769</v>
      </c>
      <c r="DD7" s="70">
        <f t="shared" si="5"/>
        <v>43799</v>
      </c>
      <c r="DE7" s="70">
        <f t="shared" si="5"/>
        <v>43830</v>
      </c>
      <c r="DF7" s="70">
        <f t="shared" si="5"/>
        <v>43861</v>
      </c>
      <c r="DG7" s="70">
        <f t="shared" si="5"/>
        <v>43890</v>
      </c>
      <c r="DH7" s="70">
        <f t="shared" si="5"/>
        <v>43921</v>
      </c>
      <c r="DI7" s="70">
        <f t="shared" si="5"/>
        <v>43951</v>
      </c>
      <c r="DJ7" s="70">
        <f t="shared" si="5"/>
        <v>43982</v>
      </c>
      <c r="DK7" s="70">
        <f t="shared" si="5"/>
        <v>44012</v>
      </c>
      <c r="DL7" s="70">
        <f t="shared" si="5"/>
        <v>44043</v>
      </c>
      <c r="DM7" s="70">
        <f t="shared" si="5"/>
        <v>44074</v>
      </c>
      <c r="DN7" s="70">
        <f t="shared" si="5"/>
        <v>44104</v>
      </c>
      <c r="DO7" s="70">
        <f t="shared" si="5"/>
        <v>44135</v>
      </c>
      <c r="DP7" s="70">
        <f t="shared" si="5"/>
        <v>44165</v>
      </c>
      <c r="DQ7" s="70">
        <f t="shared" si="5"/>
        <v>44196</v>
      </c>
      <c r="DR7" s="70">
        <f t="shared" si="5"/>
        <v>44227</v>
      </c>
      <c r="DS7" s="70">
        <f t="shared" si="5"/>
        <v>44255</v>
      </c>
      <c r="DT7" s="70">
        <f t="shared" si="5"/>
        <v>44286</v>
      </c>
      <c r="DU7" s="70">
        <f t="shared" si="5"/>
        <v>44316</v>
      </c>
      <c r="DV7" s="70">
        <f t="shared" si="5"/>
        <v>44347</v>
      </c>
      <c r="DW7" s="70">
        <f t="shared" si="5"/>
        <v>44377</v>
      </c>
      <c r="DX7" s="70">
        <f t="shared" si="5"/>
        <v>44408</v>
      </c>
      <c r="DY7" s="70">
        <f t="shared" si="5"/>
        <v>44439</v>
      </c>
      <c r="DZ7" s="70">
        <f t="shared" si="5"/>
        <v>44469</v>
      </c>
      <c r="EA7" s="70">
        <f t="shared" si="5"/>
        <v>44500</v>
      </c>
      <c r="EB7" s="70">
        <f t="shared" si="5"/>
        <v>44530</v>
      </c>
      <c r="EC7" s="70">
        <f t="shared" si="5"/>
        <v>44561</v>
      </c>
      <c r="ED7" s="70">
        <f t="shared" si="5"/>
        <v>44592</v>
      </c>
      <c r="EE7" s="70">
        <f t="shared" si="5"/>
        <v>44620</v>
      </c>
      <c r="EF7" s="70">
        <f t="shared" si="5"/>
        <v>44651</v>
      </c>
      <c r="EG7" s="70">
        <f t="shared" si="5"/>
        <v>44681</v>
      </c>
      <c r="EH7" s="70">
        <f t="shared" si="5"/>
        <v>44712</v>
      </c>
      <c r="EI7" s="70">
        <f t="shared" si="5"/>
        <v>44742</v>
      </c>
      <c r="EJ7" s="70">
        <f t="shared" si="5"/>
        <v>44773</v>
      </c>
      <c r="EK7" s="70">
        <f t="shared" si="5"/>
        <v>44804</v>
      </c>
      <c r="EL7" s="70">
        <f t="shared" si="5"/>
        <v>44834</v>
      </c>
      <c r="EM7" s="70">
        <f t="shared" si="5"/>
        <v>44865</v>
      </c>
      <c r="EN7" s="70">
        <f t="shared" si="5"/>
        <v>44895</v>
      </c>
      <c r="EO7" s="70">
        <f t="shared" si="5"/>
        <v>44926</v>
      </c>
      <c r="EP7" s="70">
        <f t="shared" si="5"/>
        <v>44957</v>
      </c>
      <c r="EQ7" s="70">
        <f t="shared" si="5"/>
        <v>44985</v>
      </c>
      <c r="ES7" s="421"/>
      <c r="ET7" s="63"/>
    </row>
    <row r="8" spans="1:151" ht="11.25" customHeight="1">
      <c r="A8" s="65"/>
      <c r="B8" s="617">
        <f>Assumptions!J17</f>
        <v>5</v>
      </c>
      <c r="C8" s="618">
        <f>Assumptions!N17</f>
        <v>0</v>
      </c>
      <c r="D8" s="618">
        <f>SUM(BL36:BW36)</f>
        <v>0</v>
      </c>
      <c r="E8" s="619" t="str">
        <f>IF(SUM(BL36:BW36)-C8=0,"OK","Fix Schedule")</f>
        <v>OK</v>
      </c>
      <c r="F8" s="633"/>
      <c r="J8" s="208"/>
      <c r="K8" s="176"/>
      <c r="L8" s="175"/>
      <c r="M8" s="175"/>
      <c r="N8" s="208"/>
      <c r="O8" s="175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S8" s="421"/>
      <c r="ET8" s="63"/>
    </row>
    <row r="9" spans="1:151" ht="15.75">
      <c r="A9" s="65"/>
      <c r="B9" s="617">
        <f>Assumptions!J18</f>
        <v>6</v>
      </c>
      <c r="C9" s="618">
        <f>Assumptions!N18</f>
        <v>0</v>
      </c>
      <c r="D9" s="618">
        <f>SUM(BX36:CI36)</f>
        <v>0</v>
      </c>
      <c r="E9" s="619" t="str">
        <f>IF(SUM(BX36:CI36)-C9=0,"OK","Fix Schedule")</f>
        <v>OK</v>
      </c>
      <c r="F9" s="633"/>
      <c r="G9" s="241" t="s">
        <v>50</v>
      </c>
      <c r="H9" s="144"/>
      <c r="I9" s="144"/>
      <c r="J9" s="511"/>
      <c r="K9" s="176"/>
      <c r="L9" s="175"/>
      <c r="M9" s="175"/>
      <c r="N9" s="208"/>
      <c r="O9" s="178">
        <f>O6</f>
        <v>40969</v>
      </c>
      <c r="P9" s="178">
        <f>P6</f>
        <v>40969</v>
      </c>
      <c r="Q9" s="178">
        <f>EDATE(P9,1)</f>
        <v>41000</v>
      </c>
      <c r="R9" s="178">
        <f t="shared" ref="R9:CC9" si="6">EDATE(Q9,1)</f>
        <v>41030</v>
      </c>
      <c r="S9" s="178">
        <f t="shared" si="6"/>
        <v>41061</v>
      </c>
      <c r="T9" s="178">
        <f t="shared" si="6"/>
        <v>41091</v>
      </c>
      <c r="U9" s="178">
        <f t="shared" si="6"/>
        <v>41122</v>
      </c>
      <c r="V9" s="178">
        <f t="shared" si="6"/>
        <v>41153</v>
      </c>
      <c r="W9" s="178">
        <f t="shared" si="6"/>
        <v>41183</v>
      </c>
      <c r="X9" s="178">
        <f t="shared" si="6"/>
        <v>41214</v>
      </c>
      <c r="Y9" s="178">
        <f t="shared" si="6"/>
        <v>41244</v>
      </c>
      <c r="Z9" s="178">
        <f t="shared" si="6"/>
        <v>41275</v>
      </c>
      <c r="AA9" s="178">
        <f t="shared" si="6"/>
        <v>41306</v>
      </c>
      <c r="AB9" s="178">
        <f t="shared" si="6"/>
        <v>41334</v>
      </c>
      <c r="AC9" s="178">
        <f t="shared" si="6"/>
        <v>41365</v>
      </c>
      <c r="AD9" s="178">
        <f t="shared" si="6"/>
        <v>41395</v>
      </c>
      <c r="AE9" s="178">
        <f t="shared" si="6"/>
        <v>41426</v>
      </c>
      <c r="AF9" s="178">
        <f t="shared" si="6"/>
        <v>41456</v>
      </c>
      <c r="AG9" s="178">
        <f t="shared" si="6"/>
        <v>41487</v>
      </c>
      <c r="AH9" s="178">
        <f t="shared" si="6"/>
        <v>41518</v>
      </c>
      <c r="AI9" s="178">
        <f t="shared" si="6"/>
        <v>41548</v>
      </c>
      <c r="AJ9" s="178">
        <f t="shared" si="6"/>
        <v>41579</v>
      </c>
      <c r="AK9" s="178">
        <f t="shared" si="6"/>
        <v>41609</v>
      </c>
      <c r="AL9" s="178">
        <f t="shared" si="6"/>
        <v>41640</v>
      </c>
      <c r="AM9" s="178">
        <f t="shared" si="6"/>
        <v>41671</v>
      </c>
      <c r="AN9" s="178">
        <f t="shared" si="6"/>
        <v>41699</v>
      </c>
      <c r="AO9" s="178">
        <f t="shared" si="6"/>
        <v>41730</v>
      </c>
      <c r="AP9" s="178">
        <f t="shared" si="6"/>
        <v>41760</v>
      </c>
      <c r="AQ9" s="178">
        <f t="shared" si="6"/>
        <v>41791</v>
      </c>
      <c r="AR9" s="178">
        <f t="shared" si="6"/>
        <v>41821</v>
      </c>
      <c r="AS9" s="178">
        <f t="shared" si="6"/>
        <v>41852</v>
      </c>
      <c r="AT9" s="178">
        <f t="shared" si="6"/>
        <v>41883</v>
      </c>
      <c r="AU9" s="178">
        <f t="shared" si="6"/>
        <v>41913</v>
      </c>
      <c r="AV9" s="178">
        <f t="shared" si="6"/>
        <v>41944</v>
      </c>
      <c r="AW9" s="178">
        <f t="shared" si="6"/>
        <v>41974</v>
      </c>
      <c r="AX9" s="178">
        <f t="shared" si="6"/>
        <v>42005</v>
      </c>
      <c r="AY9" s="178">
        <f t="shared" si="6"/>
        <v>42036</v>
      </c>
      <c r="AZ9" s="178">
        <f t="shared" si="6"/>
        <v>42064</v>
      </c>
      <c r="BA9" s="178">
        <f t="shared" si="6"/>
        <v>42095</v>
      </c>
      <c r="BB9" s="178">
        <f t="shared" si="6"/>
        <v>42125</v>
      </c>
      <c r="BC9" s="178">
        <f t="shared" si="6"/>
        <v>42156</v>
      </c>
      <c r="BD9" s="178">
        <f t="shared" si="6"/>
        <v>42186</v>
      </c>
      <c r="BE9" s="178">
        <f t="shared" si="6"/>
        <v>42217</v>
      </c>
      <c r="BF9" s="178">
        <f t="shared" si="6"/>
        <v>42248</v>
      </c>
      <c r="BG9" s="178">
        <f t="shared" si="6"/>
        <v>42278</v>
      </c>
      <c r="BH9" s="178">
        <f t="shared" si="6"/>
        <v>42309</v>
      </c>
      <c r="BI9" s="178">
        <f t="shared" si="6"/>
        <v>42339</v>
      </c>
      <c r="BJ9" s="178">
        <f t="shared" si="6"/>
        <v>42370</v>
      </c>
      <c r="BK9" s="178">
        <f t="shared" si="6"/>
        <v>42401</v>
      </c>
      <c r="BL9" s="178">
        <f t="shared" si="6"/>
        <v>42430</v>
      </c>
      <c r="BM9" s="178">
        <f t="shared" si="6"/>
        <v>42461</v>
      </c>
      <c r="BN9" s="178">
        <f t="shared" si="6"/>
        <v>42491</v>
      </c>
      <c r="BO9" s="178">
        <f t="shared" si="6"/>
        <v>42522</v>
      </c>
      <c r="BP9" s="178">
        <f t="shared" si="6"/>
        <v>42552</v>
      </c>
      <c r="BQ9" s="178">
        <f t="shared" si="6"/>
        <v>42583</v>
      </c>
      <c r="BR9" s="178">
        <f t="shared" si="6"/>
        <v>42614</v>
      </c>
      <c r="BS9" s="178">
        <f t="shared" si="6"/>
        <v>42644</v>
      </c>
      <c r="BT9" s="178">
        <f t="shared" si="6"/>
        <v>42675</v>
      </c>
      <c r="BU9" s="178">
        <f t="shared" si="6"/>
        <v>42705</v>
      </c>
      <c r="BV9" s="178">
        <f t="shared" si="6"/>
        <v>42736</v>
      </c>
      <c r="BW9" s="178">
        <f t="shared" si="6"/>
        <v>42767</v>
      </c>
      <c r="BX9" s="178">
        <f t="shared" si="6"/>
        <v>42795</v>
      </c>
      <c r="BY9" s="178">
        <f t="shared" si="6"/>
        <v>42826</v>
      </c>
      <c r="BZ9" s="178">
        <f t="shared" si="6"/>
        <v>42856</v>
      </c>
      <c r="CA9" s="178">
        <f t="shared" si="6"/>
        <v>42887</v>
      </c>
      <c r="CB9" s="178">
        <f t="shared" si="6"/>
        <v>42917</v>
      </c>
      <c r="CC9" s="178">
        <f t="shared" si="6"/>
        <v>42948</v>
      </c>
      <c r="CD9" s="178">
        <f t="shared" ref="CD9:EO9" si="7">EDATE(CC9,1)</f>
        <v>42979</v>
      </c>
      <c r="CE9" s="178">
        <f t="shared" si="7"/>
        <v>43009</v>
      </c>
      <c r="CF9" s="178">
        <f t="shared" si="7"/>
        <v>43040</v>
      </c>
      <c r="CG9" s="178">
        <f t="shared" si="7"/>
        <v>43070</v>
      </c>
      <c r="CH9" s="178">
        <f t="shared" si="7"/>
        <v>43101</v>
      </c>
      <c r="CI9" s="178">
        <f t="shared" si="7"/>
        <v>43132</v>
      </c>
      <c r="CJ9" s="178">
        <f t="shared" si="7"/>
        <v>43160</v>
      </c>
      <c r="CK9" s="178">
        <f t="shared" si="7"/>
        <v>43191</v>
      </c>
      <c r="CL9" s="178">
        <f t="shared" si="7"/>
        <v>43221</v>
      </c>
      <c r="CM9" s="178">
        <f t="shared" si="7"/>
        <v>43252</v>
      </c>
      <c r="CN9" s="178">
        <f t="shared" si="7"/>
        <v>43282</v>
      </c>
      <c r="CO9" s="178">
        <f t="shared" si="7"/>
        <v>43313</v>
      </c>
      <c r="CP9" s="178">
        <f t="shared" si="7"/>
        <v>43344</v>
      </c>
      <c r="CQ9" s="178">
        <f t="shared" si="7"/>
        <v>43374</v>
      </c>
      <c r="CR9" s="178">
        <f t="shared" si="7"/>
        <v>43405</v>
      </c>
      <c r="CS9" s="178">
        <f t="shared" si="7"/>
        <v>43435</v>
      </c>
      <c r="CT9" s="178">
        <f t="shared" si="7"/>
        <v>43466</v>
      </c>
      <c r="CU9" s="178">
        <f t="shared" si="7"/>
        <v>43497</v>
      </c>
      <c r="CV9" s="178">
        <f t="shared" si="7"/>
        <v>43525</v>
      </c>
      <c r="CW9" s="178">
        <f t="shared" si="7"/>
        <v>43556</v>
      </c>
      <c r="CX9" s="178">
        <f t="shared" si="7"/>
        <v>43586</v>
      </c>
      <c r="CY9" s="178">
        <f t="shared" si="7"/>
        <v>43617</v>
      </c>
      <c r="CZ9" s="178">
        <f t="shared" si="7"/>
        <v>43647</v>
      </c>
      <c r="DA9" s="178">
        <f t="shared" si="7"/>
        <v>43678</v>
      </c>
      <c r="DB9" s="178">
        <f t="shared" si="7"/>
        <v>43709</v>
      </c>
      <c r="DC9" s="178">
        <f t="shared" si="7"/>
        <v>43739</v>
      </c>
      <c r="DD9" s="178">
        <f t="shared" si="7"/>
        <v>43770</v>
      </c>
      <c r="DE9" s="178">
        <f t="shared" si="7"/>
        <v>43800</v>
      </c>
      <c r="DF9" s="178">
        <f t="shared" si="7"/>
        <v>43831</v>
      </c>
      <c r="DG9" s="178">
        <f t="shared" si="7"/>
        <v>43862</v>
      </c>
      <c r="DH9" s="178">
        <f t="shared" si="7"/>
        <v>43891</v>
      </c>
      <c r="DI9" s="178">
        <f t="shared" si="7"/>
        <v>43922</v>
      </c>
      <c r="DJ9" s="178">
        <f t="shared" si="7"/>
        <v>43952</v>
      </c>
      <c r="DK9" s="178">
        <f t="shared" si="7"/>
        <v>43983</v>
      </c>
      <c r="DL9" s="178">
        <f t="shared" si="7"/>
        <v>44013</v>
      </c>
      <c r="DM9" s="178">
        <f t="shared" si="7"/>
        <v>44044</v>
      </c>
      <c r="DN9" s="178">
        <f t="shared" si="7"/>
        <v>44075</v>
      </c>
      <c r="DO9" s="178">
        <f t="shared" si="7"/>
        <v>44105</v>
      </c>
      <c r="DP9" s="178">
        <f t="shared" si="7"/>
        <v>44136</v>
      </c>
      <c r="DQ9" s="178">
        <f t="shared" si="7"/>
        <v>44166</v>
      </c>
      <c r="DR9" s="178">
        <f t="shared" si="7"/>
        <v>44197</v>
      </c>
      <c r="DS9" s="178">
        <f t="shared" si="7"/>
        <v>44228</v>
      </c>
      <c r="DT9" s="178">
        <f t="shared" si="7"/>
        <v>44256</v>
      </c>
      <c r="DU9" s="178">
        <f t="shared" si="7"/>
        <v>44287</v>
      </c>
      <c r="DV9" s="178">
        <f t="shared" si="7"/>
        <v>44317</v>
      </c>
      <c r="DW9" s="178">
        <f t="shared" si="7"/>
        <v>44348</v>
      </c>
      <c r="DX9" s="178">
        <f t="shared" si="7"/>
        <v>44378</v>
      </c>
      <c r="DY9" s="178">
        <f t="shared" si="7"/>
        <v>44409</v>
      </c>
      <c r="DZ9" s="178">
        <f t="shared" si="7"/>
        <v>44440</v>
      </c>
      <c r="EA9" s="178">
        <f t="shared" si="7"/>
        <v>44470</v>
      </c>
      <c r="EB9" s="178">
        <f t="shared" si="7"/>
        <v>44501</v>
      </c>
      <c r="EC9" s="178">
        <f t="shared" si="7"/>
        <v>44531</v>
      </c>
      <c r="ED9" s="178">
        <f t="shared" si="7"/>
        <v>44562</v>
      </c>
      <c r="EE9" s="178">
        <f t="shared" si="7"/>
        <v>44593</v>
      </c>
      <c r="EF9" s="178">
        <f t="shared" si="7"/>
        <v>44621</v>
      </c>
      <c r="EG9" s="178">
        <f t="shared" si="7"/>
        <v>44652</v>
      </c>
      <c r="EH9" s="178">
        <f t="shared" si="7"/>
        <v>44682</v>
      </c>
      <c r="EI9" s="178">
        <f t="shared" si="7"/>
        <v>44713</v>
      </c>
      <c r="EJ9" s="178">
        <f t="shared" si="7"/>
        <v>44743</v>
      </c>
      <c r="EK9" s="178">
        <f t="shared" si="7"/>
        <v>44774</v>
      </c>
      <c r="EL9" s="178">
        <f t="shared" si="7"/>
        <v>44805</v>
      </c>
      <c r="EM9" s="178">
        <f t="shared" si="7"/>
        <v>44835</v>
      </c>
      <c r="EN9" s="178">
        <f t="shared" si="7"/>
        <v>44866</v>
      </c>
      <c r="EO9" s="178">
        <f t="shared" si="7"/>
        <v>44896</v>
      </c>
      <c r="EP9" s="178">
        <f>EDATE(EO9,1)</f>
        <v>44927</v>
      </c>
      <c r="EQ9" s="178">
        <f>EDATE(EP9,1)</f>
        <v>44958</v>
      </c>
      <c r="ES9" s="421"/>
      <c r="ET9" s="63"/>
    </row>
    <row r="10" spans="1:151" ht="15.75">
      <c r="A10" s="65"/>
      <c r="B10" s="617">
        <f>Assumptions!J19</f>
        <v>7</v>
      </c>
      <c r="C10" s="618">
        <f>Assumptions!N19</f>
        <v>0</v>
      </c>
      <c r="D10" s="618">
        <f>SUM(CJ36:CU36)</f>
        <v>0</v>
      </c>
      <c r="E10" s="619" t="str">
        <f>IF(SUM(CJ36:CU36)-C10=0,"OK","Fix Schedule")</f>
        <v>OK</v>
      </c>
      <c r="F10" s="633"/>
      <c r="G10" s="242" t="s">
        <v>52</v>
      </c>
      <c r="H10" s="71"/>
      <c r="I10" s="71"/>
      <c r="J10" s="474"/>
      <c r="K10" s="176"/>
      <c r="L10" s="175"/>
      <c r="M10" s="175"/>
      <c r="N10" s="208"/>
      <c r="O10" s="637">
        <v>0</v>
      </c>
      <c r="P10" s="204">
        <v>1</v>
      </c>
      <c r="Q10" s="180">
        <f>P10+1</f>
        <v>2</v>
      </c>
      <c r="R10" s="180">
        <f t="shared" ref="R10:CC10" si="8">Q10+1</f>
        <v>3</v>
      </c>
      <c r="S10" s="180">
        <f t="shared" si="8"/>
        <v>4</v>
      </c>
      <c r="T10" s="180">
        <f t="shared" si="8"/>
        <v>5</v>
      </c>
      <c r="U10" s="180">
        <f t="shared" si="8"/>
        <v>6</v>
      </c>
      <c r="V10" s="180">
        <f t="shared" si="8"/>
        <v>7</v>
      </c>
      <c r="W10" s="180">
        <f t="shared" si="8"/>
        <v>8</v>
      </c>
      <c r="X10" s="180">
        <f t="shared" si="8"/>
        <v>9</v>
      </c>
      <c r="Y10" s="180">
        <f t="shared" si="8"/>
        <v>10</v>
      </c>
      <c r="Z10" s="180">
        <f t="shared" si="8"/>
        <v>11</v>
      </c>
      <c r="AA10" s="180">
        <f t="shared" si="8"/>
        <v>12</v>
      </c>
      <c r="AB10" s="180">
        <f t="shared" si="8"/>
        <v>13</v>
      </c>
      <c r="AC10" s="180">
        <f t="shared" si="8"/>
        <v>14</v>
      </c>
      <c r="AD10" s="180">
        <f t="shared" si="8"/>
        <v>15</v>
      </c>
      <c r="AE10" s="180">
        <f t="shared" si="8"/>
        <v>16</v>
      </c>
      <c r="AF10" s="180">
        <f t="shared" si="8"/>
        <v>17</v>
      </c>
      <c r="AG10" s="180">
        <f t="shared" si="8"/>
        <v>18</v>
      </c>
      <c r="AH10" s="180">
        <f t="shared" si="8"/>
        <v>19</v>
      </c>
      <c r="AI10" s="180">
        <f t="shared" si="8"/>
        <v>20</v>
      </c>
      <c r="AJ10" s="180">
        <f t="shared" si="8"/>
        <v>21</v>
      </c>
      <c r="AK10" s="180">
        <f t="shared" si="8"/>
        <v>22</v>
      </c>
      <c r="AL10" s="180">
        <f t="shared" si="8"/>
        <v>23</v>
      </c>
      <c r="AM10" s="180">
        <f t="shared" si="8"/>
        <v>24</v>
      </c>
      <c r="AN10" s="180">
        <f t="shared" si="8"/>
        <v>25</v>
      </c>
      <c r="AO10" s="180">
        <f t="shared" si="8"/>
        <v>26</v>
      </c>
      <c r="AP10" s="180">
        <f t="shared" si="8"/>
        <v>27</v>
      </c>
      <c r="AQ10" s="180">
        <f t="shared" si="8"/>
        <v>28</v>
      </c>
      <c r="AR10" s="180">
        <f t="shared" si="8"/>
        <v>29</v>
      </c>
      <c r="AS10" s="180">
        <f t="shared" si="8"/>
        <v>30</v>
      </c>
      <c r="AT10" s="180">
        <f t="shared" si="8"/>
        <v>31</v>
      </c>
      <c r="AU10" s="180">
        <f t="shared" si="8"/>
        <v>32</v>
      </c>
      <c r="AV10" s="180">
        <f t="shared" si="8"/>
        <v>33</v>
      </c>
      <c r="AW10" s="180">
        <f t="shared" si="8"/>
        <v>34</v>
      </c>
      <c r="AX10" s="180">
        <f t="shared" si="8"/>
        <v>35</v>
      </c>
      <c r="AY10" s="180">
        <f t="shared" si="8"/>
        <v>36</v>
      </c>
      <c r="AZ10" s="180">
        <f t="shared" si="8"/>
        <v>37</v>
      </c>
      <c r="BA10" s="180">
        <f t="shared" si="8"/>
        <v>38</v>
      </c>
      <c r="BB10" s="180">
        <f t="shared" si="8"/>
        <v>39</v>
      </c>
      <c r="BC10" s="180">
        <f t="shared" si="8"/>
        <v>40</v>
      </c>
      <c r="BD10" s="180">
        <f t="shared" si="8"/>
        <v>41</v>
      </c>
      <c r="BE10" s="180">
        <f t="shared" si="8"/>
        <v>42</v>
      </c>
      <c r="BF10" s="180">
        <f t="shared" si="8"/>
        <v>43</v>
      </c>
      <c r="BG10" s="180">
        <f t="shared" si="8"/>
        <v>44</v>
      </c>
      <c r="BH10" s="180">
        <f t="shared" si="8"/>
        <v>45</v>
      </c>
      <c r="BI10" s="180">
        <f t="shared" si="8"/>
        <v>46</v>
      </c>
      <c r="BJ10" s="180">
        <f t="shared" si="8"/>
        <v>47</v>
      </c>
      <c r="BK10" s="180">
        <f t="shared" si="8"/>
        <v>48</v>
      </c>
      <c r="BL10" s="180">
        <f t="shared" si="8"/>
        <v>49</v>
      </c>
      <c r="BM10" s="180">
        <f t="shared" si="8"/>
        <v>50</v>
      </c>
      <c r="BN10" s="180">
        <f t="shared" si="8"/>
        <v>51</v>
      </c>
      <c r="BO10" s="180">
        <f t="shared" si="8"/>
        <v>52</v>
      </c>
      <c r="BP10" s="180">
        <f t="shared" si="8"/>
        <v>53</v>
      </c>
      <c r="BQ10" s="180">
        <f t="shared" si="8"/>
        <v>54</v>
      </c>
      <c r="BR10" s="180">
        <f t="shared" si="8"/>
        <v>55</v>
      </c>
      <c r="BS10" s="180">
        <f t="shared" si="8"/>
        <v>56</v>
      </c>
      <c r="BT10" s="180">
        <f t="shared" si="8"/>
        <v>57</v>
      </c>
      <c r="BU10" s="180">
        <f t="shared" si="8"/>
        <v>58</v>
      </c>
      <c r="BV10" s="180">
        <f t="shared" si="8"/>
        <v>59</v>
      </c>
      <c r="BW10" s="180">
        <f t="shared" si="8"/>
        <v>60</v>
      </c>
      <c r="BX10" s="180">
        <f t="shared" si="8"/>
        <v>61</v>
      </c>
      <c r="BY10" s="180">
        <f t="shared" si="8"/>
        <v>62</v>
      </c>
      <c r="BZ10" s="180">
        <f t="shared" si="8"/>
        <v>63</v>
      </c>
      <c r="CA10" s="180">
        <f t="shared" si="8"/>
        <v>64</v>
      </c>
      <c r="CB10" s="180">
        <f t="shared" si="8"/>
        <v>65</v>
      </c>
      <c r="CC10" s="180">
        <f t="shared" si="8"/>
        <v>66</v>
      </c>
      <c r="CD10" s="180">
        <f t="shared" ref="CD10:EO10" si="9">CC10+1</f>
        <v>67</v>
      </c>
      <c r="CE10" s="180">
        <f t="shared" si="9"/>
        <v>68</v>
      </c>
      <c r="CF10" s="180">
        <f t="shared" si="9"/>
        <v>69</v>
      </c>
      <c r="CG10" s="180">
        <f t="shared" si="9"/>
        <v>70</v>
      </c>
      <c r="CH10" s="180">
        <f t="shared" si="9"/>
        <v>71</v>
      </c>
      <c r="CI10" s="180">
        <f t="shared" si="9"/>
        <v>72</v>
      </c>
      <c r="CJ10" s="180">
        <f t="shared" si="9"/>
        <v>73</v>
      </c>
      <c r="CK10" s="180">
        <f t="shared" si="9"/>
        <v>74</v>
      </c>
      <c r="CL10" s="180">
        <f t="shared" si="9"/>
        <v>75</v>
      </c>
      <c r="CM10" s="180">
        <f t="shared" si="9"/>
        <v>76</v>
      </c>
      <c r="CN10" s="180">
        <f t="shared" si="9"/>
        <v>77</v>
      </c>
      <c r="CO10" s="180">
        <f t="shared" si="9"/>
        <v>78</v>
      </c>
      <c r="CP10" s="180">
        <f t="shared" si="9"/>
        <v>79</v>
      </c>
      <c r="CQ10" s="180">
        <f t="shared" si="9"/>
        <v>80</v>
      </c>
      <c r="CR10" s="180">
        <f t="shared" si="9"/>
        <v>81</v>
      </c>
      <c r="CS10" s="180">
        <f t="shared" si="9"/>
        <v>82</v>
      </c>
      <c r="CT10" s="180">
        <f t="shared" si="9"/>
        <v>83</v>
      </c>
      <c r="CU10" s="180">
        <f t="shared" si="9"/>
        <v>84</v>
      </c>
      <c r="CV10" s="180">
        <f t="shared" si="9"/>
        <v>85</v>
      </c>
      <c r="CW10" s="180">
        <f t="shared" si="9"/>
        <v>86</v>
      </c>
      <c r="CX10" s="180">
        <f t="shared" si="9"/>
        <v>87</v>
      </c>
      <c r="CY10" s="180">
        <f t="shared" si="9"/>
        <v>88</v>
      </c>
      <c r="CZ10" s="180">
        <f t="shared" si="9"/>
        <v>89</v>
      </c>
      <c r="DA10" s="180">
        <f t="shared" si="9"/>
        <v>90</v>
      </c>
      <c r="DB10" s="180">
        <f t="shared" si="9"/>
        <v>91</v>
      </c>
      <c r="DC10" s="180">
        <f t="shared" si="9"/>
        <v>92</v>
      </c>
      <c r="DD10" s="180">
        <f t="shared" si="9"/>
        <v>93</v>
      </c>
      <c r="DE10" s="180">
        <f t="shared" si="9"/>
        <v>94</v>
      </c>
      <c r="DF10" s="180">
        <f t="shared" si="9"/>
        <v>95</v>
      </c>
      <c r="DG10" s="180">
        <f t="shared" si="9"/>
        <v>96</v>
      </c>
      <c r="DH10" s="180">
        <f t="shared" si="9"/>
        <v>97</v>
      </c>
      <c r="DI10" s="180">
        <f t="shared" si="9"/>
        <v>98</v>
      </c>
      <c r="DJ10" s="180">
        <f t="shared" si="9"/>
        <v>99</v>
      </c>
      <c r="DK10" s="180">
        <f t="shared" si="9"/>
        <v>100</v>
      </c>
      <c r="DL10" s="180">
        <f t="shared" si="9"/>
        <v>101</v>
      </c>
      <c r="DM10" s="180">
        <f t="shared" si="9"/>
        <v>102</v>
      </c>
      <c r="DN10" s="180">
        <f t="shared" si="9"/>
        <v>103</v>
      </c>
      <c r="DO10" s="180">
        <f t="shared" si="9"/>
        <v>104</v>
      </c>
      <c r="DP10" s="180">
        <f t="shared" si="9"/>
        <v>105</v>
      </c>
      <c r="DQ10" s="180">
        <f t="shared" si="9"/>
        <v>106</v>
      </c>
      <c r="DR10" s="180">
        <f t="shared" si="9"/>
        <v>107</v>
      </c>
      <c r="DS10" s="180">
        <f t="shared" si="9"/>
        <v>108</v>
      </c>
      <c r="DT10" s="180">
        <f t="shared" si="9"/>
        <v>109</v>
      </c>
      <c r="DU10" s="180">
        <f t="shared" si="9"/>
        <v>110</v>
      </c>
      <c r="DV10" s="180">
        <f t="shared" si="9"/>
        <v>111</v>
      </c>
      <c r="DW10" s="180">
        <f t="shared" si="9"/>
        <v>112</v>
      </c>
      <c r="DX10" s="180">
        <f t="shared" si="9"/>
        <v>113</v>
      </c>
      <c r="DY10" s="180">
        <f t="shared" si="9"/>
        <v>114</v>
      </c>
      <c r="DZ10" s="180">
        <f t="shared" si="9"/>
        <v>115</v>
      </c>
      <c r="EA10" s="180">
        <f t="shared" si="9"/>
        <v>116</v>
      </c>
      <c r="EB10" s="180">
        <f t="shared" si="9"/>
        <v>117</v>
      </c>
      <c r="EC10" s="180">
        <f t="shared" si="9"/>
        <v>118</v>
      </c>
      <c r="ED10" s="180">
        <f t="shared" si="9"/>
        <v>119</v>
      </c>
      <c r="EE10" s="180">
        <f t="shared" si="9"/>
        <v>120</v>
      </c>
      <c r="EF10" s="180">
        <f t="shared" si="9"/>
        <v>121</v>
      </c>
      <c r="EG10" s="180">
        <f t="shared" si="9"/>
        <v>122</v>
      </c>
      <c r="EH10" s="180">
        <f t="shared" si="9"/>
        <v>123</v>
      </c>
      <c r="EI10" s="180">
        <f t="shared" si="9"/>
        <v>124</v>
      </c>
      <c r="EJ10" s="180">
        <f t="shared" si="9"/>
        <v>125</v>
      </c>
      <c r="EK10" s="180">
        <f t="shared" si="9"/>
        <v>126</v>
      </c>
      <c r="EL10" s="180">
        <f t="shared" si="9"/>
        <v>127</v>
      </c>
      <c r="EM10" s="180">
        <f t="shared" si="9"/>
        <v>128</v>
      </c>
      <c r="EN10" s="180">
        <f t="shared" si="9"/>
        <v>129</v>
      </c>
      <c r="EO10" s="180">
        <f t="shared" si="9"/>
        <v>130</v>
      </c>
      <c r="EP10" s="180">
        <f>EO10+1</f>
        <v>131</v>
      </c>
      <c r="EQ10" s="180">
        <f>EP10+1</f>
        <v>132</v>
      </c>
      <c r="ES10" s="421"/>
      <c r="ET10" s="63"/>
    </row>
    <row r="11" spans="1:151" ht="15.75">
      <c r="A11" s="65"/>
      <c r="B11" s="617">
        <f>Assumptions!J20</f>
        <v>8</v>
      </c>
      <c r="C11" s="618">
        <f>Assumptions!N20</f>
        <v>0</v>
      </c>
      <c r="D11" s="618">
        <f>SUM(CV36:DG36)</f>
        <v>0</v>
      </c>
      <c r="E11" s="619" t="str">
        <f>IF(SUM(CV36:DG36)-C11=0,"OK","Fix Schedule")</f>
        <v>OK</v>
      </c>
      <c r="F11" s="633"/>
      <c r="G11" s="240" t="s">
        <v>63</v>
      </c>
      <c r="H11" s="144"/>
      <c r="I11" s="144"/>
      <c r="J11" s="475"/>
      <c r="K11" s="73"/>
      <c r="L11" s="144"/>
      <c r="M11" s="144"/>
      <c r="N11" s="238"/>
      <c r="O11" s="636">
        <v>0</v>
      </c>
      <c r="P11" s="204">
        <f>ROUNDUP(P10/12,0)</f>
        <v>1</v>
      </c>
      <c r="Q11" s="179">
        <f t="shared" ref="Q11:CB11" si="10">ROUNDUP(Q10/12,0)</f>
        <v>1</v>
      </c>
      <c r="R11" s="179">
        <f t="shared" si="10"/>
        <v>1</v>
      </c>
      <c r="S11" s="142">
        <f t="shared" si="10"/>
        <v>1</v>
      </c>
      <c r="T11" s="142">
        <f t="shared" si="10"/>
        <v>1</v>
      </c>
      <c r="U11" s="142">
        <f t="shared" si="10"/>
        <v>1</v>
      </c>
      <c r="V11" s="142">
        <f t="shared" si="10"/>
        <v>1</v>
      </c>
      <c r="W11" s="142">
        <f t="shared" si="10"/>
        <v>1</v>
      </c>
      <c r="X11" s="142">
        <f t="shared" si="10"/>
        <v>1</v>
      </c>
      <c r="Y11" s="142">
        <f t="shared" si="10"/>
        <v>1</v>
      </c>
      <c r="Z11" s="142">
        <f t="shared" si="10"/>
        <v>1</v>
      </c>
      <c r="AA11" s="142">
        <f t="shared" si="10"/>
        <v>1</v>
      </c>
      <c r="AB11" s="142">
        <f t="shared" si="10"/>
        <v>2</v>
      </c>
      <c r="AC11" s="142">
        <f t="shared" si="10"/>
        <v>2</v>
      </c>
      <c r="AD11" s="142">
        <f t="shared" si="10"/>
        <v>2</v>
      </c>
      <c r="AE11" s="142">
        <f t="shared" si="10"/>
        <v>2</v>
      </c>
      <c r="AF11" s="142">
        <f t="shared" si="10"/>
        <v>2</v>
      </c>
      <c r="AG11" s="142">
        <f t="shared" si="10"/>
        <v>2</v>
      </c>
      <c r="AH11" s="142">
        <f t="shared" si="10"/>
        <v>2</v>
      </c>
      <c r="AI11" s="142">
        <f t="shared" si="10"/>
        <v>2</v>
      </c>
      <c r="AJ11" s="142">
        <f t="shared" si="10"/>
        <v>2</v>
      </c>
      <c r="AK11" s="142">
        <f t="shared" si="10"/>
        <v>2</v>
      </c>
      <c r="AL11" s="142">
        <f t="shared" si="10"/>
        <v>2</v>
      </c>
      <c r="AM11" s="142">
        <f t="shared" si="10"/>
        <v>2</v>
      </c>
      <c r="AN11" s="142">
        <f t="shared" si="10"/>
        <v>3</v>
      </c>
      <c r="AO11" s="142">
        <f t="shared" si="10"/>
        <v>3</v>
      </c>
      <c r="AP11" s="142">
        <f t="shared" si="10"/>
        <v>3</v>
      </c>
      <c r="AQ11" s="142">
        <f t="shared" si="10"/>
        <v>3</v>
      </c>
      <c r="AR11" s="142">
        <f t="shared" si="10"/>
        <v>3</v>
      </c>
      <c r="AS11" s="142">
        <f t="shared" si="10"/>
        <v>3</v>
      </c>
      <c r="AT11" s="142">
        <f t="shared" si="10"/>
        <v>3</v>
      </c>
      <c r="AU11" s="142">
        <f t="shared" si="10"/>
        <v>3</v>
      </c>
      <c r="AV11" s="142">
        <f t="shared" si="10"/>
        <v>3</v>
      </c>
      <c r="AW11" s="142">
        <f t="shared" si="10"/>
        <v>3</v>
      </c>
      <c r="AX11" s="142">
        <f t="shared" si="10"/>
        <v>3</v>
      </c>
      <c r="AY11" s="142">
        <f t="shared" si="10"/>
        <v>3</v>
      </c>
      <c r="AZ11" s="142">
        <f t="shared" si="10"/>
        <v>4</v>
      </c>
      <c r="BA11" s="142">
        <f t="shared" si="10"/>
        <v>4</v>
      </c>
      <c r="BB11" s="142">
        <f t="shared" si="10"/>
        <v>4</v>
      </c>
      <c r="BC11" s="142">
        <f t="shared" si="10"/>
        <v>4</v>
      </c>
      <c r="BD11" s="142">
        <f t="shared" si="10"/>
        <v>4</v>
      </c>
      <c r="BE11" s="142">
        <f t="shared" si="10"/>
        <v>4</v>
      </c>
      <c r="BF11" s="142">
        <f t="shared" si="10"/>
        <v>4</v>
      </c>
      <c r="BG11" s="142">
        <f t="shared" si="10"/>
        <v>4</v>
      </c>
      <c r="BH11" s="142">
        <f t="shared" si="10"/>
        <v>4</v>
      </c>
      <c r="BI11" s="142">
        <f t="shared" si="10"/>
        <v>4</v>
      </c>
      <c r="BJ11" s="142">
        <f t="shared" si="10"/>
        <v>4</v>
      </c>
      <c r="BK11" s="142">
        <f t="shared" si="10"/>
        <v>4</v>
      </c>
      <c r="BL11" s="142">
        <f t="shared" si="10"/>
        <v>5</v>
      </c>
      <c r="BM11" s="142">
        <f t="shared" si="10"/>
        <v>5</v>
      </c>
      <c r="BN11" s="142">
        <f t="shared" si="10"/>
        <v>5</v>
      </c>
      <c r="BO11" s="142">
        <f t="shared" si="10"/>
        <v>5</v>
      </c>
      <c r="BP11" s="142">
        <f t="shared" si="10"/>
        <v>5</v>
      </c>
      <c r="BQ11" s="142">
        <f t="shared" si="10"/>
        <v>5</v>
      </c>
      <c r="BR11" s="142">
        <f t="shared" si="10"/>
        <v>5</v>
      </c>
      <c r="BS11" s="142">
        <f t="shared" si="10"/>
        <v>5</v>
      </c>
      <c r="BT11" s="142">
        <f t="shared" si="10"/>
        <v>5</v>
      </c>
      <c r="BU11" s="142">
        <f t="shared" si="10"/>
        <v>5</v>
      </c>
      <c r="BV11" s="142">
        <f t="shared" si="10"/>
        <v>5</v>
      </c>
      <c r="BW11" s="142">
        <f t="shared" si="10"/>
        <v>5</v>
      </c>
      <c r="BX11" s="142">
        <f t="shared" si="10"/>
        <v>6</v>
      </c>
      <c r="BY11" s="142">
        <f t="shared" si="10"/>
        <v>6</v>
      </c>
      <c r="BZ11" s="142">
        <f t="shared" si="10"/>
        <v>6</v>
      </c>
      <c r="CA11" s="142">
        <f t="shared" si="10"/>
        <v>6</v>
      </c>
      <c r="CB11" s="142">
        <f t="shared" si="10"/>
        <v>6</v>
      </c>
      <c r="CC11" s="142">
        <f t="shared" ref="CC11:EN11" si="11">ROUNDUP(CC10/12,0)</f>
        <v>6</v>
      </c>
      <c r="CD11" s="142">
        <f t="shared" si="11"/>
        <v>6</v>
      </c>
      <c r="CE11" s="142">
        <f t="shared" si="11"/>
        <v>6</v>
      </c>
      <c r="CF11" s="142">
        <f t="shared" si="11"/>
        <v>6</v>
      </c>
      <c r="CG11" s="142">
        <f t="shared" si="11"/>
        <v>6</v>
      </c>
      <c r="CH11" s="142">
        <f t="shared" si="11"/>
        <v>6</v>
      </c>
      <c r="CI11" s="142">
        <f t="shared" si="11"/>
        <v>6</v>
      </c>
      <c r="CJ11" s="142">
        <f t="shared" si="11"/>
        <v>7</v>
      </c>
      <c r="CK11" s="142">
        <f t="shared" si="11"/>
        <v>7</v>
      </c>
      <c r="CL11" s="142">
        <f t="shared" si="11"/>
        <v>7</v>
      </c>
      <c r="CM11" s="142">
        <f t="shared" si="11"/>
        <v>7</v>
      </c>
      <c r="CN11" s="142">
        <f t="shared" si="11"/>
        <v>7</v>
      </c>
      <c r="CO11" s="142">
        <f t="shared" si="11"/>
        <v>7</v>
      </c>
      <c r="CP11" s="142">
        <f t="shared" si="11"/>
        <v>7</v>
      </c>
      <c r="CQ11" s="142">
        <f t="shared" si="11"/>
        <v>7</v>
      </c>
      <c r="CR11" s="142">
        <f t="shared" si="11"/>
        <v>7</v>
      </c>
      <c r="CS11" s="142">
        <f t="shared" si="11"/>
        <v>7</v>
      </c>
      <c r="CT11" s="142">
        <f t="shared" si="11"/>
        <v>7</v>
      </c>
      <c r="CU11" s="142">
        <f t="shared" si="11"/>
        <v>7</v>
      </c>
      <c r="CV11" s="142">
        <f t="shared" si="11"/>
        <v>8</v>
      </c>
      <c r="CW11" s="142">
        <f t="shared" si="11"/>
        <v>8</v>
      </c>
      <c r="CX11" s="142">
        <f t="shared" si="11"/>
        <v>8</v>
      </c>
      <c r="CY11" s="142">
        <f t="shared" si="11"/>
        <v>8</v>
      </c>
      <c r="CZ11" s="142">
        <f t="shared" si="11"/>
        <v>8</v>
      </c>
      <c r="DA11" s="142">
        <f t="shared" si="11"/>
        <v>8</v>
      </c>
      <c r="DB11" s="142">
        <f t="shared" si="11"/>
        <v>8</v>
      </c>
      <c r="DC11" s="142">
        <f t="shared" si="11"/>
        <v>8</v>
      </c>
      <c r="DD11" s="142">
        <f t="shared" si="11"/>
        <v>8</v>
      </c>
      <c r="DE11" s="142">
        <f t="shared" si="11"/>
        <v>8</v>
      </c>
      <c r="DF11" s="142">
        <f t="shared" si="11"/>
        <v>8</v>
      </c>
      <c r="DG11" s="142">
        <f t="shared" si="11"/>
        <v>8</v>
      </c>
      <c r="DH11" s="142">
        <f t="shared" si="11"/>
        <v>9</v>
      </c>
      <c r="DI11" s="142">
        <f t="shared" si="11"/>
        <v>9</v>
      </c>
      <c r="DJ11" s="142">
        <f t="shared" si="11"/>
        <v>9</v>
      </c>
      <c r="DK11" s="142">
        <f t="shared" si="11"/>
        <v>9</v>
      </c>
      <c r="DL11" s="142">
        <f t="shared" si="11"/>
        <v>9</v>
      </c>
      <c r="DM11" s="142">
        <f t="shared" si="11"/>
        <v>9</v>
      </c>
      <c r="DN11" s="142">
        <f t="shared" si="11"/>
        <v>9</v>
      </c>
      <c r="DO11" s="142">
        <f t="shared" si="11"/>
        <v>9</v>
      </c>
      <c r="DP11" s="142">
        <f t="shared" si="11"/>
        <v>9</v>
      </c>
      <c r="DQ11" s="142">
        <f t="shared" si="11"/>
        <v>9</v>
      </c>
      <c r="DR11" s="142">
        <f t="shared" si="11"/>
        <v>9</v>
      </c>
      <c r="DS11" s="142">
        <f t="shared" si="11"/>
        <v>9</v>
      </c>
      <c r="DT11" s="142">
        <f t="shared" si="11"/>
        <v>10</v>
      </c>
      <c r="DU11" s="142">
        <f t="shared" si="11"/>
        <v>10</v>
      </c>
      <c r="DV11" s="142">
        <f t="shared" si="11"/>
        <v>10</v>
      </c>
      <c r="DW11" s="142">
        <f t="shared" si="11"/>
        <v>10</v>
      </c>
      <c r="DX11" s="142">
        <f t="shared" si="11"/>
        <v>10</v>
      </c>
      <c r="DY11" s="142">
        <f t="shared" si="11"/>
        <v>10</v>
      </c>
      <c r="DZ11" s="142">
        <f t="shared" si="11"/>
        <v>10</v>
      </c>
      <c r="EA11" s="142">
        <f t="shared" si="11"/>
        <v>10</v>
      </c>
      <c r="EB11" s="142">
        <f t="shared" si="11"/>
        <v>10</v>
      </c>
      <c r="EC11" s="142">
        <f t="shared" si="11"/>
        <v>10</v>
      </c>
      <c r="ED11" s="142">
        <f t="shared" si="11"/>
        <v>10</v>
      </c>
      <c r="EE11" s="142">
        <f t="shared" si="11"/>
        <v>10</v>
      </c>
      <c r="EF11" s="142">
        <f t="shared" si="11"/>
        <v>11</v>
      </c>
      <c r="EG11" s="142">
        <f t="shared" si="11"/>
        <v>11</v>
      </c>
      <c r="EH11" s="142">
        <f t="shared" si="11"/>
        <v>11</v>
      </c>
      <c r="EI11" s="142">
        <f t="shared" si="11"/>
        <v>11</v>
      </c>
      <c r="EJ11" s="142">
        <f t="shared" si="11"/>
        <v>11</v>
      </c>
      <c r="EK11" s="142">
        <f t="shared" si="11"/>
        <v>11</v>
      </c>
      <c r="EL11" s="142">
        <f t="shared" si="11"/>
        <v>11</v>
      </c>
      <c r="EM11" s="142">
        <f t="shared" si="11"/>
        <v>11</v>
      </c>
      <c r="EN11" s="142">
        <f t="shared" si="11"/>
        <v>11</v>
      </c>
      <c r="EO11" s="142">
        <f>ROUNDUP(EO10/12,0)</f>
        <v>11</v>
      </c>
      <c r="EP11" s="142">
        <f>ROUNDUP(EP10/12,0)</f>
        <v>11</v>
      </c>
      <c r="EQ11" s="142">
        <f>ROUNDUP(EQ10/12,0)</f>
        <v>11</v>
      </c>
      <c r="ES11" s="421"/>
      <c r="ET11" s="63"/>
      <c r="EU11" s="72"/>
    </row>
    <row r="12" spans="1:151" ht="19.5" customHeight="1">
      <c r="A12" s="65"/>
      <c r="B12" s="617">
        <f>Assumptions!J21</f>
        <v>9</v>
      </c>
      <c r="C12" s="618">
        <f>Assumptions!N21</f>
        <v>0</v>
      </c>
      <c r="D12" s="618">
        <f>SUM(DH36:DS36)</f>
        <v>0</v>
      </c>
      <c r="E12" s="619" t="str">
        <f>IF(SUM(DH36:DS36)-C12=0,"OK","Fix Schedule")</f>
        <v>OK</v>
      </c>
      <c r="F12" s="633"/>
      <c r="G12" s="73"/>
      <c r="H12" s="74" t="s">
        <v>143</v>
      </c>
      <c r="I12" s="75"/>
      <c r="J12" s="476"/>
      <c r="K12" s="76"/>
      <c r="L12" s="77"/>
      <c r="M12" s="77"/>
      <c r="N12" s="209">
        <f>N35/SF/12</f>
        <v>1.2576719576719577</v>
      </c>
      <c r="O12" s="77">
        <v>0</v>
      </c>
      <c r="P12" s="77">
        <f>P35/SF</f>
        <v>1.2817460317460319</v>
      </c>
      <c r="Q12" s="77">
        <f>IF(Q11-P11&gt;0,P12*(1+VLOOKUP(Q11,Assumptions!$J$13:$L$23,3,FALSE)),P12)</f>
        <v>1.2817460317460319</v>
      </c>
      <c r="R12" s="77">
        <f>IF(R11-Q11&gt;0,Q12*(1+VLOOKUP(R11,Assumptions!$J$13:$L$23,3,FALSE)),Q12)</f>
        <v>1.2817460317460319</v>
      </c>
      <c r="S12" s="77">
        <f>IF(S11-R11&gt;0,R12*(1+VLOOKUP(S11,Assumptions!$J$13:$L$23,3,FALSE)),R12)</f>
        <v>1.2817460317460319</v>
      </c>
      <c r="T12" s="77">
        <f>IF(T11-S11&gt;0,S12*(1+VLOOKUP(T11,Assumptions!$J$13:$L$23,3,FALSE)),S12)</f>
        <v>1.2817460317460319</v>
      </c>
      <c r="U12" s="77">
        <f>IF(U11-T11&gt;0,T12*(1+VLOOKUP(U11,Assumptions!$J$13:$L$23,3,FALSE)),T12)</f>
        <v>1.2817460317460319</v>
      </c>
      <c r="V12" s="77">
        <f>IF(V11-U11&gt;0,U12*(1+VLOOKUP(V11,Assumptions!$J$13:$L$23,3,FALSE)),U12)</f>
        <v>1.2817460317460319</v>
      </c>
      <c r="W12" s="77">
        <f>IF(W11-V11&gt;0,V12*(1+VLOOKUP(W11,Assumptions!$J$13:$L$23,3,FALSE)),V12)</f>
        <v>1.2817460317460319</v>
      </c>
      <c r="X12" s="77">
        <f>IF(X11-W11&gt;0,W12*(1+VLOOKUP(X11,Assumptions!$J$13:$L$23,3,FALSE)),W12)</f>
        <v>1.2817460317460319</v>
      </c>
      <c r="Y12" s="77">
        <f>IF(Y11-X11&gt;0,X12*(1+VLOOKUP(Y11,Assumptions!$J$13:$L$23,3,FALSE)),X12)</f>
        <v>1.2817460317460319</v>
      </c>
      <c r="Z12" s="77">
        <f>IF(Z11-Y11&gt;0,Y12*(1+VLOOKUP(Z11,Assumptions!$J$13:$L$23,3,FALSE)),Y12)</f>
        <v>1.2817460317460319</v>
      </c>
      <c r="AA12" s="77">
        <f>IF(AA11-Z11&gt;0,Z12*(1+VLOOKUP(AA11,Assumptions!$J$13:$L$23,3,FALSE)),Z12)</f>
        <v>1.2817460317460319</v>
      </c>
      <c r="AB12" s="77">
        <f>IF(AB11-AA11&gt;0,AA12*(1+VLOOKUP(AB11,Assumptions!$J$13:$L$23,3,FALSE)),AA12)</f>
        <v>1.3419880952380954</v>
      </c>
      <c r="AC12" s="77">
        <f>IF(AC11-AB11&gt;0,AB12*(1+VLOOKUP(AC11,Assumptions!$J$13:$L$23,3,FALSE)),AB12)</f>
        <v>1.3419880952380954</v>
      </c>
      <c r="AD12" s="77">
        <f>IF(AD11-AC11&gt;0,AC12*(1+VLOOKUP(AD11,Assumptions!$J$13:$L$23,3,FALSE)),AC12)</f>
        <v>1.3419880952380954</v>
      </c>
      <c r="AE12" s="77">
        <f>IF(AE11-AD11&gt;0,AD12*(1+VLOOKUP(AE11,Assumptions!$J$13:$L$23,3,FALSE)),AD12)</f>
        <v>1.3419880952380954</v>
      </c>
      <c r="AF12" s="77">
        <f>IF(AF11-AE11&gt;0,AE12*(1+VLOOKUP(AF11,Assumptions!$J$13:$L$23,3,FALSE)),AE12)</f>
        <v>1.3419880952380954</v>
      </c>
      <c r="AG12" s="77">
        <f>IF(AG11-AF11&gt;0,AF12*(1+VLOOKUP(AG11,Assumptions!$J$13:$L$23,3,FALSE)),AF12)</f>
        <v>1.3419880952380954</v>
      </c>
      <c r="AH12" s="77">
        <f>IF(AH11-AG11&gt;0,AG12*(1+VLOOKUP(AH11,Assumptions!$J$13:$L$23,3,FALSE)),AG12)</f>
        <v>1.3419880952380954</v>
      </c>
      <c r="AI12" s="77">
        <f>IF(AI11-AH11&gt;0,AH12*(1+VLOOKUP(AI11,Assumptions!$J$13:$L$23,3,FALSE)),AH12)</f>
        <v>1.3419880952380954</v>
      </c>
      <c r="AJ12" s="77">
        <f>IF(AJ11-AI11&gt;0,AI12*(1+VLOOKUP(AJ11,Assumptions!$J$13:$L$23,3,FALSE)),AI12)</f>
        <v>1.3419880952380954</v>
      </c>
      <c r="AK12" s="77">
        <f>IF(AK11-AJ11&gt;0,AJ12*(1+VLOOKUP(AK11,Assumptions!$J$13:$L$23,3,FALSE)),AJ12)</f>
        <v>1.3419880952380954</v>
      </c>
      <c r="AL12" s="77">
        <f>IF(AL11-AK11&gt;0,AK12*(1+VLOOKUP(AL11,Assumptions!$J$13:$L$23,3,FALSE)),AK12)</f>
        <v>1.3419880952380954</v>
      </c>
      <c r="AM12" s="77">
        <f>IF(AM11-AL11&gt;0,AL12*(1+VLOOKUP(AM11,Assumptions!$J$13:$L$23,3,FALSE)),AL12)</f>
        <v>1.3419880952380954</v>
      </c>
      <c r="AN12" s="77">
        <f>IF(AN11-AM11&gt;0,AM12*(1+VLOOKUP(AN11,Assumptions!$J$13:$L$23,3,FALSE)),AM12)</f>
        <v>1.4050615357142857</v>
      </c>
      <c r="AO12" s="77">
        <f>IF(AO11-AN11&gt;0,AN12*(1+VLOOKUP(AO11,Assumptions!$J$13:$L$23,3,FALSE)),AN12)</f>
        <v>1.4050615357142857</v>
      </c>
      <c r="AP12" s="77">
        <f>IF(AP11-AO11&gt;0,AO12*(1+VLOOKUP(AP11,Assumptions!$J$13:$L$23,3,FALSE)),AO12)</f>
        <v>1.4050615357142857</v>
      </c>
      <c r="AQ12" s="77">
        <f>IF(AQ11-AP11&gt;0,AP12*(1+VLOOKUP(AQ11,Assumptions!$J$13:$L$23,3,FALSE)),AP12)</f>
        <v>1.4050615357142857</v>
      </c>
      <c r="AR12" s="77">
        <f>IF(AR11-AQ11&gt;0,AQ12*(1+VLOOKUP(AR11,Assumptions!$J$13:$L$23,3,FALSE)),AQ12)</f>
        <v>1.4050615357142857</v>
      </c>
      <c r="AS12" s="77">
        <f>IF(AS11-AR11&gt;0,AR12*(1+VLOOKUP(AS11,Assumptions!$J$13:$L$23,3,FALSE)),AR12)</f>
        <v>1.4050615357142857</v>
      </c>
      <c r="AT12" s="77">
        <f>IF(AT11-AS11&gt;0,AS12*(1+VLOOKUP(AT11,Assumptions!$J$13:$L$23,3,FALSE)),AS12)</f>
        <v>1.4050615357142857</v>
      </c>
      <c r="AU12" s="77">
        <f>IF(AU11-AT11&gt;0,AT12*(1+VLOOKUP(AU11,Assumptions!$J$13:$L$23,3,FALSE)),AT12)</f>
        <v>1.4050615357142857</v>
      </c>
      <c r="AV12" s="77">
        <f>IF(AV11-AU11&gt;0,AU12*(1+VLOOKUP(AV11,Assumptions!$J$13:$L$23,3,FALSE)),AU12)</f>
        <v>1.4050615357142857</v>
      </c>
      <c r="AW12" s="77">
        <f>IF(AW11-AV11&gt;0,AV12*(1+VLOOKUP(AW11,Assumptions!$J$13:$L$23,3,FALSE)),AV12)</f>
        <v>1.4050615357142857</v>
      </c>
      <c r="AX12" s="77">
        <f>IF(AX11-AW11&gt;0,AW12*(1+VLOOKUP(AX11,Assumptions!$J$13:$L$23,3,FALSE)),AW12)</f>
        <v>1.4050615357142857</v>
      </c>
      <c r="AY12" s="77">
        <f>IF(AY11-AX11&gt;0,AX12*(1+VLOOKUP(AY11,Assumptions!$J$13:$L$23,3,FALSE)),AX12)</f>
        <v>1.4050615357142857</v>
      </c>
      <c r="AZ12" s="77">
        <f>IF(AZ11-AY11&gt;0,AY12*(1+VLOOKUP(AZ11,Assumptions!$J$13:$L$23,3,FALSE)),AY12)</f>
        <v>1.451428566392857</v>
      </c>
      <c r="BA12" s="77">
        <f>IF(BA11-AZ11&gt;0,AZ12*(1+VLOOKUP(BA11,Assumptions!$J$13:$L$23,3,FALSE)),AZ12)</f>
        <v>1.451428566392857</v>
      </c>
      <c r="BB12" s="77">
        <f>IF(BB11-BA11&gt;0,BA12*(1+VLOOKUP(BB11,Assumptions!$J$13:$L$23,3,FALSE)),BA12)</f>
        <v>1.451428566392857</v>
      </c>
      <c r="BC12" s="77">
        <f>IF(BC11-BB11&gt;0,BB12*(1+VLOOKUP(BC11,Assumptions!$J$13:$L$23,3,FALSE)),BB12)</f>
        <v>1.451428566392857</v>
      </c>
      <c r="BD12" s="77">
        <f>IF(BD11-BC11&gt;0,BC12*(1+VLOOKUP(BD11,Assumptions!$J$13:$L$23,3,FALSE)),BC12)</f>
        <v>1.451428566392857</v>
      </c>
      <c r="BE12" s="77">
        <f>IF(BE11-BD11&gt;0,BD12*(1+VLOOKUP(BE11,Assumptions!$J$13:$L$23,3,FALSE)),BD12)</f>
        <v>1.451428566392857</v>
      </c>
      <c r="BF12" s="77">
        <f>IF(BF11-BE11&gt;0,BE12*(1+VLOOKUP(BF11,Assumptions!$J$13:$L$23,3,FALSE)),BE12)</f>
        <v>1.451428566392857</v>
      </c>
      <c r="BG12" s="77">
        <f>IF(BG11-BF11&gt;0,BF12*(1+VLOOKUP(BG11,Assumptions!$J$13:$L$23,3,FALSE)),BF12)</f>
        <v>1.451428566392857</v>
      </c>
      <c r="BH12" s="77">
        <f>IF(BH11-BG11&gt;0,BG12*(1+VLOOKUP(BH11,Assumptions!$J$13:$L$23,3,FALSE)),BG12)</f>
        <v>1.451428566392857</v>
      </c>
      <c r="BI12" s="77">
        <f>IF(BI11-BH11&gt;0,BH12*(1+VLOOKUP(BI11,Assumptions!$J$13:$L$23,3,FALSE)),BH12)</f>
        <v>1.451428566392857</v>
      </c>
      <c r="BJ12" s="77">
        <f>IF(BJ11-BI11&gt;0,BI12*(1+VLOOKUP(BJ11,Assumptions!$J$13:$L$23,3,FALSE)),BI12)</f>
        <v>1.451428566392857</v>
      </c>
      <c r="BK12" s="77">
        <f>IF(BK11-BJ11&gt;0,BJ12*(1+VLOOKUP(BK11,Assumptions!$J$13:$L$23,3,FALSE)),BJ12)</f>
        <v>1.451428566392857</v>
      </c>
      <c r="BL12" s="77">
        <f>IF(BL11-BK11&gt;0,BK12*(1+VLOOKUP(BL11,Assumptions!$J$13:$L$23,3,FALSE)),BK12)</f>
        <v>1.490617137685464</v>
      </c>
      <c r="BM12" s="77">
        <f>IF(BM11-BL11&gt;0,BL12*(1+VLOOKUP(BM11,Assumptions!$J$13:$L$23,3,FALSE)),BL12)</f>
        <v>1.490617137685464</v>
      </c>
      <c r="BN12" s="77">
        <f>IF(BN11-BM11&gt;0,BM12*(1+VLOOKUP(BN11,Assumptions!$J$13:$L$23,3,FALSE)),BM12)</f>
        <v>1.490617137685464</v>
      </c>
      <c r="BO12" s="77">
        <f>IF(BO11-BN11&gt;0,BN12*(1+VLOOKUP(BO11,Assumptions!$J$13:$L$23,3,FALSE)),BN12)</f>
        <v>1.490617137685464</v>
      </c>
      <c r="BP12" s="77">
        <f>IF(BP11-BO11&gt;0,BO12*(1+VLOOKUP(BP11,Assumptions!$J$13:$L$23,3,FALSE)),BO12)</f>
        <v>1.490617137685464</v>
      </c>
      <c r="BQ12" s="77">
        <f>IF(BQ11-BP11&gt;0,BP12*(1+VLOOKUP(BQ11,Assumptions!$J$13:$L$23,3,FALSE)),BP12)</f>
        <v>1.490617137685464</v>
      </c>
      <c r="BR12" s="77">
        <f>IF(BR11-BQ11&gt;0,BQ12*(1+VLOOKUP(BR11,Assumptions!$J$13:$L$23,3,FALSE)),BQ12)</f>
        <v>1.490617137685464</v>
      </c>
      <c r="BS12" s="77">
        <f>IF(BS11-BR11&gt;0,BR12*(1+VLOOKUP(BS11,Assumptions!$J$13:$L$23,3,FALSE)),BR12)</f>
        <v>1.490617137685464</v>
      </c>
      <c r="BT12" s="77">
        <f>IF(BT11-BS11&gt;0,BS12*(1+VLOOKUP(BT11,Assumptions!$J$13:$L$23,3,FALSE)),BS12)</f>
        <v>1.490617137685464</v>
      </c>
      <c r="BU12" s="77">
        <f>IF(BU11-BT11&gt;0,BT12*(1+VLOOKUP(BU11,Assumptions!$J$13:$L$23,3,FALSE)),BT12)</f>
        <v>1.490617137685464</v>
      </c>
      <c r="BV12" s="77">
        <f>IF(BV11-BU11&gt;0,BU12*(1+VLOOKUP(BV11,Assumptions!$J$13:$L$23,3,FALSE)),BU12)</f>
        <v>1.490617137685464</v>
      </c>
      <c r="BW12" s="77">
        <f>IF(BW11-BV11&gt;0,BV12*(1+VLOOKUP(BW11,Assumptions!$J$13:$L$23,3,FALSE)),BV12)</f>
        <v>1.490617137685464</v>
      </c>
      <c r="BX12" s="77">
        <f>IF(BX11-BW11&gt;0,BW12*(1+VLOOKUP(BX11,Assumptions!$J$13:$L$23,3,FALSE)),BW12)</f>
        <v>1.5353356518160279</v>
      </c>
      <c r="BY12" s="77">
        <f>IF(BY11-BX11&gt;0,BX12*(1+VLOOKUP(BY11,Assumptions!$J$13:$L$23,3,FALSE)),BX12)</f>
        <v>1.5353356518160279</v>
      </c>
      <c r="BZ12" s="77">
        <f>IF(BZ11-BY11&gt;0,BY12*(1+VLOOKUP(BZ11,Assumptions!$J$13:$L$23,3,FALSE)),BY12)</f>
        <v>1.5353356518160279</v>
      </c>
      <c r="CA12" s="77">
        <f>IF(CA11-BZ11&gt;0,BZ12*(1+VLOOKUP(CA11,Assumptions!$J$13:$L$23,3,FALSE)),BZ12)</f>
        <v>1.5353356518160279</v>
      </c>
      <c r="CB12" s="77">
        <f>IF(CB11-CA11&gt;0,CA12*(1+VLOOKUP(CB11,Assumptions!$J$13:$L$23,3,FALSE)),CA12)</f>
        <v>1.5353356518160279</v>
      </c>
      <c r="CC12" s="77">
        <f>IF(CC11-CB11&gt;0,CB12*(1+VLOOKUP(CC11,Assumptions!$J$13:$L$23,3,FALSE)),CB12)</f>
        <v>1.5353356518160279</v>
      </c>
      <c r="CD12" s="77">
        <f>IF(CD11-CC11&gt;0,CC12*(1+VLOOKUP(CD11,Assumptions!$J$13:$L$23,3,FALSE)),CC12)</f>
        <v>1.5353356518160279</v>
      </c>
      <c r="CE12" s="77">
        <f>IF(CE11-CD11&gt;0,CD12*(1+VLOOKUP(CE11,Assumptions!$J$13:$L$23,3,FALSE)),CD12)</f>
        <v>1.5353356518160279</v>
      </c>
      <c r="CF12" s="77">
        <f>IF(CF11-CE11&gt;0,CE12*(1+VLOOKUP(CF11,Assumptions!$J$13:$L$23,3,FALSE)),CE12)</f>
        <v>1.5353356518160279</v>
      </c>
      <c r="CG12" s="77">
        <f>IF(CG11-CF11&gt;0,CF12*(1+VLOOKUP(CG11,Assumptions!$J$13:$L$23,3,FALSE)),CF12)</f>
        <v>1.5353356518160279</v>
      </c>
      <c r="CH12" s="77">
        <f>IF(CH11-CG11&gt;0,CG12*(1+VLOOKUP(CH11,Assumptions!$J$13:$L$23,3,FALSE)),CG12)</f>
        <v>1.5353356518160279</v>
      </c>
      <c r="CI12" s="77">
        <f>IF(CI11-CH11&gt;0,CH12*(1+VLOOKUP(CI11,Assumptions!$J$13:$L$23,3,FALSE)),CH12)</f>
        <v>1.5353356518160279</v>
      </c>
      <c r="CJ12" s="77">
        <f>IF(CJ11-CI11&gt;0,CI12*(1+VLOOKUP(CJ11,Assumptions!$J$13:$L$23,3,FALSE)),CI12)</f>
        <v>1.5813957213705088</v>
      </c>
      <c r="CK12" s="77">
        <f>IF(CK11-CJ11&gt;0,CJ12*(1+VLOOKUP(CK11,Assumptions!$J$13:$L$23,3,FALSE)),CJ12)</f>
        <v>1.5813957213705088</v>
      </c>
      <c r="CL12" s="77">
        <f>IF(CL11-CK11&gt;0,CK12*(1+VLOOKUP(CL11,Assumptions!$J$13:$L$23,3,FALSE)),CK12)</f>
        <v>1.5813957213705088</v>
      </c>
      <c r="CM12" s="77">
        <f>IF(CM11-CL11&gt;0,CL12*(1+VLOOKUP(CM11,Assumptions!$J$13:$L$23,3,FALSE)),CL12)</f>
        <v>1.5813957213705088</v>
      </c>
      <c r="CN12" s="77">
        <f>IF(CN11-CM11&gt;0,CM12*(1+VLOOKUP(CN11,Assumptions!$J$13:$L$23,3,FALSE)),CM12)</f>
        <v>1.5813957213705088</v>
      </c>
      <c r="CO12" s="77">
        <f>IF(CO11-CN11&gt;0,CN12*(1+VLOOKUP(CO11,Assumptions!$J$13:$L$23,3,FALSE)),CN12)</f>
        <v>1.5813957213705088</v>
      </c>
      <c r="CP12" s="77">
        <f>IF(CP11-CO11&gt;0,CO12*(1+VLOOKUP(CP11,Assumptions!$J$13:$L$23,3,FALSE)),CO12)</f>
        <v>1.5813957213705088</v>
      </c>
      <c r="CQ12" s="77">
        <f>IF(CQ11-CP11&gt;0,CP12*(1+VLOOKUP(CQ11,Assumptions!$J$13:$L$23,3,FALSE)),CP12)</f>
        <v>1.5813957213705088</v>
      </c>
      <c r="CR12" s="77">
        <f>IF(CR11-CQ11&gt;0,CQ12*(1+VLOOKUP(CR11,Assumptions!$J$13:$L$23,3,FALSE)),CQ12)</f>
        <v>1.5813957213705088</v>
      </c>
      <c r="CS12" s="77">
        <f>IF(CS11-CR11&gt;0,CR12*(1+VLOOKUP(CS11,Assumptions!$J$13:$L$23,3,FALSE)),CR12)</f>
        <v>1.5813957213705088</v>
      </c>
      <c r="CT12" s="77">
        <f>IF(CT11-CS11&gt;0,CS12*(1+VLOOKUP(CT11,Assumptions!$J$13:$L$23,3,FALSE)),CS12)</f>
        <v>1.5813957213705088</v>
      </c>
      <c r="CU12" s="77">
        <f>IF(CU11-CT11&gt;0,CT12*(1+VLOOKUP(CU11,Assumptions!$J$13:$L$23,3,FALSE)),CT12)</f>
        <v>1.5813957213705088</v>
      </c>
      <c r="CV12" s="77">
        <f>IF(CV11-CU11&gt;0,CU12*(1+VLOOKUP(CV11,Assumptions!$J$13:$L$23,3,FALSE)),CU12)</f>
        <v>1.6288375930116241</v>
      </c>
      <c r="CW12" s="77">
        <f>IF(CW11-CV11&gt;0,CV12*(1+VLOOKUP(CW11,Assumptions!$J$13:$L$23,3,FALSE)),CV12)</f>
        <v>1.6288375930116241</v>
      </c>
      <c r="CX12" s="77">
        <f>IF(CX11-CW11&gt;0,CW12*(1+VLOOKUP(CX11,Assumptions!$J$13:$L$23,3,FALSE)),CW12)</f>
        <v>1.6288375930116241</v>
      </c>
      <c r="CY12" s="77">
        <f>IF(CY11-CX11&gt;0,CX12*(1+VLOOKUP(CY11,Assumptions!$J$13:$L$23,3,FALSE)),CX12)</f>
        <v>1.6288375930116241</v>
      </c>
      <c r="CZ12" s="77">
        <f>IF(CZ11-CY11&gt;0,CY12*(1+VLOOKUP(CZ11,Assumptions!$J$13:$L$23,3,FALSE)),CY12)</f>
        <v>1.6288375930116241</v>
      </c>
      <c r="DA12" s="77">
        <f>IF(DA11-CZ11&gt;0,CZ12*(1+VLOOKUP(DA11,Assumptions!$J$13:$L$23,3,FALSE)),CZ12)</f>
        <v>1.6288375930116241</v>
      </c>
      <c r="DB12" s="77">
        <f>IF(DB11-DA11&gt;0,DA12*(1+VLOOKUP(DB11,Assumptions!$J$13:$L$23,3,FALSE)),DA12)</f>
        <v>1.6288375930116241</v>
      </c>
      <c r="DC12" s="77">
        <f>IF(DC11-DB11&gt;0,DB12*(1+VLOOKUP(DC11,Assumptions!$J$13:$L$23,3,FALSE)),DB12)</f>
        <v>1.6288375930116241</v>
      </c>
      <c r="DD12" s="77">
        <f>IF(DD11-DC11&gt;0,DC12*(1+VLOOKUP(DD11,Assumptions!$J$13:$L$23,3,FALSE)),DC12)</f>
        <v>1.6288375930116241</v>
      </c>
      <c r="DE12" s="77">
        <f>IF(DE11-DD11&gt;0,DD12*(1+VLOOKUP(DE11,Assumptions!$J$13:$L$23,3,FALSE)),DD12)</f>
        <v>1.6288375930116241</v>
      </c>
      <c r="DF12" s="77">
        <f>IF(DF11-DE11&gt;0,DE12*(1+VLOOKUP(DF11,Assumptions!$J$13:$L$23,3,FALSE)),DE12)</f>
        <v>1.6288375930116241</v>
      </c>
      <c r="DG12" s="77">
        <f>IF(DG11-DF11&gt;0,DF12*(1+VLOOKUP(DG11,Assumptions!$J$13:$L$23,3,FALSE)),DF12)</f>
        <v>1.6288375930116241</v>
      </c>
      <c r="DH12" s="77">
        <f>IF(DH11-DG11&gt;0,DG12*(1+VLOOKUP(DH11,Assumptions!$J$13:$L$23,3,FALSE)),DG12)</f>
        <v>1.6777027208019728</v>
      </c>
      <c r="DI12" s="77">
        <f>IF(DI11-DH11&gt;0,DH12*(1+VLOOKUP(DI11,Assumptions!$J$13:$L$23,3,FALSE)),DH12)</f>
        <v>1.6777027208019728</v>
      </c>
      <c r="DJ12" s="77">
        <f>IF(DJ11-DI11&gt;0,DI12*(1+VLOOKUP(DJ11,Assumptions!$J$13:$L$23,3,FALSE)),DI12)</f>
        <v>1.6777027208019728</v>
      </c>
      <c r="DK12" s="77">
        <f>IF(DK11-DJ11&gt;0,DJ12*(1+VLOOKUP(DK11,Assumptions!$J$13:$L$23,3,FALSE)),DJ12)</f>
        <v>1.6777027208019728</v>
      </c>
      <c r="DL12" s="77">
        <f>IF(DL11-DK11&gt;0,DK12*(1+VLOOKUP(DL11,Assumptions!$J$13:$L$23,3,FALSE)),DK12)</f>
        <v>1.6777027208019728</v>
      </c>
      <c r="DM12" s="77">
        <f>IF(DM11-DL11&gt;0,DL12*(1+VLOOKUP(DM11,Assumptions!$J$13:$L$23,3,FALSE)),DL12)</f>
        <v>1.6777027208019728</v>
      </c>
      <c r="DN12" s="77">
        <f>IF(DN11-DM11&gt;0,DM12*(1+VLOOKUP(DN11,Assumptions!$J$13:$L$23,3,FALSE)),DM12)</f>
        <v>1.6777027208019728</v>
      </c>
      <c r="DO12" s="77">
        <f>IF(DO11-DN11&gt;0,DN12*(1+VLOOKUP(DO11,Assumptions!$J$13:$L$23,3,FALSE)),DN12)</f>
        <v>1.6777027208019728</v>
      </c>
      <c r="DP12" s="77">
        <f>IF(DP11-DO11&gt;0,DO12*(1+VLOOKUP(DP11,Assumptions!$J$13:$L$23,3,FALSE)),DO12)</f>
        <v>1.6777027208019728</v>
      </c>
      <c r="DQ12" s="77">
        <f>IF(DQ11-DP11&gt;0,DP12*(1+VLOOKUP(DQ11,Assumptions!$J$13:$L$23,3,FALSE)),DP12)</f>
        <v>1.6777027208019728</v>
      </c>
      <c r="DR12" s="77">
        <f>IF(DR11-DQ11&gt;0,DQ12*(1+VLOOKUP(DR11,Assumptions!$J$13:$L$23,3,FALSE)),DQ12)</f>
        <v>1.6777027208019728</v>
      </c>
      <c r="DS12" s="77">
        <f>IF(DS11-DR11&gt;0,DR12*(1+VLOOKUP(DS11,Assumptions!$J$13:$L$23,3,FALSE)),DR12)</f>
        <v>1.6777027208019728</v>
      </c>
      <c r="DT12" s="77">
        <f>IF(DT11-DS11&gt;0,DS12*(1+VLOOKUP(DT11,Assumptions!$J$13:$L$23,3,FALSE)),DS12)</f>
        <v>1.728033802426032</v>
      </c>
      <c r="DU12" s="77">
        <f>IF(DU11-DT11&gt;0,DT12*(1+VLOOKUP(DU11,Assumptions!$J$13:$L$23,3,FALSE)),DT12)</f>
        <v>1.728033802426032</v>
      </c>
      <c r="DV12" s="77">
        <f>IF(DV11-DU11&gt;0,DU12*(1+VLOOKUP(DV11,Assumptions!$J$13:$L$23,3,FALSE)),DU12)</f>
        <v>1.728033802426032</v>
      </c>
      <c r="DW12" s="77">
        <f>IF(DW11-DV11&gt;0,DV12*(1+VLOOKUP(DW11,Assumptions!$J$13:$L$23,3,FALSE)),DV12)</f>
        <v>1.728033802426032</v>
      </c>
      <c r="DX12" s="77">
        <f>IF(DX11-DW11&gt;0,DW12*(1+VLOOKUP(DX11,Assumptions!$J$13:$L$23,3,FALSE)),DW12)</f>
        <v>1.728033802426032</v>
      </c>
      <c r="DY12" s="77">
        <f>IF(DY11-DX11&gt;0,DX12*(1+VLOOKUP(DY11,Assumptions!$J$13:$L$23,3,FALSE)),DX12)</f>
        <v>1.728033802426032</v>
      </c>
      <c r="DZ12" s="77">
        <f>IF(DZ11-DY11&gt;0,DY12*(1+VLOOKUP(DZ11,Assumptions!$J$13:$L$23,3,FALSE)),DY12)</f>
        <v>1.728033802426032</v>
      </c>
      <c r="EA12" s="77">
        <f>IF(EA11-DZ11&gt;0,DZ12*(1+VLOOKUP(EA11,Assumptions!$J$13:$L$23,3,FALSE)),DZ12)</f>
        <v>1.728033802426032</v>
      </c>
      <c r="EB12" s="77">
        <f>IF(EB11-EA11&gt;0,EA12*(1+VLOOKUP(EB11,Assumptions!$J$13:$L$23,3,FALSE)),EA12)</f>
        <v>1.728033802426032</v>
      </c>
      <c r="EC12" s="77">
        <f>IF(EC11-EB11&gt;0,EB12*(1+VLOOKUP(EC11,Assumptions!$J$13:$L$23,3,FALSE)),EB12)</f>
        <v>1.728033802426032</v>
      </c>
      <c r="ED12" s="77">
        <f>IF(ED11-EC11&gt;0,EC12*(1+VLOOKUP(ED11,Assumptions!$J$13:$L$23,3,FALSE)),EC12)</f>
        <v>1.728033802426032</v>
      </c>
      <c r="EE12" s="77">
        <f>IF(EE11-ED11&gt;0,ED12*(1+VLOOKUP(EE11,Assumptions!$J$13:$L$23,3,FALSE)),ED12)</f>
        <v>1.728033802426032</v>
      </c>
      <c r="EF12" s="77">
        <f>IF(EF11-EE11&gt;0,EE12*(1+VLOOKUP(EF11,Assumptions!$J$13:$L$23,3,FALSE)),EE12)</f>
        <v>1.779874816498813</v>
      </c>
      <c r="EG12" s="77">
        <f>IF(EG11-EF11&gt;0,EF12*(1+VLOOKUP(EG11,Assumptions!$J$13:$L$23,3,FALSE)),EF12)</f>
        <v>1.779874816498813</v>
      </c>
      <c r="EH12" s="77">
        <f>IF(EH11-EG11&gt;0,EG12*(1+VLOOKUP(EH11,Assumptions!$J$13:$L$23,3,FALSE)),EG12)</f>
        <v>1.779874816498813</v>
      </c>
      <c r="EI12" s="77">
        <f>IF(EI11-EH11&gt;0,EH12*(1+VLOOKUP(EI11,Assumptions!$J$13:$L$23,3,FALSE)),EH12)</f>
        <v>1.779874816498813</v>
      </c>
      <c r="EJ12" s="77">
        <f>IF(EJ11-EI11&gt;0,EI12*(1+VLOOKUP(EJ11,Assumptions!$J$13:$L$23,3,FALSE)),EI12)</f>
        <v>1.779874816498813</v>
      </c>
      <c r="EK12" s="77">
        <f>IF(EK11-EJ11&gt;0,EJ12*(1+VLOOKUP(EK11,Assumptions!$J$13:$L$23,3,FALSE)),EJ12)</f>
        <v>1.779874816498813</v>
      </c>
      <c r="EL12" s="77">
        <f>IF(EL11-EK11&gt;0,EK12*(1+VLOOKUP(EL11,Assumptions!$J$13:$L$23,3,FALSE)),EK12)</f>
        <v>1.779874816498813</v>
      </c>
      <c r="EM12" s="77">
        <f>IF(EM11-EL11&gt;0,EL12*(1+VLOOKUP(EM11,Assumptions!$J$13:$L$23,3,FALSE)),EL12)</f>
        <v>1.779874816498813</v>
      </c>
      <c r="EN12" s="77">
        <f>IF(EN11-EM11&gt;0,EM12*(1+VLOOKUP(EN11,Assumptions!$J$13:$L$23,3,FALSE)),EM12)</f>
        <v>1.779874816498813</v>
      </c>
      <c r="EO12" s="77">
        <f>IF(EO11-EN11&gt;0,EN12*(1+VLOOKUP(EO11,Assumptions!$J$13:$L$23,3,FALSE)),EN12)</f>
        <v>1.779874816498813</v>
      </c>
      <c r="EP12" s="77">
        <f>IF(EP11-EO11&gt;0,EO12*(1+VLOOKUP(EP11,Assumptions!$J$13:$L$23,3,FALSE)),EO12)</f>
        <v>1.779874816498813</v>
      </c>
      <c r="EQ12" s="77">
        <f>IF(EQ11-EP11&gt;0,EP12*(1+VLOOKUP(EQ11,Assumptions!$J$13:$L$23,3,FALSE)),EP12)</f>
        <v>1.779874816498813</v>
      </c>
      <c r="ER12" s="78"/>
      <c r="ES12" s="421"/>
      <c r="ET12" s="63"/>
      <c r="EU12" s="79"/>
    </row>
    <row r="13" spans="1:151" ht="15.75">
      <c r="A13" s="65"/>
      <c r="B13" s="617">
        <f>Assumptions!J22</f>
        <v>10</v>
      </c>
      <c r="C13" s="618">
        <f>Assumptions!N22</f>
        <v>0</v>
      </c>
      <c r="D13" s="618">
        <f>SUM(DT36:EE36)</f>
        <v>0</v>
      </c>
      <c r="E13" s="619" t="str">
        <f>IF(SUM(DT36:EE36)-C13=0,"OK","Fix Schedule")</f>
        <v>OK</v>
      </c>
      <c r="F13" s="633"/>
      <c r="G13" s="73"/>
      <c r="H13" s="74" t="s">
        <v>144</v>
      </c>
      <c r="I13" s="75"/>
      <c r="J13" s="477"/>
      <c r="K13" s="80"/>
      <c r="L13" s="81"/>
      <c r="M13" s="81"/>
      <c r="N13" s="210"/>
      <c r="O13" s="81">
        <v>0</v>
      </c>
      <c r="P13" s="82">
        <f t="shared" ref="P13:CA13" ca="1" si="12">P39/unit</f>
        <v>0</v>
      </c>
      <c r="Q13" s="82">
        <f t="shared" ca="1" si="12"/>
        <v>0</v>
      </c>
      <c r="R13" s="82">
        <f t="shared" ca="1" si="12"/>
        <v>0</v>
      </c>
      <c r="S13" s="82">
        <f t="shared" ca="1" si="12"/>
        <v>0</v>
      </c>
      <c r="T13" s="82">
        <f t="shared" ca="1" si="12"/>
        <v>3.3333333333333335</v>
      </c>
      <c r="U13" s="82">
        <f t="shared" ca="1" si="12"/>
        <v>16.666666666666668</v>
      </c>
      <c r="V13" s="82">
        <f t="shared" ca="1" si="12"/>
        <v>33.333333333333336</v>
      </c>
      <c r="W13" s="82">
        <f t="shared" ca="1" si="12"/>
        <v>33.333333333333336</v>
      </c>
      <c r="X13" s="82">
        <f t="shared" ca="1" si="12"/>
        <v>33.333333333333336</v>
      </c>
      <c r="Y13" s="82">
        <f t="shared" ca="1" si="12"/>
        <v>33.333333333333336</v>
      </c>
      <c r="Z13" s="82">
        <f t="shared" ca="1" si="12"/>
        <v>33.333333333333336</v>
      </c>
      <c r="AA13" s="82">
        <f t="shared" ca="1" si="12"/>
        <v>33.333333333333336</v>
      </c>
      <c r="AB13" s="82">
        <f t="shared" ca="1" si="12"/>
        <v>36.086599999999997</v>
      </c>
      <c r="AC13" s="82">
        <f t="shared" ca="1" si="12"/>
        <v>36.086599999999997</v>
      </c>
      <c r="AD13" s="82">
        <f t="shared" ca="1" si="12"/>
        <v>36.086599999999997</v>
      </c>
      <c r="AE13" s="82">
        <f t="shared" ca="1" si="12"/>
        <v>54.129899999999999</v>
      </c>
      <c r="AF13" s="82">
        <f t="shared" ca="1" si="12"/>
        <v>72.173199999999994</v>
      </c>
      <c r="AG13" s="82">
        <f t="shared" ca="1" si="12"/>
        <v>72.173199999999994</v>
      </c>
      <c r="AH13" s="82">
        <f t="shared" ca="1" si="12"/>
        <v>90.216499999999996</v>
      </c>
      <c r="AI13" s="82">
        <f t="shared" ca="1" si="12"/>
        <v>90.216499999999996</v>
      </c>
      <c r="AJ13" s="82">
        <f t="shared" ca="1" si="12"/>
        <v>90.216499999999996</v>
      </c>
      <c r="AK13" s="82">
        <f t="shared" ca="1" si="12"/>
        <v>90.216499999999996</v>
      </c>
      <c r="AL13" s="82">
        <f t="shared" ca="1" si="12"/>
        <v>90.216499999999996</v>
      </c>
      <c r="AM13" s="82">
        <f t="shared" ca="1" si="12"/>
        <v>90.216499999999996</v>
      </c>
      <c r="AN13" s="82">
        <f t="shared" ca="1" si="12"/>
        <v>94.456675500000003</v>
      </c>
      <c r="AO13" s="82">
        <f t="shared" ca="1" si="12"/>
        <v>94.456675500000003</v>
      </c>
      <c r="AP13" s="82">
        <f t="shared" ca="1" si="12"/>
        <v>94.456675500000003</v>
      </c>
      <c r="AQ13" s="82">
        <f t="shared" ca="1" si="12"/>
        <v>94.456675500000003</v>
      </c>
      <c r="AR13" s="82">
        <f t="shared" ca="1" si="12"/>
        <v>94.456675500000003</v>
      </c>
      <c r="AS13" s="82">
        <f t="shared" ca="1" si="12"/>
        <v>94.456675500000003</v>
      </c>
      <c r="AT13" s="82">
        <f t="shared" ca="1" si="12"/>
        <v>109.56974357999999</v>
      </c>
      <c r="AU13" s="82">
        <f t="shared" ca="1" si="12"/>
        <v>109.56974357999999</v>
      </c>
      <c r="AV13" s="82">
        <f t="shared" ca="1" si="12"/>
        <v>113.34801059999999</v>
      </c>
      <c r="AW13" s="82">
        <f t="shared" ca="1" si="12"/>
        <v>113.34801059999999</v>
      </c>
      <c r="AX13" s="82">
        <f t="shared" ca="1" si="12"/>
        <v>113.34801059999999</v>
      </c>
      <c r="AY13" s="82">
        <f t="shared" ca="1" si="12"/>
        <v>113.34801059999999</v>
      </c>
      <c r="AZ13" s="82">
        <f t="shared" ca="1" si="12"/>
        <v>117.08849494979998</v>
      </c>
      <c r="BA13" s="82">
        <f t="shared" ca="1" si="12"/>
        <v>117.08849494979998</v>
      </c>
      <c r="BB13" s="82">
        <f t="shared" ca="1" si="12"/>
        <v>117.08849494979998</v>
      </c>
      <c r="BC13" s="82">
        <f t="shared" ca="1" si="12"/>
        <v>117.08849494979998</v>
      </c>
      <c r="BD13" s="82">
        <f t="shared" ca="1" si="12"/>
        <v>117.08849494979998</v>
      </c>
      <c r="BE13" s="82">
        <f t="shared" ca="1" si="12"/>
        <v>117.08849494979998</v>
      </c>
      <c r="BF13" s="82">
        <f t="shared" ca="1" si="12"/>
        <v>117.08849494979998</v>
      </c>
      <c r="BG13" s="82">
        <f t="shared" ca="1" si="12"/>
        <v>117.08849494979998</v>
      </c>
      <c r="BH13" s="82">
        <f t="shared" ca="1" si="12"/>
        <v>117.08849494979998</v>
      </c>
      <c r="BI13" s="82">
        <f t="shared" ca="1" si="12"/>
        <v>117.08849494979998</v>
      </c>
      <c r="BJ13" s="82">
        <f t="shared" ca="1" si="12"/>
        <v>117.08849494979998</v>
      </c>
      <c r="BK13" s="82">
        <f t="shared" ca="1" si="12"/>
        <v>117.08849494979998</v>
      </c>
      <c r="BL13" s="82">
        <f t="shared" ca="1" si="12"/>
        <v>120.24988431344455</v>
      </c>
      <c r="BM13" s="82">
        <f t="shared" ca="1" si="12"/>
        <v>120.24988431344455</v>
      </c>
      <c r="BN13" s="82">
        <f t="shared" ca="1" si="12"/>
        <v>120.24988431344455</v>
      </c>
      <c r="BO13" s="82">
        <f t="shared" ca="1" si="12"/>
        <v>120.24988431344455</v>
      </c>
      <c r="BP13" s="82">
        <f t="shared" ca="1" si="12"/>
        <v>120.24988431344455</v>
      </c>
      <c r="BQ13" s="82">
        <f t="shared" ca="1" si="12"/>
        <v>120.24988431344455</v>
      </c>
      <c r="BR13" s="82">
        <f t="shared" ca="1" si="12"/>
        <v>120.24988431344455</v>
      </c>
      <c r="BS13" s="82">
        <f t="shared" ca="1" si="12"/>
        <v>120.24988431344455</v>
      </c>
      <c r="BT13" s="82">
        <f t="shared" ca="1" si="12"/>
        <v>120.24988431344455</v>
      </c>
      <c r="BU13" s="82">
        <f t="shared" ca="1" si="12"/>
        <v>120.24988431344455</v>
      </c>
      <c r="BV13" s="82">
        <f t="shared" ca="1" si="12"/>
        <v>120.24988431344455</v>
      </c>
      <c r="BW13" s="82">
        <f t="shared" ca="1" si="12"/>
        <v>120.24988431344455</v>
      </c>
      <c r="BX13" s="82">
        <f t="shared" ca="1" si="12"/>
        <v>123.8573808428479</v>
      </c>
      <c r="BY13" s="82">
        <f t="shared" ca="1" si="12"/>
        <v>123.8573808428479</v>
      </c>
      <c r="BZ13" s="82">
        <f t="shared" ca="1" si="12"/>
        <v>123.8573808428479</v>
      </c>
      <c r="CA13" s="82">
        <f t="shared" ca="1" si="12"/>
        <v>123.8573808428479</v>
      </c>
      <c r="CB13" s="82">
        <f t="shared" ref="CB13:EM13" ca="1" si="13">CB39/unit</f>
        <v>123.8573808428479</v>
      </c>
      <c r="CC13" s="82">
        <f t="shared" ca="1" si="13"/>
        <v>123.8573808428479</v>
      </c>
      <c r="CD13" s="82">
        <f t="shared" ca="1" si="13"/>
        <v>123.8573808428479</v>
      </c>
      <c r="CE13" s="82">
        <f t="shared" ca="1" si="13"/>
        <v>123.8573808428479</v>
      </c>
      <c r="CF13" s="82">
        <f t="shared" ca="1" si="13"/>
        <v>123.8573808428479</v>
      </c>
      <c r="CG13" s="82">
        <f t="shared" ca="1" si="13"/>
        <v>123.8573808428479</v>
      </c>
      <c r="CH13" s="82">
        <f t="shared" ca="1" si="13"/>
        <v>123.8573808428479</v>
      </c>
      <c r="CI13" s="82">
        <f t="shared" ca="1" si="13"/>
        <v>123.8573808428479</v>
      </c>
      <c r="CJ13" s="82">
        <f t="shared" ca="1" si="13"/>
        <v>127.57310226813335</v>
      </c>
      <c r="CK13" s="82">
        <f t="shared" ca="1" si="13"/>
        <v>127.57310226813335</v>
      </c>
      <c r="CL13" s="82">
        <f t="shared" ca="1" si="13"/>
        <v>127.57310226813335</v>
      </c>
      <c r="CM13" s="82">
        <f t="shared" ca="1" si="13"/>
        <v>127.57310226813335</v>
      </c>
      <c r="CN13" s="82">
        <f t="shared" ca="1" si="13"/>
        <v>127.57310226813335</v>
      </c>
      <c r="CO13" s="82">
        <f t="shared" ca="1" si="13"/>
        <v>127.57310226813335</v>
      </c>
      <c r="CP13" s="82">
        <f t="shared" ca="1" si="13"/>
        <v>127.57310226813335</v>
      </c>
      <c r="CQ13" s="82">
        <f t="shared" ca="1" si="13"/>
        <v>127.57310226813335</v>
      </c>
      <c r="CR13" s="82">
        <f t="shared" ca="1" si="13"/>
        <v>127.57310226813335</v>
      </c>
      <c r="CS13" s="82">
        <f t="shared" ca="1" si="13"/>
        <v>127.57310226813335</v>
      </c>
      <c r="CT13" s="82">
        <f t="shared" ca="1" si="13"/>
        <v>127.57310226813335</v>
      </c>
      <c r="CU13" s="82">
        <f t="shared" ca="1" si="13"/>
        <v>127.57310226813335</v>
      </c>
      <c r="CV13" s="82">
        <f t="shared" ca="1" si="13"/>
        <v>131.40029533617732</v>
      </c>
      <c r="CW13" s="82">
        <f t="shared" ca="1" si="13"/>
        <v>131.40029533617732</v>
      </c>
      <c r="CX13" s="82">
        <f t="shared" ca="1" si="13"/>
        <v>131.40029533617732</v>
      </c>
      <c r="CY13" s="82">
        <f t="shared" ca="1" si="13"/>
        <v>131.40029533617732</v>
      </c>
      <c r="CZ13" s="82">
        <f t="shared" ca="1" si="13"/>
        <v>131.40029533617732</v>
      </c>
      <c r="DA13" s="82">
        <f t="shared" ca="1" si="13"/>
        <v>131.40029533617732</v>
      </c>
      <c r="DB13" s="82">
        <f t="shared" ca="1" si="13"/>
        <v>131.40029533617732</v>
      </c>
      <c r="DC13" s="82">
        <f t="shared" ca="1" si="13"/>
        <v>131.40029533617732</v>
      </c>
      <c r="DD13" s="82">
        <f t="shared" ca="1" si="13"/>
        <v>131.40029533617732</v>
      </c>
      <c r="DE13" s="82">
        <f t="shared" ca="1" si="13"/>
        <v>131.40029533617732</v>
      </c>
      <c r="DF13" s="82">
        <f t="shared" ca="1" si="13"/>
        <v>131.40029533617732</v>
      </c>
      <c r="DG13" s="82">
        <f t="shared" ca="1" si="13"/>
        <v>131.40029533617732</v>
      </c>
      <c r="DH13" s="82">
        <f t="shared" ca="1" si="13"/>
        <v>135.34230419626269</v>
      </c>
      <c r="DI13" s="82">
        <f t="shared" ca="1" si="13"/>
        <v>135.34230419626269</v>
      </c>
      <c r="DJ13" s="82">
        <f t="shared" ca="1" si="13"/>
        <v>0</v>
      </c>
      <c r="DK13" s="82">
        <f t="shared" ca="1" si="13"/>
        <v>0</v>
      </c>
      <c r="DL13" s="82">
        <f t="shared" ca="1" si="13"/>
        <v>0</v>
      </c>
      <c r="DM13" s="82">
        <f t="shared" ca="1" si="13"/>
        <v>0</v>
      </c>
      <c r="DN13" s="82">
        <f t="shared" ca="1" si="13"/>
        <v>0</v>
      </c>
      <c r="DO13" s="82">
        <f t="shared" ca="1" si="13"/>
        <v>0</v>
      </c>
      <c r="DP13" s="82">
        <f t="shared" ca="1" si="13"/>
        <v>0</v>
      </c>
      <c r="DQ13" s="82">
        <f t="shared" ca="1" si="13"/>
        <v>0</v>
      </c>
      <c r="DR13" s="82">
        <f t="shared" ca="1" si="13"/>
        <v>0</v>
      </c>
      <c r="DS13" s="82">
        <f t="shared" ca="1" si="13"/>
        <v>0</v>
      </c>
      <c r="DT13" s="82">
        <f t="shared" ca="1" si="13"/>
        <v>0</v>
      </c>
      <c r="DU13" s="82">
        <f t="shared" ca="1" si="13"/>
        <v>0</v>
      </c>
      <c r="DV13" s="82">
        <f t="shared" ca="1" si="13"/>
        <v>0</v>
      </c>
      <c r="DW13" s="82">
        <f t="shared" ca="1" si="13"/>
        <v>0</v>
      </c>
      <c r="DX13" s="82">
        <f t="shared" ca="1" si="13"/>
        <v>0</v>
      </c>
      <c r="DY13" s="82">
        <f t="shared" ca="1" si="13"/>
        <v>0</v>
      </c>
      <c r="DZ13" s="82">
        <f t="shared" ca="1" si="13"/>
        <v>0</v>
      </c>
      <c r="EA13" s="82">
        <f t="shared" ca="1" si="13"/>
        <v>0</v>
      </c>
      <c r="EB13" s="82">
        <f t="shared" ca="1" si="13"/>
        <v>0</v>
      </c>
      <c r="EC13" s="82">
        <f t="shared" ca="1" si="13"/>
        <v>0</v>
      </c>
      <c r="ED13" s="82">
        <f t="shared" ca="1" si="13"/>
        <v>0</v>
      </c>
      <c r="EE13" s="82">
        <f t="shared" ca="1" si="13"/>
        <v>0</v>
      </c>
      <c r="EF13" s="82">
        <f t="shared" ca="1" si="13"/>
        <v>0</v>
      </c>
      <c r="EG13" s="82">
        <f t="shared" ca="1" si="13"/>
        <v>0</v>
      </c>
      <c r="EH13" s="82">
        <f t="shared" ca="1" si="13"/>
        <v>0</v>
      </c>
      <c r="EI13" s="82">
        <f t="shared" ca="1" si="13"/>
        <v>0</v>
      </c>
      <c r="EJ13" s="82">
        <f t="shared" ca="1" si="13"/>
        <v>0</v>
      </c>
      <c r="EK13" s="82">
        <f t="shared" ca="1" si="13"/>
        <v>0</v>
      </c>
      <c r="EL13" s="82">
        <f t="shared" ca="1" si="13"/>
        <v>0</v>
      </c>
      <c r="EM13" s="82">
        <f t="shared" ca="1" si="13"/>
        <v>0</v>
      </c>
      <c r="EN13" s="82">
        <f t="shared" ref="EN13:EQ13" ca="1" si="14">EN39/unit</f>
        <v>0</v>
      </c>
      <c r="EO13" s="82">
        <f t="shared" ca="1" si="14"/>
        <v>0</v>
      </c>
      <c r="EP13" s="82">
        <f t="shared" ca="1" si="14"/>
        <v>0</v>
      </c>
      <c r="EQ13" s="82">
        <f t="shared" ca="1" si="14"/>
        <v>0</v>
      </c>
      <c r="ER13" s="78"/>
      <c r="ES13" s="421"/>
      <c r="ET13" s="63"/>
      <c r="EU13" s="79"/>
    </row>
    <row r="14" spans="1:151" ht="15.75">
      <c r="A14" s="65"/>
      <c r="B14" s="620">
        <f>Assumptions!J23</f>
        <v>11</v>
      </c>
      <c r="C14" s="621">
        <f>Assumptions!N23</f>
        <v>0</v>
      </c>
      <c r="D14" s="621">
        <f>SUM(EF36:EQ36)</f>
        <v>0</v>
      </c>
      <c r="E14" s="622" t="str">
        <f>IF(SUM(EF36:EQ36)-C14=0,"OK","Fix Schedule")</f>
        <v>OK</v>
      </c>
      <c r="F14" s="633"/>
      <c r="G14" s="73"/>
      <c r="H14" s="74" t="s">
        <v>80</v>
      </c>
      <c r="I14" s="75"/>
      <c r="J14" s="478"/>
      <c r="K14" s="83"/>
      <c r="L14" s="5"/>
      <c r="M14" s="5"/>
      <c r="N14" s="682">
        <f>P12/N12-1</f>
        <v>1.9141775347076173E-2</v>
      </c>
      <c r="O14" s="5">
        <v>0</v>
      </c>
      <c r="P14" s="5">
        <f>VLOOKUP(P11,Assumptions!$J$13:$L$23,3,FALSE)</f>
        <v>3.4000000000000002E-2</v>
      </c>
      <c r="Q14" s="5">
        <f>VLOOKUP(Q11,Assumptions!$J$13:$L$23,3,FALSE)</f>
        <v>3.4000000000000002E-2</v>
      </c>
      <c r="R14" s="5">
        <f>VLOOKUP(R11,Assumptions!$J$13:$L$23,3,FALSE)</f>
        <v>3.4000000000000002E-2</v>
      </c>
      <c r="S14" s="5">
        <f>VLOOKUP(S11,Assumptions!$J$13:$L$23,3,FALSE)</f>
        <v>3.4000000000000002E-2</v>
      </c>
      <c r="T14" s="5">
        <f>VLOOKUP(T11,Assumptions!$J$13:$L$23,3,FALSE)</f>
        <v>3.4000000000000002E-2</v>
      </c>
      <c r="U14" s="5">
        <f>VLOOKUP(U11,Assumptions!$J$13:$L$23,3,FALSE)</f>
        <v>3.4000000000000002E-2</v>
      </c>
      <c r="V14" s="5">
        <f>VLOOKUP(V11,Assumptions!$J$13:$L$23,3,FALSE)</f>
        <v>3.4000000000000002E-2</v>
      </c>
      <c r="W14" s="5">
        <f>VLOOKUP(W11,Assumptions!$J$13:$L$23,3,FALSE)</f>
        <v>3.4000000000000002E-2</v>
      </c>
      <c r="X14" s="5">
        <f>VLOOKUP(X11,Assumptions!$J$13:$L$23,3,FALSE)</f>
        <v>3.4000000000000002E-2</v>
      </c>
      <c r="Y14" s="5">
        <f>VLOOKUP(Y11,Assumptions!$J$13:$L$23,3,FALSE)</f>
        <v>3.4000000000000002E-2</v>
      </c>
      <c r="Z14" s="5">
        <f>VLOOKUP(Z11,Assumptions!$J$13:$L$23,3,FALSE)</f>
        <v>3.4000000000000002E-2</v>
      </c>
      <c r="AA14" s="5">
        <f>VLOOKUP(AA11,Assumptions!$J$13:$L$23,3,FALSE)</f>
        <v>3.4000000000000002E-2</v>
      </c>
      <c r="AB14" s="5">
        <f>VLOOKUP(AB11,Assumptions!$J$13:$L$23,3,FALSE)</f>
        <v>4.7E-2</v>
      </c>
      <c r="AC14" s="5">
        <f>VLOOKUP(AC11,Assumptions!$J$13:$L$23,3,FALSE)</f>
        <v>4.7E-2</v>
      </c>
      <c r="AD14" s="5">
        <f>VLOOKUP(AD11,Assumptions!$J$13:$L$23,3,FALSE)</f>
        <v>4.7E-2</v>
      </c>
      <c r="AE14" s="5">
        <f>VLOOKUP(AE11,Assumptions!$J$13:$L$23,3,FALSE)</f>
        <v>4.7E-2</v>
      </c>
      <c r="AF14" s="5">
        <f>VLOOKUP(AF11,Assumptions!$J$13:$L$23,3,FALSE)</f>
        <v>4.7E-2</v>
      </c>
      <c r="AG14" s="5">
        <f>VLOOKUP(AG11,Assumptions!$J$13:$L$23,3,FALSE)</f>
        <v>4.7E-2</v>
      </c>
      <c r="AH14" s="5">
        <f>VLOOKUP(AH11,Assumptions!$J$13:$L$23,3,FALSE)</f>
        <v>4.7E-2</v>
      </c>
      <c r="AI14" s="5">
        <f>VLOOKUP(AI11,Assumptions!$J$13:$L$23,3,FALSE)</f>
        <v>4.7E-2</v>
      </c>
      <c r="AJ14" s="5">
        <f>VLOOKUP(AJ11,Assumptions!$J$13:$L$23,3,FALSE)</f>
        <v>4.7E-2</v>
      </c>
      <c r="AK14" s="5">
        <f>VLOOKUP(AK11,Assumptions!$J$13:$L$23,3,FALSE)</f>
        <v>4.7E-2</v>
      </c>
      <c r="AL14" s="5">
        <f>VLOOKUP(AL11,Assumptions!$J$13:$L$23,3,FALSE)</f>
        <v>4.7E-2</v>
      </c>
      <c r="AM14" s="5">
        <f>VLOOKUP(AM11,Assumptions!$J$13:$L$23,3,FALSE)</f>
        <v>4.7E-2</v>
      </c>
      <c r="AN14" s="5">
        <f>VLOOKUP(AN11,Assumptions!$J$13:$L$23,3,FALSE)</f>
        <v>4.7E-2</v>
      </c>
      <c r="AO14" s="5">
        <f>VLOOKUP(AO11,Assumptions!$J$13:$L$23,3,FALSE)</f>
        <v>4.7E-2</v>
      </c>
      <c r="AP14" s="5">
        <f>VLOOKUP(AP11,Assumptions!$J$13:$L$23,3,FALSE)</f>
        <v>4.7E-2</v>
      </c>
      <c r="AQ14" s="5">
        <f>VLOOKUP(AQ11,Assumptions!$J$13:$L$23,3,FALSE)</f>
        <v>4.7E-2</v>
      </c>
      <c r="AR14" s="5">
        <f>VLOOKUP(AR11,Assumptions!$J$13:$L$23,3,FALSE)</f>
        <v>4.7E-2</v>
      </c>
      <c r="AS14" s="5">
        <f>VLOOKUP(AS11,Assumptions!$J$13:$L$23,3,FALSE)</f>
        <v>4.7E-2</v>
      </c>
      <c r="AT14" s="5">
        <f>VLOOKUP(AT11,Assumptions!$J$13:$L$23,3,FALSE)</f>
        <v>4.7E-2</v>
      </c>
      <c r="AU14" s="5">
        <f>VLOOKUP(AU11,Assumptions!$J$13:$L$23,3,FALSE)</f>
        <v>4.7E-2</v>
      </c>
      <c r="AV14" s="5">
        <f>VLOOKUP(AV11,Assumptions!$J$13:$L$23,3,FALSE)</f>
        <v>4.7E-2</v>
      </c>
      <c r="AW14" s="5">
        <f>VLOOKUP(AW11,Assumptions!$J$13:$L$23,3,FALSE)</f>
        <v>4.7E-2</v>
      </c>
      <c r="AX14" s="5">
        <f>VLOOKUP(AX11,Assumptions!$J$13:$L$23,3,FALSE)</f>
        <v>4.7E-2</v>
      </c>
      <c r="AY14" s="5">
        <f>VLOOKUP(AY11,Assumptions!$J$13:$L$23,3,FALSE)</f>
        <v>4.7E-2</v>
      </c>
      <c r="AZ14" s="5">
        <f>VLOOKUP(AZ11,Assumptions!$J$13:$L$23,3,FALSE)</f>
        <v>3.3000000000000002E-2</v>
      </c>
      <c r="BA14" s="5">
        <f>VLOOKUP(BA11,Assumptions!$J$13:$L$23,3,FALSE)</f>
        <v>3.3000000000000002E-2</v>
      </c>
      <c r="BB14" s="5">
        <f>VLOOKUP(BB11,Assumptions!$J$13:$L$23,3,FALSE)</f>
        <v>3.3000000000000002E-2</v>
      </c>
      <c r="BC14" s="5">
        <f>VLOOKUP(BC11,Assumptions!$J$13:$L$23,3,FALSE)</f>
        <v>3.3000000000000002E-2</v>
      </c>
      <c r="BD14" s="5">
        <f>VLOOKUP(BD11,Assumptions!$J$13:$L$23,3,FALSE)</f>
        <v>3.3000000000000002E-2</v>
      </c>
      <c r="BE14" s="5">
        <f>VLOOKUP(BE11,Assumptions!$J$13:$L$23,3,FALSE)</f>
        <v>3.3000000000000002E-2</v>
      </c>
      <c r="BF14" s="5">
        <f>VLOOKUP(BF11,Assumptions!$J$13:$L$23,3,FALSE)</f>
        <v>3.3000000000000002E-2</v>
      </c>
      <c r="BG14" s="5">
        <f>VLOOKUP(BG11,Assumptions!$J$13:$L$23,3,FALSE)</f>
        <v>3.3000000000000002E-2</v>
      </c>
      <c r="BH14" s="5">
        <f>VLOOKUP(BH11,Assumptions!$J$13:$L$23,3,FALSE)</f>
        <v>3.3000000000000002E-2</v>
      </c>
      <c r="BI14" s="5">
        <f>VLOOKUP(BI11,Assumptions!$J$13:$L$23,3,FALSE)</f>
        <v>3.3000000000000002E-2</v>
      </c>
      <c r="BJ14" s="5">
        <f>VLOOKUP(BJ11,Assumptions!$J$13:$L$23,3,FALSE)</f>
        <v>3.3000000000000002E-2</v>
      </c>
      <c r="BK14" s="5">
        <f>VLOOKUP(BK11,Assumptions!$J$13:$L$23,3,FALSE)</f>
        <v>3.3000000000000002E-2</v>
      </c>
      <c r="BL14" s="5">
        <f>VLOOKUP(BL11,Assumptions!$J$13:$L$23,3,FALSE)</f>
        <v>2.7E-2</v>
      </c>
      <c r="BM14" s="5">
        <f>VLOOKUP(BM11,Assumptions!$J$13:$L$23,3,FALSE)</f>
        <v>2.7E-2</v>
      </c>
      <c r="BN14" s="5">
        <f>VLOOKUP(BN11,Assumptions!$J$13:$L$23,3,FALSE)</f>
        <v>2.7E-2</v>
      </c>
      <c r="BO14" s="5">
        <f>VLOOKUP(BO11,Assumptions!$J$13:$L$23,3,FALSE)</f>
        <v>2.7E-2</v>
      </c>
      <c r="BP14" s="5">
        <f>VLOOKUP(BP11,Assumptions!$J$13:$L$23,3,FALSE)</f>
        <v>2.7E-2</v>
      </c>
      <c r="BQ14" s="5">
        <f>VLOOKUP(BQ11,Assumptions!$J$13:$L$23,3,FALSE)</f>
        <v>2.7E-2</v>
      </c>
      <c r="BR14" s="5">
        <f>VLOOKUP(BR11,Assumptions!$J$13:$L$23,3,FALSE)</f>
        <v>2.7E-2</v>
      </c>
      <c r="BS14" s="5">
        <f>VLOOKUP(BS11,Assumptions!$J$13:$L$23,3,FALSE)</f>
        <v>2.7E-2</v>
      </c>
      <c r="BT14" s="5">
        <f>VLOOKUP(BT11,Assumptions!$J$13:$L$23,3,FALSE)</f>
        <v>2.7E-2</v>
      </c>
      <c r="BU14" s="5">
        <f>VLOOKUP(BU11,Assumptions!$J$13:$L$23,3,FALSE)</f>
        <v>2.7E-2</v>
      </c>
      <c r="BV14" s="5">
        <f>VLOOKUP(BV11,Assumptions!$J$13:$L$23,3,FALSE)</f>
        <v>2.7E-2</v>
      </c>
      <c r="BW14" s="5">
        <f>VLOOKUP(BW11,Assumptions!$J$13:$L$23,3,FALSE)</f>
        <v>2.7E-2</v>
      </c>
      <c r="BX14" s="5">
        <f>VLOOKUP(BX11,Assumptions!$J$13:$L$23,3,FALSE)</f>
        <v>0.03</v>
      </c>
      <c r="BY14" s="5">
        <f>VLOOKUP(BY11,Assumptions!$J$13:$L$23,3,FALSE)</f>
        <v>0.03</v>
      </c>
      <c r="BZ14" s="5">
        <f>VLOOKUP(BZ11,Assumptions!$J$13:$L$23,3,FALSE)</f>
        <v>0.03</v>
      </c>
      <c r="CA14" s="5">
        <f>VLOOKUP(CA11,Assumptions!$J$13:$L$23,3,FALSE)</f>
        <v>0.03</v>
      </c>
      <c r="CB14" s="5">
        <f>VLOOKUP(CB11,Assumptions!$J$13:$L$23,3,FALSE)</f>
        <v>0.03</v>
      </c>
      <c r="CC14" s="5">
        <f>VLOOKUP(CC11,Assumptions!$J$13:$L$23,3,FALSE)</f>
        <v>0.03</v>
      </c>
      <c r="CD14" s="5">
        <f>VLOOKUP(CD11,Assumptions!$J$13:$L$23,3,FALSE)</f>
        <v>0.03</v>
      </c>
      <c r="CE14" s="5">
        <f>VLOOKUP(CE11,Assumptions!$J$13:$L$23,3,FALSE)</f>
        <v>0.03</v>
      </c>
      <c r="CF14" s="5">
        <f>VLOOKUP(CF11,Assumptions!$J$13:$L$23,3,FALSE)</f>
        <v>0.03</v>
      </c>
      <c r="CG14" s="5">
        <f>VLOOKUP(CG11,Assumptions!$J$13:$L$23,3,FALSE)</f>
        <v>0.03</v>
      </c>
      <c r="CH14" s="5">
        <f>VLOOKUP(CH11,Assumptions!$J$13:$L$23,3,FALSE)</f>
        <v>0.03</v>
      </c>
      <c r="CI14" s="5">
        <f>VLOOKUP(CI11,Assumptions!$J$13:$L$23,3,FALSE)</f>
        <v>0.03</v>
      </c>
      <c r="CJ14" s="5">
        <f>VLOOKUP(CJ11,Assumptions!$J$13:$L$23,3,FALSE)</f>
        <v>0.03</v>
      </c>
      <c r="CK14" s="5">
        <f>VLOOKUP(CK11,Assumptions!$J$13:$L$23,3,FALSE)</f>
        <v>0.03</v>
      </c>
      <c r="CL14" s="5">
        <f>VLOOKUP(CL11,Assumptions!$J$13:$L$23,3,FALSE)</f>
        <v>0.03</v>
      </c>
      <c r="CM14" s="5">
        <f>VLOOKUP(CM11,Assumptions!$J$13:$L$23,3,FALSE)</f>
        <v>0.03</v>
      </c>
      <c r="CN14" s="5">
        <f>VLOOKUP(CN11,Assumptions!$J$13:$L$23,3,FALSE)</f>
        <v>0.03</v>
      </c>
      <c r="CO14" s="5">
        <f>VLOOKUP(CO11,Assumptions!$J$13:$L$23,3,FALSE)</f>
        <v>0.03</v>
      </c>
      <c r="CP14" s="5">
        <f>VLOOKUP(CP11,Assumptions!$J$13:$L$23,3,FALSE)</f>
        <v>0.03</v>
      </c>
      <c r="CQ14" s="5">
        <f>VLOOKUP(CQ11,Assumptions!$J$13:$L$23,3,FALSE)</f>
        <v>0.03</v>
      </c>
      <c r="CR14" s="5">
        <f>VLOOKUP(CR11,Assumptions!$J$13:$L$23,3,FALSE)</f>
        <v>0.03</v>
      </c>
      <c r="CS14" s="5">
        <f>VLOOKUP(CS11,Assumptions!$J$13:$L$23,3,FALSE)</f>
        <v>0.03</v>
      </c>
      <c r="CT14" s="5">
        <f>VLOOKUP(CT11,Assumptions!$J$13:$L$23,3,FALSE)</f>
        <v>0.03</v>
      </c>
      <c r="CU14" s="5">
        <f>VLOOKUP(CU11,Assumptions!$J$13:$L$23,3,FALSE)</f>
        <v>0.03</v>
      </c>
      <c r="CV14" s="5">
        <f>VLOOKUP(CV11,Assumptions!$J$13:$L$23,3,FALSE)</f>
        <v>0.03</v>
      </c>
      <c r="CW14" s="5">
        <f>VLOOKUP(CW11,Assumptions!$J$13:$L$23,3,FALSE)</f>
        <v>0.03</v>
      </c>
      <c r="CX14" s="5">
        <f>VLOOKUP(CX11,Assumptions!$J$13:$L$23,3,FALSE)</f>
        <v>0.03</v>
      </c>
      <c r="CY14" s="5">
        <f>VLOOKUP(CY11,Assumptions!$J$13:$L$23,3,FALSE)</f>
        <v>0.03</v>
      </c>
      <c r="CZ14" s="5">
        <f>VLOOKUP(CZ11,Assumptions!$J$13:$L$23,3,FALSE)</f>
        <v>0.03</v>
      </c>
      <c r="DA14" s="5">
        <f>VLOOKUP(DA11,Assumptions!$J$13:$L$23,3,FALSE)</f>
        <v>0.03</v>
      </c>
      <c r="DB14" s="5">
        <f>VLOOKUP(DB11,Assumptions!$J$13:$L$23,3,FALSE)</f>
        <v>0.03</v>
      </c>
      <c r="DC14" s="5">
        <f>VLOOKUP(DC11,Assumptions!$J$13:$L$23,3,FALSE)</f>
        <v>0.03</v>
      </c>
      <c r="DD14" s="5">
        <f>VLOOKUP(DD11,Assumptions!$J$13:$L$23,3,FALSE)</f>
        <v>0.03</v>
      </c>
      <c r="DE14" s="5">
        <f>VLOOKUP(DE11,Assumptions!$J$13:$L$23,3,FALSE)</f>
        <v>0.03</v>
      </c>
      <c r="DF14" s="5">
        <f>VLOOKUP(DF11,Assumptions!$J$13:$L$23,3,FALSE)</f>
        <v>0.03</v>
      </c>
      <c r="DG14" s="5">
        <f>VLOOKUP(DG11,Assumptions!$J$13:$L$23,3,FALSE)</f>
        <v>0.03</v>
      </c>
      <c r="DH14" s="5">
        <f>VLOOKUP(DH11,Assumptions!$J$13:$L$23,3,FALSE)</f>
        <v>0.03</v>
      </c>
      <c r="DI14" s="5">
        <f>VLOOKUP(DI11,Assumptions!$J$13:$L$23,3,FALSE)</f>
        <v>0.03</v>
      </c>
      <c r="DJ14" s="5">
        <f>VLOOKUP(DJ11,Assumptions!$J$13:$L$23,3,FALSE)</f>
        <v>0.03</v>
      </c>
      <c r="DK14" s="5">
        <f>VLOOKUP(DK11,Assumptions!$J$13:$L$23,3,FALSE)</f>
        <v>0.03</v>
      </c>
      <c r="DL14" s="5">
        <f>VLOOKUP(DL11,Assumptions!$J$13:$L$23,3,FALSE)</f>
        <v>0.03</v>
      </c>
      <c r="DM14" s="5">
        <f>VLOOKUP(DM11,Assumptions!$J$13:$L$23,3,FALSE)</f>
        <v>0.03</v>
      </c>
      <c r="DN14" s="5">
        <f>VLOOKUP(DN11,Assumptions!$J$13:$L$23,3,FALSE)</f>
        <v>0.03</v>
      </c>
      <c r="DO14" s="5">
        <f>VLOOKUP(DO11,Assumptions!$J$13:$L$23,3,FALSE)</f>
        <v>0.03</v>
      </c>
      <c r="DP14" s="5">
        <f>VLOOKUP(DP11,Assumptions!$J$13:$L$23,3,FALSE)</f>
        <v>0.03</v>
      </c>
      <c r="DQ14" s="5">
        <f>VLOOKUP(DQ11,Assumptions!$J$13:$L$23,3,FALSE)</f>
        <v>0.03</v>
      </c>
      <c r="DR14" s="5">
        <f>VLOOKUP(DR11,Assumptions!$J$13:$L$23,3,FALSE)</f>
        <v>0.03</v>
      </c>
      <c r="DS14" s="5">
        <f>VLOOKUP(DS11,Assumptions!$J$13:$L$23,3,FALSE)</f>
        <v>0.03</v>
      </c>
      <c r="DT14" s="5">
        <f>VLOOKUP(DT11,Assumptions!$J$13:$L$23,3,FALSE)</f>
        <v>0.03</v>
      </c>
      <c r="DU14" s="5">
        <f>VLOOKUP(DU11,Assumptions!$J$13:$L$23,3,FALSE)</f>
        <v>0.03</v>
      </c>
      <c r="DV14" s="5">
        <f>VLOOKUP(DV11,Assumptions!$J$13:$L$23,3,FALSE)</f>
        <v>0.03</v>
      </c>
      <c r="DW14" s="5">
        <f>VLOOKUP(DW11,Assumptions!$J$13:$L$23,3,FALSE)</f>
        <v>0.03</v>
      </c>
      <c r="DX14" s="5">
        <f>VLOOKUP(DX11,Assumptions!$J$13:$L$23,3,FALSE)</f>
        <v>0.03</v>
      </c>
      <c r="DY14" s="5">
        <f>VLOOKUP(DY11,Assumptions!$J$13:$L$23,3,FALSE)</f>
        <v>0.03</v>
      </c>
      <c r="DZ14" s="5">
        <f>VLOOKUP(DZ11,Assumptions!$J$13:$L$23,3,FALSE)</f>
        <v>0.03</v>
      </c>
      <c r="EA14" s="5">
        <f>VLOOKUP(EA11,Assumptions!$J$13:$L$23,3,FALSE)</f>
        <v>0.03</v>
      </c>
      <c r="EB14" s="5">
        <f>VLOOKUP(EB11,Assumptions!$J$13:$L$23,3,FALSE)</f>
        <v>0.03</v>
      </c>
      <c r="EC14" s="5">
        <f>VLOOKUP(EC11,Assumptions!$J$13:$L$23,3,FALSE)</f>
        <v>0.03</v>
      </c>
      <c r="ED14" s="5">
        <f>VLOOKUP(ED11,Assumptions!$J$13:$L$23,3,FALSE)</f>
        <v>0.03</v>
      </c>
      <c r="EE14" s="5">
        <f>VLOOKUP(EE11,Assumptions!$J$13:$L$23,3,FALSE)</f>
        <v>0.03</v>
      </c>
      <c r="EF14" s="5">
        <f>VLOOKUP(EF11,Assumptions!$J$13:$L$23,3,FALSE)</f>
        <v>0.03</v>
      </c>
      <c r="EG14" s="5">
        <f>VLOOKUP(EG11,Assumptions!$J$13:$L$23,3,FALSE)</f>
        <v>0.03</v>
      </c>
      <c r="EH14" s="5">
        <f>VLOOKUP(EH11,Assumptions!$J$13:$L$23,3,FALSE)</f>
        <v>0.03</v>
      </c>
      <c r="EI14" s="5">
        <f>VLOOKUP(EI11,Assumptions!$J$13:$L$23,3,FALSE)</f>
        <v>0.03</v>
      </c>
      <c r="EJ14" s="5">
        <f>VLOOKUP(EJ11,Assumptions!$J$13:$L$23,3,FALSE)</f>
        <v>0.03</v>
      </c>
      <c r="EK14" s="5">
        <f>VLOOKUP(EK11,Assumptions!$J$13:$L$23,3,FALSE)</f>
        <v>0.03</v>
      </c>
      <c r="EL14" s="5">
        <f>VLOOKUP(EL11,Assumptions!$J$13:$L$23,3,FALSE)</f>
        <v>0.03</v>
      </c>
      <c r="EM14" s="5">
        <f>VLOOKUP(EM11,Assumptions!$J$13:$L$23,3,FALSE)</f>
        <v>0.03</v>
      </c>
      <c r="EN14" s="5">
        <f>VLOOKUP(EN11,Assumptions!$J$13:$L$23,3,FALSE)</f>
        <v>0.03</v>
      </c>
      <c r="EO14" s="5">
        <f>VLOOKUP(EO11,Assumptions!$J$13:$L$23,3,FALSE)</f>
        <v>0.03</v>
      </c>
      <c r="EP14" s="5">
        <f>VLOOKUP(EP11,Assumptions!$J$13:$L$23,3,FALSE)</f>
        <v>0.03</v>
      </c>
      <c r="EQ14" s="5">
        <f>VLOOKUP(EQ11,Assumptions!$J$13:$L$23,3,FALSE)</f>
        <v>0.03</v>
      </c>
      <c r="ER14" s="78"/>
      <c r="ES14" s="421"/>
      <c r="ET14" s="63"/>
      <c r="EU14" s="5"/>
    </row>
    <row r="15" spans="1:151" s="87" customFormat="1" ht="6" customHeight="1">
      <c r="A15" s="65"/>
      <c r="B15" s="65"/>
      <c r="C15" s="65"/>
      <c r="D15" s="65"/>
      <c r="E15" s="65"/>
      <c r="F15" s="65"/>
      <c r="G15" s="84"/>
      <c r="H15" s="85"/>
      <c r="I15" s="86"/>
      <c r="J15" s="479"/>
      <c r="K15" s="88"/>
      <c r="L15" s="89"/>
      <c r="M15" s="89"/>
      <c r="N15" s="211"/>
      <c r="O15" s="647"/>
      <c r="P15" s="205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64"/>
      <c r="ES15" s="421"/>
      <c r="ET15" s="63"/>
      <c r="EU15" s="91"/>
    </row>
    <row r="16" spans="1:151" s="87" customFormat="1" ht="6" customHeight="1">
      <c r="A16" s="65"/>
      <c r="B16" s="65"/>
      <c r="C16" s="65"/>
      <c r="D16" s="65"/>
      <c r="E16" s="65"/>
      <c r="F16" s="65"/>
      <c r="G16" s="480"/>
      <c r="H16" s="480"/>
      <c r="I16" s="75"/>
      <c r="J16" s="481"/>
      <c r="K16" s="93"/>
      <c r="L16" s="75"/>
      <c r="M16" s="75"/>
      <c r="N16" s="212"/>
      <c r="O16" s="75"/>
      <c r="P16" s="206"/>
      <c r="Q16" s="92"/>
      <c r="R16" s="92"/>
      <c r="S16" s="91"/>
      <c r="T16" s="91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64"/>
      <c r="ES16" s="421"/>
      <c r="ET16" s="63"/>
      <c r="EU16" s="92"/>
    </row>
    <row r="17" spans="2:151" s="87" customFormat="1" ht="15.75">
      <c r="G17" s="978">
        <f>Assumptions!H11-Assumptions!M7</f>
        <v>30</v>
      </c>
      <c r="H17" s="978"/>
      <c r="I17" s="978"/>
      <c r="J17" s="979"/>
      <c r="K17" s="93"/>
      <c r="L17" s="75"/>
      <c r="M17" s="75"/>
      <c r="N17" s="212"/>
      <c r="O17" s="75"/>
      <c r="P17" s="206"/>
      <c r="Q17" s="92"/>
      <c r="R17" s="92"/>
      <c r="S17" s="91"/>
      <c r="T17" s="91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64"/>
      <c r="ES17" s="421"/>
      <c r="ET17" s="63"/>
      <c r="EU17" s="92"/>
    </row>
    <row r="18" spans="2:151" s="87" customFormat="1" ht="6" customHeight="1">
      <c r="G18" s="480"/>
      <c r="H18" s="480"/>
      <c r="I18" s="75"/>
      <c r="J18" s="212"/>
      <c r="K18" s="93"/>
      <c r="L18" s="75"/>
      <c r="M18" s="75"/>
      <c r="N18" s="212"/>
      <c r="O18" s="75"/>
      <c r="P18" s="206"/>
      <c r="Q18" s="92"/>
      <c r="R18" s="92"/>
      <c r="S18" s="91"/>
      <c r="T18" s="91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64"/>
      <c r="ES18" s="421"/>
      <c r="ET18" s="63"/>
      <c r="EU18" s="92"/>
    </row>
    <row r="19" spans="2:151" s="65" customFormat="1" ht="15.75" outlineLevel="1">
      <c r="B19" s="87"/>
      <c r="C19" s="87"/>
      <c r="D19" s="87"/>
      <c r="E19" s="87"/>
      <c r="F19" s="87"/>
      <c r="G19" s="472"/>
      <c r="H19" s="472"/>
      <c r="I19" s="472"/>
      <c r="J19" s="473"/>
      <c r="K19" s="267"/>
      <c r="L19" s="472"/>
      <c r="M19" s="472"/>
      <c r="N19" s="473"/>
      <c r="O19" s="47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262"/>
      <c r="DI19" s="262"/>
      <c r="DJ19" s="262"/>
      <c r="DK19" s="262"/>
      <c r="DL19" s="262"/>
      <c r="DM19" s="262"/>
      <c r="DN19" s="262"/>
      <c r="DO19" s="262"/>
      <c r="DP19" s="262"/>
      <c r="DQ19" s="262"/>
      <c r="DR19" s="262"/>
      <c r="DS19" s="262"/>
      <c r="DT19" s="262"/>
      <c r="DU19" s="262"/>
      <c r="DV19" s="262"/>
      <c r="DW19" s="262"/>
      <c r="DX19" s="262"/>
      <c r="DY19" s="262"/>
      <c r="DZ19" s="262"/>
      <c r="EA19" s="262"/>
      <c r="EB19" s="262"/>
      <c r="EC19" s="262"/>
      <c r="ED19" s="262"/>
      <c r="EE19" s="262"/>
      <c r="EF19" s="262"/>
      <c r="EG19" s="262"/>
      <c r="EH19" s="262"/>
      <c r="EI19" s="262"/>
      <c r="EJ19" s="262"/>
      <c r="EK19" s="262"/>
      <c r="EL19" s="262"/>
      <c r="EM19" s="262"/>
      <c r="EN19" s="262"/>
      <c r="EO19" s="262"/>
      <c r="EP19" s="262"/>
      <c r="EQ19" s="262"/>
      <c r="ES19" s="421"/>
      <c r="ET19" s="67"/>
      <c r="EU19" s="262"/>
    </row>
    <row r="20" spans="2:151" s="87" customFormat="1" ht="15.75" outlineLevel="1">
      <c r="G20" s="480" t="s">
        <v>52</v>
      </c>
      <c r="H20" s="480"/>
      <c r="I20" s="75"/>
      <c r="J20" s="212"/>
      <c r="K20" s="93"/>
      <c r="L20" s="75"/>
      <c r="M20" s="75"/>
      <c r="N20" s="212"/>
      <c r="O20" s="776"/>
      <c r="P20" s="102">
        <f>P10</f>
        <v>1</v>
      </c>
      <c r="Q20" s="102">
        <f t="shared" ref="Q20:CB20" si="15">Q10</f>
        <v>2</v>
      </c>
      <c r="R20" s="102">
        <f t="shared" si="15"/>
        <v>3</v>
      </c>
      <c r="S20" s="102">
        <f t="shared" si="15"/>
        <v>4</v>
      </c>
      <c r="T20" s="102">
        <f t="shared" si="15"/>
        <v>5</v>
      </c>
      <c r="U20" s="102">
        <f t="shared" si="15"/>
        <v>6</v>
      </c>
      <c r="V20" s="102">
        <f t="shared" si="15"/>
        <v>7</v>
      </c>
      <c r="W20" s="102">
        <f t="shared" si="15"/>
        <v>8</v>
      </c>
      <c r="X20" s="102">
        <f t="shared" si="15"/>
        <v>9</v>
      </c>
      <c r="Y20" s="102">
        <f t="shared" si="15"/>
        <v>10</v>
      </c>
      <c r="Z20" s="102">
        <f t="shared" si="15"/>
        <v>11</v>
      </c>
      <c r="AA20" s="102">
        <f t="shared" si="15"/>
        <v>12</v>
      </c>
      <c r="AB20" s="102">
        <f t="shared" si="15"/>
        <v>13</v>
      </c>
      <c r="AC20" s="102">
        <f t="shared" si="15"/>
        <v>14</v>
      </c>
      <c r="AD20" s="102">
        <f t="shared" si="15"/>
        <v>15</v>
      </c>
      <c r="AE20" s="102">
        <f t="shared" si="15"/>
        <v>16</v>
      </c>
      <c r="AF20" s="102">
        <f t="shared" si="15"/>
        <v>17</v>
      </c>
      <c r="AG20" s="102">
        <f t="shared" si="15"/>
        <v>18</v>
      </c>
      <c r="AH20" s="102">
        <f t="shared" si="15"/>
        <v>19</v>
      </c>
      <c r="AI20" s="102">
        <f t="shared" si="15"/>
        <v>20</v>
      </c>
      <c r="AJ20" s="102">
        <f t="shared" si="15"/>
        <v>21</v>
      </c>
      <c r="AK20" s="102">
        <f t="shared" si="15"/>
        <v>22</v>
      </c>
      <c r="AL20" s="102">
        <f t="shared" si="15"/>
        <v>23</v>
      </c>
      <c r="AM20" s="102">
        <f t="shared" si="15"/>
        <v>24</v>
      </c>
      <c r="AN20" s="102">
        <f t="shared" si="15"/>
        <v>25</v>
      </c>
      <c r="AO20" s="102">
        <f t="shared" si="15"/>
        <v>26</v>
      </c>
      <c r="AP20" s="102">
        <f t="shared" si="15"/>
        <v>27</v>
      </c>
      <c r="AQ20" s="102">
        <f t="shared" si="15"/>
        <v>28</v>
      </c>
      <c r="AR20" s="102">
        <f t="shared" si="15"/>
        <v>29</v>
      </c>
      <c r="AS20" s="102">
        <f t="shared" si="15"/>
        <v>30</v>
      </c>
      <c r="AT20" s="102">
        <f t="shared" si="15"/>
        <v>31</v>
      </c>
      <c r="AU20" s="102">
        <f t="shared" si="15"/>
        <v>32</v>
      </c>
      <c r="AV20" s="102">
        <f t="shared" si="15"/>
        <v>33</v>
      </c>
      <c r="AW20" s="102">
        <f t="shared" si="15"/>
        <v>34</v>
      </c>
      <c r="AX20" s="102">
        <f t="shared" si="15"/>
        <v>35</v>
      </c>
      <c r="AY20" s="102">
        <f t="shared" si="15"/>
        <v>36</v>
      </c>
      <c r="AZ20" s="102">
        <f t="shared" si="15"/>
        <v>37</v>
      </c>
      <c r="BA20" s="102">
        <f t="shared" si="15"/>
        <v>38</v>
      </c>
      <c r="BB20" s="102">
        <f t="shared" si="15"/>
        <v>39</v>
      </c>
      <c r="BC20" s="102">
        <f t="shared" si="15"/>
        <v>40</v>
      </c>
      <c r="BD20" s="102">
        <f t="shared" si="15"/>
        <v>41</v>
      </c>
      <c r="BE20" s="102">
        <f t="shared" si="15"/>
        <v>42</v>
      </c>
      <c r="BF20" s="102">
        <f t="shared" si="15"/>
        <v>43</v>
      </c>
      <c r="BG20" s="102">
        <f t="shared" si="15"/>
        <v>44</v>
      </c>
      <c r="BH20" s="102">
        <f t="shared" si="15"/>
        <v>45</v>
      </c>
      <c r="BI20" s="102">
        <f t="shared" si="15"/>
        <v>46</v>
      </c>
      <c r="BJ20" s="102">
        <f t="shared" si="15"/>
        <v>47</v>
      </c>
      <c r="BK20" s="102">
        <f t="shared" si="15"/>
        <v>48</v>
      </c>
      <c r="BL20" s="102">
        <f t="shared" si="15"/>
        <v>49</v>
      </c>
      <c r="BM20" s="102">
        <f t="shared" si="15"/>
        <v>50</v>
      </c>
      <c r="BN20" s="102">
        <f t="shared" si="15"/>
        <v>51</v>
      </c>
      <c r="BO20" s="102">
        <f t="shared" si="15"/>
        <v>52</v>
      </c>
      <c r="BP20" s="102">
        <f t="shared" si="15"/>
        <v>53</v>
      </c>
      <c r="BQ20" s="102">
        <f t="shared" si="15"/>
        <v>54</v>
      </c>
      <c r="BR20" s="102">
        <f t="shared" si="15"/>
        <v>55</v>
      </c>
      <c r="BS20" s="102">
        <f t="shared" si="15"/>
        <v>56</v>
      </c>
      <c r="BT20" s="102">
        <f t="shared" si="15"/>
        <v>57</v>
      </c>
      <c r="BU20" s="102">
        <f t="shared" si="15"/>
        <v>58</v>
      </c>
      <c r="BV20" s="102">
        <f t="shared" si="15"/>
        <v>59</v>
      </c>
      <c r="BW20" s="102">
        <f t="shared" si="15"/>
        <v>60</v>
      </c>
      <c r="BX20" s="102">
        <f t="shared" si="15"/>
        <v>61</v>
      </c>
      <c r="BY20" s="102">
        <f t="shared" si="15"/>
        <v>62</v>
      </c>
      <c r="BZ20" s="102">
        <f t="shared" si="15"/>
        <v>63</v>
      </c>
      <c r="CA20" s="102">
        <f t="shared" si="15"/>
        <v>64</v>
      </c>
      <c r="CB20" s="102">
        <f t="shared" si="15"/>
        <v>65</v>
      </c>
      <c r="CC20" s="102">
        <f t="shared" ref="CC20:EN20" si="16">CC10</f>
        <v>66</v>
      </c>
      <c r="CD20" s="102">
        <f t="shared" si="16"/>
        <v>67</v>
      </c>
      <c r="CE20" s="102">
        <f t="shared" si="16"/>
        <v>68</v>
      </c>
      <c r="CF20" s="102">
        <f t="shared" si="16"/>
        <v>69</v>
      </c>
      <c r="CG20" s="102">
        <f t="shared" si="16"/>
        <v>70</v>
      </c>
      <c r="CH20" s="102">
        <f t="shared" si="16"/>
        <v>71</v>
      </c>
      <c r="CI20" s="102">
        <f t="shared" si="16"/>
        <v>72</v>
      </c>
      <c r="CJ20" s="102">
        <f t="shared" si="16"/>
        <v>73</v>
      </c>
      <c r="CK20" s="102">
        <f t="shared" si="16"/>
        <v>74</v>
      </c>
      <c r="CL20" s="102">
        <f t="shared" si="16"/>
        <v>75</v>
      </c>
      <c r="CM20" s="102">
        <f t="shared" si="16"/>
        <v>76</v>
      </c>
      <c r="CN20" s="102">
        <f t="shared" si="16"/>
        <v>77</v>
      </c>
      <c r="CO20" s="102">
        <f t="shared" si="16"/>
        <v>78</v>
      </c>
      <c r="CP20" s="102">
        <f t="shared" si="16"/>
        <v>79</v>
      </c>
      <c r="CQ20" s="102">
        <f t="shared" si="16"/>
        <v>80</v>
      </c>
      <c r="CR20" s="102">
        <f t="shared" si="16"/>
        <v>81</v>
      </c>
      <c r="CS20" s="102">
        <f t="shared" si="16"/>
        <v>82</v>
      </c>
      <c r="CT20" s="102">
        <f t="shared" si="16"/>
        <v>83</v>
      </c>
      <c r="CU20" s="102">
        <f t="shared" si="16"/>
        <v>84</v>
      </c>
      <c r="CV20" s="102">
        <f t="shared" si="16"/>
        <v>85</v>
      </c>
      <c r="CW20" s="102">
        <f t="shared" si="16"/>
        <v>86</v>
      </c>
      <c r="CX20" s="102">
        <f t="shared" si="16"/>
        <v>87</v>
      </c>
      <c r="CY20" s="102">
        <f t="shared" si="16"/>
        <v>88</v>
      </c>
      <c r="CZ20" s="102">
        <f t="shared" si="16"/>
        <v>89</v>
      </c>
      <c r="DA20" s="102">
        <f t="shared" si="16"/>
        <v>90</v>
      </c>
      <c r="DB20" s="102">
        <f t="shared" si="16"/>
        <v>91</v>
      </c>
      <c r="DC20" s="102">
        <f t="shared" si="16"/>
        <v>92</v>
      </c>
      <c r="DD20" s="102">
        <f t="shared" si="16"/>
        <v>93</v>
      </c>
      <c r="DE20" s="102">
        <f t="shared" si="16"/>
        <v>94</v>
      </c>
      <c r="DF20" s="102">
        <f t="shared" si="16"/>
        <v>95</v>
      </c>
      <c r="DG20" s="102">
        <f t="shared" si="16"/>
        <v>96</v>
      </c>
      <c r="DH20" s="102">
        <f t="shared" si="16"/>
        <v>97</v>
      </c>
      <c r="DI20" s="102">
        <f t="shared" si="16"/>
        <v>98</v>
      </c>
      <c r="DJ20" s="102">
        <f t="shared" si="16"/>
        <v>99</v>
      </c>
      <c r="DK20" s="102">
        <f t="shared" si="16"/>
        <v>100</v>
      </c>
      <c r="DL20" s="102">
        <f t="shared" si="16"/>
        <v>101</v>
      </c>
      <c r="DM20" s="102">
        <f t="shared" si="16"/>
        <v>102</v>
      </c>
      <c r="DN20" s="102">
        <f t="shared" si="16"/>
        <v>103</v>
      </c>
      <c r="DO20" s="102">
        <f t="shared" si="16"/>
        <v>104</v>
      </c>
      <c r="DP20" s="102">
        <f t="shared" si="16"/>
        <v>105</v>
      </c>
      <c r="DQ20" s="102">
        <f t="shared" si="16"/>
        <v>106</v>
      </c>
      <c r="DR20" s="102">
        <f t="shared" si="16"/>
        <v>107</v>
      </c>
      <c r="DS20" s="102">
        <f t="shared" si="16"/>
        <v>108</v>
      </c>
      <c r="DT20" s="102">
        <f t="shared" si="16"/>
        <v>109</v>
      </c>
      <c r="DU20" s="102">
        <f t="shared" si="16"/>
        <v>110</v>
      </c>
      <c r="DV20" s="102">
        <f t="shared" si="16"/>
        <v>111</v>
      </c>
      <c r="DW20" s="102">
        <f t="shared" si="16"/>
        <v>112</v>
      </c>
      <c r="DX20" s="102">
        <f t="shared" si="16"/>
        <v>113</v>
      </c>
      <c r="DY20" s="102">
        <f t="shared" si="16"/>
        <v>114</v>
      </c>
      <c r="DZ20" s="102">
        <f t="shared" si="16"/>
        <v>115</v>
      </c>
      <c r="EA20" s="102">
        <f t="shared" si="16"/>
        <v>116</v>
      </c>
      <c r="EB20" s="102">
        <f t="shared" si="16"/>
        <v>117</v>
      </c>
      <c r="EC20" s="102">
        <f t="shared" si="16"/>
        <v>118</v>
      </c>
      <c r="ED20" s="102">
        <f t="shared" si="16"/>
        <v>119</v>
      </c>
      <c r="EE20" s="102">
        <f t="shared" si="16"/>
        <v>120</v>
      </c>
      <c r="EF20" s="102">
        <f t="shared" si="16"/>
        <v>121</v>
      </c>
      <c r="EG20" s="102">
        <f t="shared" si="16"/>
        <v>122</v>
      </c>
      <c r="EH20" s="102">
        <f t="shared" si="16"/>
        <v>123</v>
      </c>
      <c r="EI20" s="102">
        <f t="shared" si="16"/>
        <v>124</v>
      </c>
      <c r="EJ20" s="102">
        <f t="shared" si="16"/>
        <v>125</v>
      </c>
      <c r="EK20" s="102">
        <f t="shared" si="16"/>
        <v>126</v>
      </c>
      <c r="EL20" s="102">
        <f t="shared" si="16"/>
        <v>127</v>
      </c>
      <c r="EM20" s="102">
        <f t="shared" si="16"/>
        <v>128</v>
      </c>
      <c r="EN20" s="102">
        <f t="shared" si="16"/>
        <v>129</v>
      </c>
      <c r="EO20" s="102">
        <f>EO10</f>
        <v>130</v>
      </c>
      <c r="EP20" s="102">
        <f>EP10</f>
        <v>131</v>
      </c>
      <c r="EQ20" s="102">
        <f>EQ10</f>
        <v>132</v>
      </c>
      <c r="ER20" s="64"/>
      <c r="ES20" s="421"/>
      <c r="ET20" s="63"/>
      <c r="EU20" s="92"/>
    </row>
    <row r="21" spans="2:151" s="87" customFormat="1" ht="13.5" customHeight="1" outlineLevel="1">
      <c r="B21" s="255" t="s">
        <v>90</v>
      </c>
      <c r="C21" s="256">
        <f>MIN(P21:EQ21)</f>
        <v>0</v>
      </c>
      <c r="D21" s="256"/>
      <c r="E21" s="256"/>
      <c r="F21" s="256"/>
      <c r="G21" s="480" t="s">
        <v>103</v>
      </c>
      <c r="H21" s="480"/>
      <c r="I21" s="75"/>
      <c r="J21" s="212"/>
      <c r="K21" s="93"/>
      <c r="L21" s="75"/>
      <c r="M21" s="75"/>
      <c r="N21" s="212"/>
      <c r="O21" s="776"/>
      <c r="P21" s="102">
        <f>$G$17-P23</f>
        <v>30</v>
      </c>
      <c r="Q21" s="102">
        <f t="shared" ref="Q21:CB21" si="17">P21-Q23</f>
        <v>29</v>
      </c>
      <c r="R21" s="102">
        <f t="shared" si="17"/>
        <v>25</v>
      </c>
      <c r="S21" s="102">
        <f t="shared" si="17"/>
        <v>20</v>
      </c>
      <c r="T21" s="102">
        <f t="shared" si="17"/>
        <v>20</v>
      </c>
      <c r="U21" s="102">
        <f t="shared" si="17"/>
        <v>20</v>
      </c>
      <c r="V21" s="102">
        <f t="shared" si="17"/>
        <v>20</v>
      </c>
      <c r="W21" s="102">
        <f t="shared" si="17"/>
        <v>20</v>
      </c>
      <c r="X21" s="102">
        <f t="shared" si="17"/>
        <v>20</v>
      </c>
      <c r="Y21" s="102">
        <f t="shared" si="17"/>
        <v>20</v>
      </c>
      <c r="Z21" s="102">
        <f t="shared" si="17"/>
        <v>20</v>
      </c>
      <c r="AA21" s="102">
        <f t="shared" si="17"/>
        <v>20</v>
      </c>
      <c r="AB21" s="102">
        <f t="shared" si="17"/>
        <v>15</v>
      </c>
      <c r="AC21" s="102">
        <f t="shared" si="17"/>
        <v>10</v>
      </c>
      <c r="AD21" s="102">
        <f t="shared" si="17"/>
        <v>10</v>
      </c>
      <c r="AE21" s="102">
        <f t="shared" si="17"/>
        <v>5</v>
      </c>
      <c r="AF21" s="102">
        <f t="shared" si="17"/>
        <v>5</v>
      </c>
      <c r="AG21" s="102">
        <f t="shared" si="17"/>
        <v>5</v>
      </c>
      <c r="AH21" s="102">
        <f t="shared" si="17"/>
        <v>5</v>
      </c>
      <c r="AI21" s="102">
        <f t="shared" si="17"/>
        <v>5</v>
      </c>
      <c r="AJ21" s="102">
        <f t="shared" si="17"/>
        <v>5</v>
      </c>
      <c r="AK21" s="102">
        <f t="shared" si="17"/>
        <v>5</v>
      </c>
      <c r="AL21" s="102">
        <f t="shared" si="17"/>
        <v>5</v>
      </c>
      <c r="AM21" s="102">
        <f t="shared" si="17"/>
        <v>5</v>
      </c>
      <c r="AN21" s="102">
        <f t="shared" si="17"/>
        <v>5</v>
      </c>
      <c r="AO21" s="102">
        <f t="shared" si="17"/>
        <v>5</v>
      </c>
      <c r="AP21" s="102">
        <f t="shared" si="17"/>
        <v>5</v>
      </c>
      <c r="AQ21" s="102">
        <f t="shared" si="17"/>
        <v>1</v>
      </c>
      <c r="AR21" s="102">
        <f t="shared" si="17"/>
        <v>1</v>
      </c>
      <c r="AS21" s="102">
        <f t="shared" si="17"/>
        <v>0</v>
      </c>
      <c r="AT21" s="102">
        <f t="shared" si="17"/>
        <v>0</v>
      </c>
      <c r="AU21" s="102">
        <f t="shared" si="17"/>
        <v>0</v>
      </c>
      <c r="AV21" s="102">
        <f t="shared" si="17"/>
        <v>0</v>
      </c>
      <c r="AW21" s="102">
        <f t="shared" si="17"/>
        <v>0</v>
      </c>
      <c r="AX21" s="102">
        <f t="shared" si="17"/>
        <v>0</v>
      </c>
      <c r="AY21" s="102">
        <f t="shared" si="17"/>
        <v>0</v>
      </c>
      <c r="AZ21" s="102">
        <f t="shared" si="17"/>
        <v>0</v>
      </c>
      <c r="BA21" s="102">
        <f t="shared" si="17"/>
        <v>0</v>
      </c>
      <c r="BB21" s="102">
        <f t="shared" si="17"/>
        <v>0</v>
      </c>
      <c r="BC21" s="102">
        <f t="shared" si="17"/>
        <v>0</v>
      </c>
      <c r="BD21" s="102">
        <f t="shared" si="17"/>
        <v>0</v>
      </c>
      <c r="BE21" s="102">
        <f t="shared" si="17"/>
        <v>0</v>
      </c>
      <c r="BF21" s="102">
        <f t="shared" si="17"/>
        <v>0</v>
      </c>
      <c r="BG21" s="102">
        <f t="shared" si="17"/>
        <v>0</v>
      </c>
      <c r="BH21" s="102">
        <f t="shared" si="17"/>
        <v>0</v>
      </c>
      <c r="BI21" s="102">
        <f t="shared" si="17"/>
        <v>0</v>
      </c>
      <c r="BJ21" s="102">
        <f t="shared" si="17"/>
        <v>0</v>
      </c>
      <c r="BK21" s="102">
        <f t="shared" si="17"/>
        <v>0</v>
      </c>
      <c r="BL21" s="102">
        <f t="shared" si="17"/>
        <v>0</v>
      </c>
      <c r="BM21" s="102">
        <f t="shared" si="17"/>
        <v>0</v>
      </c>
      <c r="BN21" s="102">
        <f t="shared" si="17"/>
        <v>0</v>
      </c>
      <c r="BO21" s="102">
        <f t="shared" si="17"/>
        <v>0</v>
      </c>
      <c r="BP21" s="102">
        <f t="shared" si="17"/>
        <v>0</v>
      </c>
      <c r="BQ21" s="102">
        <f t="shared" si="17"/>
        <v>0</v>
      </c>
      <c r="BR21" s="102">
        <f t="shared" si="17"/>
        <v>0</v>
      </c>
      <c r="BS21" s="102">
        <f t="shared" si="17"/>
        <v>0</v>
      </c>
      <c r="BT21" s="102">
        <f t="shared" si="17"/>
        <v>0</v>
      </c>
      <c r="BU21" s="102">
        <f t="shared" si="17"/>
        <v>0</v>
      </c>
      <c r="BV21" s="102">
        <f t="shared" si="17"/>
        <v>0</v>
      </c>
      <c r="BW21" s="102">
        <f t="shared" si="17"/>
        <v>0</v>
      </c>
      <c r="BX21" s="102">
        <f t="shared" si="17"/>
        <v>0</v>
      </c>
      <c r="BY21" s="102">
        <f t="shared" si="17"/>
        <v>0</v>
      </c>
      <c r="BZ21" s="102">
        <f t="shared" si="17"/>
        <v>0</v>
      </c>
      <c r="CA21" s="102">
        <f t="shared" si="17"/>
        <v>0</v>
      </c>
      <c r="CB21" s="102">
        <f t="shared" si="17"/>
        <v>0</v>
      </c>
      <c r="CC21" s="102">
        <f t="shared" ref="CC21:EN21" si="18">CB21-CC23</f>
        <v>0</v>
      </c>
      <c r="CD21" s="102">
        <f t="shared" si="18"/>
        <v>0</v>
      </c>
      <c r="CE21" s="102">
        <f t="shared" si="18"/>
        <v>0</v>
      </c>
      <c r="CF21" s="102">
        <f t="shared" si="18"/>
        <v>0</v>
      </c>
      <c r="CG21" s="102">
        <f t="shared" si="18"/>
        <v>0</v>
      </c>
      <c r="CH21" s="102">
        <f t="shared" si="18"/>
        <v>0</v>
      </c>
      <c r="CI21" s="102">
        <f t="shared" si="18"/>
        <v>0</v>
      </c>
      <c r="CJ21" s="102">
        <f t="shared" si="18"/>
        <v>0</v>
      </c>
      <c r="CK21" s="102">
        <f t="shared" si="18"/>
        <v>0</v>
      </c>
      <c r="CL21" s="102">
        <f t="shared" si="18"/>
        <v>0</v>
      </c>
      <c r="CM21" s="102">
        <f t="shared" si="18"/>
        <v>0</v>
      </c>
      <c r="CN21" s="102">
        <f t="shared" si="18"/>
        <v>0</v>
      </c>
      <c r="CO21" s="102">
        <f t="shared" si="18"/>
        <v>0</v>
      </c>
      <c r="CP21" s="102">
        <f t="shared" si="18"/>
        <v>0</v>
      </c>
      <c r="CQ21" s="102">
        <f t="shared" si="18"/>
        <v>0</v>
      </c>
      <c r="CR21" s="102">
        <f t="shared" si="18"/>
        <v>0</v>
      </c>
      <c r="CS21" s="102">
        <f t="shared" si="18"/>
        <v>0</v>
      </c>
      <c r="CT21" s="102">
        <f t="shared" si="18"/>
        <v>0</v>
      </c>
      <c r="CU21" s="102">
        <f t="shared" si="18"/>
        <v>0</v>
      </c>
      <c r="CV21" s="102">
        <f t="shared" si="18"/>
        <v>0</v>
      </c>
      <c r="CW21" s="102">
        <f t="shared" si="18"/>
        <v>0</v>
      </c>
      <c r="CX21" s="102">
        <f t="shared" si="18"/>
        <v>0</v>
      </c>
      <c r="CY21" s="102">
        <f t="shared" si="18"/>
        <v>0</v>
      </c>
      <c r="CZ21" s="102">
        <f t="shared" si="18"/>
        <v>0</v>
      </c>
      <c r="DA21" s="102">
        <f t="shared" si="18"/>
        <v>0</v>
      </c>
      <c r="DB21" s="102">
        <f t="shared" si="18"/>
        <v>0</v>
      </c>
      <c r="DC21" s="102">
        <f t="shared" si="18"/>
        <v>0</v>
      </c>
      <c r="DD21" s="102">
        <f t="shared" si="18"/>
        <v>0</v>
      </c>
      <c r="DE21" s="102">
        <f t="shared" si="18"/>
        <v>0</v>
      </c>
      <c r="DF21" s="102">
        <f t="shared" si="18"/>
        <v>0</v>
      </c>
      <c r="DG21" s="102">
        <f t="shared" si="18"/>
        <v>0</v>
      </c>
      <c r="DH21" s="102">
        <f t="shared" si="18"/>
        <v>0</v>
      </c>
      <c r="DI21" s="102">
        <f t="shared" si="18"/>
        <v>0</v>
      </c>
      <c r="DJ21" s="102">
        <f t="shared" si="18"/>
        <v>0</v>
      </c>
      <c r="DK21" s="102">
        <f t="shared" si="18"/>
        <v>0</v>
      </c>
      <c r="DL21" s="102">
        <f t="shared" si="18"/>
        <v>0</v>
      </c>
      <c r="DM21" s="102">
        <f t="shared" si="18"/>
        <v>0</v>
      </c>
      <c r="DN21" s="102">
        <f t="shared" si="18"/>
        <v>0</v>
      </c>
      <c r="DO21" s="102">
        <f t="shared" si="18"/>
        <v>0</v>
      </c>
      <c r="DP21" s="102">
        <f t="shared" si="18"/>
        <v>0</v>
      </c>
      <c r="DQ21" s="102">
        <f t="shared" si="18"/>
        <v>0</v>
      </c>
      <c r="DR21" s="102">
        <f t="shared" si="18"/>
        <v>0</v>
      </c>
      <c r="DS21" s="102">
        <f t="shared" si="18"/>
        <v>0</v>
      </c>
      <c r="DT21" s="102">
        <f t="shared" si="18"/>
        <v>0</v>
      </c>
      <c r="DU21" s="102">
        <f t="shared" si="18"/>
        <v>0</v>
      </c>
      <c r="DV21" s="102">
        <f t="shared" si="18"/>
        <v>0</v>
      </c>
      <c r="DW21" s="102">
        <f t="shared" si="18"/>
        <v>0</v>
      </c>
      <c r="DX21" s="102">
        <f t="shared" si="18"/>
        <v>0</v>
      </c>
      <c r="DY21" s="102">
        <f t="shared" si="18"/>
        <v>0</v>
      </c>
      <c r="DZ21" s="102">
        <f t="shared" si="18"/>
        <v>0</v>
      </c>
      <c r="EA21" s="102">
        <f t="shared" si="18"/>
        <v>0</v>
      </c>
      <c r="EB21" s="102">
        <f t="shared" si="18"/>
        <v>0</v>
      </c>
      <c r="EC21" s="102">
        <f t="shared" si="18"/>
        <v>0</v>
      </c>
      <c r="ED21" s="102">
        <f t="shared" si="18"/>
        <v>0</v>
      </c>
      <c r="EE21" s="102">
        <f t="shared" si="18"/>
        <v>0</v>
      </c>
      <c r="EF21" s="102">
        <f t="shared" si="18"/>
        <v>0</v>
      </c>
      <c r="EG21" s="102">
        <f t="shared" si="18"/>
        <v>0</v>
      </c>
      <c r="EH21" s="102">
        <f t="shared" si="18"/>
        <v>0</v>
      </c>
      <c r="EI21" s="102">
        <f t="shared" si="18"/>
        <v>0</v>
      </c>
      <c r="EJ21" s="102">
        <f t="shared" si="18"/>
        <v>0</v>
      </c>
      <c r="EK21" s="102">
        <f t="shared" si="18"/>
        <v>0</v>
      </c>
      <c r="EL21" s="102">
        <f t="shared" si="18"/>
        <v>0</v>
      </c>
      <c r="EM21" s="102">
        <f t="shared" si="18"/>
        <v>0</v>
      </c>
      <c r="EN21" s="102">
        <f t="shared" si="18"/>
        <v>0</v>
      </c>
      <c r="EO21" s="102">
        <f t="shared" ref="EO21:EQ21" si="19">EN21-EO23</f>
        <v>0</v>
      </c>
      <c r="EP21" s="102">
        <f t="shared" si="19"/>
        <v>0</v>
      </c>
      <c r="EQ21" s="102">
        <f t="shared" si="19"/>
        <v>0</v>
      </c>
      <c r="ER21" s="64"/>
      <c r="ES21" s="421"/>
      <c r="ET21" s="63"/>
      <c r="EU21" s="92"/>
    </row>
    <row r="22" spans="2:151" s="87" customFormat="1" ht="13.5" customHeight="1" outlineLevel="1">
      <c r="B22" s="255" t="s">
        <v>88</v>
      </c>
      <c r="C22" s="256">
        <f>MAX(P22:EQ22)</f>
        <v>30</v>
      </c>
      <c r="D22" s="256"/>
      <c r="E22" s="256"/>
      <c r="F22" s="256"/>
      <c r="G22" s="480" t="s">
        <v>84</v>
      </c>
      <c r="H22" s="480"/>
      <c r="I22" s="75"/>
      <c r="J22" s="212"/>
      <c r="K22" s="93"/>
      <c r="L22" s="75"/>
      <c r="M22" s="75"/>
      <c r="N22" s="212"/>
      <c r="O22" s="776"/>
      <c r="P22" s="102">
        <f>Assumptions!M7+'Monthly Cash Flow Exercise'!P36</f>
        <v>0</v>
      </c>
      <c r="Q22" s="102">
        <f>P22+Q23</f>
        <v>1</v>
      </c>
      <c r="R22" s="102">
        <f>Q22+R23</f>
        <v>5</v>
      </c>
      <c r="S22" s="102">
        <f>R22+S23</f>
        <v>10</v>
      </c>
      <c r="T22" s="102">
        <f t="shared" ref="T22:CE22" si="20">S22+T23</f>
        <v>10</v>
      </c>
      <c r="U22" s="102">
        <f t="shared" si="20"/>
        <v>10</v>
      </c>
      <c r="V22" s="102">
        <f t="shared" si="20"/>
        <v>10</v>
      </c>
      <c r="W22" s="102">
        <f t="shared" si="20"/>
        <v>10</v>
      </c>
      <c r="X22" s="102">
        <f t="shared" si="20"/>
        <v>10</v>
      </c>
      <c r="Y22" s="102">
        <f t="shared" si="20"/>
        <v>10</v>
      </c>
      <c r="Z22" s="102">
        <f t="shared" si="20"/>
        <v>10</v>
      </c>
      <c r="AA22" s="102">
        <f t="shared" si="20"/>
        <v>10</v>
      </c>
      <c r="AB22" s="102">
        <f t="shared" si="20"/>
        <v>15</v>
      </c>
      <c r="AC22" s="102">
        <f t="shared" si="20"/>
        <v>20</v>
      </c>
      <c r="AD22" s="102">
        <f t="shared" si="20"/>
        <v>20</v>
      </c>
      <c r="AE22" s="102">
        <f t="shared" si="20"/>
        <v>25</v>
      </c>
      <c r="AF22" s="102">
        <f t="shared" si="20"/>
        <v>25</v>
      </c>
      <c r="AG22" s="102">
        <f t="shared" si="20"/>
        <v>25</v>
      </c>
      <c r="AH22" s="102">
        <f t="shared" si="20"/>
        <v>25</v>
      </c>
      <c r="AI22" s="102">
        <f t="shared" si="20"/>
        <v>25</v>
      </c>
      <c r="AJ22" s="102">
        <f t="shared" si="20"/>
        <v>25</v>
      </c>
      <c r="AK22" s="102">
        <f t="shared" si="20"/>
        <v>25</v>
      </c>
      <c r="AL22" s="102">
        <f t="shared" si="20"/>
        <v>25</v>
      </c>
      <c r="AM22" s="102">
        <f t="shared" si="20"/>
        <v>25</v>
      </c>
      <c r="AN22" s="102">
        <f t="shared" si="20"/>
        <v>25</v>
      </c>
      <c r="AO22" s="102">
        <f t="shared" si="20"/>
        <v>25</v>
      </c>
      <c r="AP22" s="102">
        <f t="shared" si="20"/>
        <v>25</v>
      </c>
      <c r="AQ22" s="102">
        <f t="shared" si="20"/>
        <v>29</v>
      </c>
      <c r="AR22" s="102">
        <f t="shared" si="20"/>
        <v>29</v>
      </c>
      <c r="AS22" s="102">
        <f t="shared" si="20"/>
        <v>30</v>
      </c>
      <c r="AT22" s="102">
        <f t="shared" si="20"/>
        <v>30</v>
      </c>
      <c r="AU22" s="102">
        <f t="shared" si="20"/>
        <v>30</v>
      </c>
      <c r="AV22" s="102">
        <f t="shared" si="20"/>
        <v>30</v>
      </c>
      <c r="AW22" s="102">
        <f t="shared" si="20"/>
        <v>30</v>
      </c>
      <c r="AX22" s="102">
        <f t="shared" si="20"/>
        <v>30</v>
      </c>
      <c r="AY22" s="102">
        <f t="shared" si="20"/>
        <v>30</v>
      </c>
      <c r="AZ22" s="102">
        <f t="shared" si="20"/>
        <v>30</v>
      </c>
      <c r="BA22" s="102">
        <f t="shared" si="20"/>
        <v>30</v>
      </c>
      <c r="BB22" s="102">
        <f t="shared" si="20"/>
        <v>30</v>
      </c>
      <c r="BC22" s="102">
        <f t="shared" si="20"/>
        <v>30</v>
      </c>
      <c r="BD22" s="102">
        <f t="shared" si="20"/>
        <v>30</v>
      </c>
      <c r="BE22" s="102">
        <f t="shared" si="20"/>
        <v>30</v>
      </c>
      <c r="BF22" s="102">
        <f t="shared" si="20"/>
        <v>30</v>
      </c>
      <c r="BG22" s="102">
        <f t="shared" si="20"/>
        <v>30</v>
      </c>
      <c r="BH22" s="102">
        <f t="shared" si="20"/>
        <v>30</v>
      </c>
      <c r="BI22" s="102">
        <f t="shared" si="20"/>
        <v>30</v>
      </c>
      <c r="BJ22" s="102">
        <f t="shared" si="20"/>
        <v>30</v>
      </c>
      <c r="BK22" s="102">
        <f t="shared" si="20"/>
        <v>30</v>
      </c>
      <c r="BL22" s="102">
        <f t="shared" si="20"/>
        <v>30</v>
      </c>
      <c r="BM22" s="102">
        <f t="shared" si="20"/>
        <v>30</v>
      </c>
      <c r="BN22" s="102">
        <f t="shared" si="20"/>
        <v>30</v>
      </c>
      <c r="BO22" s="102">
        <f t="shared" si="20"/>
        <v>30</v>
      </c>
      <c r="BP22" s="102">
        <f t="shared" si="20"/>
        <v>30</v>
      </c>
      <c r="BQ22" s="102">
        <f t="shared" si="20"/>
        <v>30</v>
      </c>
      <c r="BR22" s="102">
        <f t="shared" si="20"/>
        <v>30</v>
      </c>
      <c r="BS22" s="102">
        <f t="shared" si="20"/>
        <v>30</v>
      </c>
      <c r="BT22" s="102">
        <f t="shared" si="20"/>
        <v>30</v>
      </c>
      <c r="BU22" s="102">
        <f t="shared" si="20"/>
        <v>30</v>
      </c>
      <c r="BV22" s="102">
        <f t="shared" si="20"/>
        <v>30</v>
      </c>
      <c r="BW22" s="102">
        <f t="shared" si="20"/>
        <v>30</v>
      </c>
      <c r="BX22" s="102">
        <f t="shared" si="20"/>
        <v>30</v>
      </c>
      <c r="BY22" s="102">
        <f t="shared" si="20"/>
        <v>30</v>
      </c>
      <c r="BZ22" s="102">
        <f t="shared" si="20"/>
        <v>30</v>
      </c>
      <c r="CA22" s="102">
        <f t="shared" si="20"/>
        <v>30</v>
      </c>
      <c r="CB22" s="102">
        <f t="shared" si="20"/>
        <v>30</v>
      </c>
      <c r="CC22" s="102">
        <f t="shared" si="20"/>
        <v>30</v>
      </c>
      <c r="CD22" s="102">
        <f t="shared" si="20"/>
        <v>30</v>
      </c>
      <c r="CE22" s="102">
        <f t="shared" si="20"/>
        <v>30</v>
      </c>
      <c r="CF22" s="102">
        <f t="shared" ref="CF22:EQ22" si="21">CE22+CF23</f>
        <v>30</v>
      </c>
      <c r="CG22" s="102">
        <f t="shared" si="21"/>
        <v>30</v>
      </c>
      <c r="CH22" s="102">
        <f t="shared" si="21"/>
        <v>30</v>
      </c>
      <c r="CI22" s="102">
        <f t="shared" si="21"/>
        <v>30</v>
      </c>
      <c r="CJ22" s="102">
        <f t="shared" si="21"/>
        <v>30</v>
      </c>
      <c r="CK22" s="102">
        <f t="shared" si="21"/>
        <v>30</v>
      </c>
      <c r="CL22" s="102">
        <f t="shared" si="21"/>
        <v>30</v>
      </c>
      <c r="CM22" s="102">
        <f t="shared" si="21"/>
        <v>30</v>
      </c>
      <c r="CN22" s="102">
        <f t="shared" si="21"/>
        <v>30</v>
      </c>
      <c r="CO22" s="102">
        <f t="shared" si="21"/>
        <v>30</v>
      </c>
      <c r="CP22" s="102">
        <f t="shared" si="21"/>
        <v>30</v>
      </c>
      <c r="CQ22" s="102">
        <f t="shared" si="21"/>
        <v>30</v>
      </c>
      <c r="CR22" s="102">
        <f t="shared" si="21"/>
        <v>30</v>
      </c>
      <c r="CS22" s="102">
        <f t="shared" si="21"/>
        <v>30</v>
      </c>
      <c r="CT22" s="102">
        <f t="shared" si="21"/>
        <v>30</v>
      </c>
      <c r="CU22" s="102">
        <f t="shared" si="21"/>
        <v>30</v>
      </c>
      <c r="CV22" s="102">
        <f t="shared" si="21"/>
        <v>30</v>
      </c>
      <c r="CW22" s="102">
        <f t="shared" si="21"/>
        <v>30</v>
      </c>
      <c r="CX22" s="102">
        <f t="shared" si="21"/>
        <v>30</v>
      </c>
      <c r="CY22" s="102">
        <f t="shared" si="21"/>
        <v>30</v>
      </c>
      <c r="CZ22" s="102">
        <f t="shared" si="21"/>
        <v>30</v>
      </c>
      <c r="DA22" s="102">
        <f t="shared" si="21"/>
        <v>30</v>
      </c>
      <c r="DB22" s="102">
        <f t="shared" si="21"/>
        <v>30</v>
      </c>
      <c r="DC22" s="102">
        <f t="shared" si="21"/>
        <v>30</v>
      </c>
      <c r="DD22" s="102">
        <f t="shared" si="21"/>
        <v>30</v>
      </c>
      <c r="DE22" s="102">
        <f t="shared" si="21"/>
        <v>30</v>
      </c>
      <c r="DF22" s="102">
        <f t="shared" si="21"/>
        <v>30</v>
      </c>
      <c r="DG22" s="102">
        <f t="shared" si="21"/>
        <v>30</v>
      </c>
      <c r="DH22" s="102">
        <f t="shared" si="21"/>
        <v>30</v>
      </c>
      <c r="DI22" s="102">
        <f t="shared" si="21"/>
        <v>30</v>
      </c>
      <c r="DJ22" s="102">
        <f t="shared" si="21"/>
        <v>30</v>
      </c>
      <c r="DK22" s="102">
        <f t="shared" si="21"/>
        <v>30</v>
      </c>
      <c r="DL22" s="102">
        <f t="shared" si="21"/>
        <v>30</v>
      </c>
      <c r="DM22" s="102">
        <f t="shared" si="21"/>
        <v>30</v>
      </c>
      <c r="DN22" s="102">
        <f t="shared" si="21"/>
        <v>30</v>
      </c>
      <c r="DO22" s="102">
        <f t="shared" si="21"/>
        <v>30</v>
      </c>
      <c r="DP22" s="102">
        <f t="shared" si="21"/>
        <v>30</v>
      </c>
      <c r="DQ22" s="102">
        <f t="shared" si="21"/>
        <v>30</v>
      </c>
      <c r="DR22" s="102">
        <f t="shared" si="21"/>
        <v>30</v>
      </c>
      <c r="DS22" s="102">
        <f t="shared" si="21"/>
        <v>30</v>
      </c>
      <c r="DT22" s="102">
        <f t="shared" si="21"/>
        <v>30</v>
      </c>
      <c r="DU22" s="102">
        <f t="shared" si="21"/>
        <v>30</v>
      </c>
      <c r="DV22" s="102">
        <f t="shared" si="21"/>
        <v>30</v>
      </c>
      <c r="DW22" s="102">
        <f t="shared" si="21"/>
        <v>30</v>
      </c>
      <c r="DX22" s="102">
        <f t="shared" si="21"/>
        <v>30</v>
      </c>
      <c r="DY22" s="102">
        <f t="shared" si="21"/>
        <v>30</v>
      </c>
      <c r="DZ22" s="102">
        <f t="shared" si="21"/>
        <v>30</v>
      </c>
      <c r="EA22" s="102">
        <f t="shared" si="21"/>
        <v>30</v>
      </c>
      <c r="EB22" s="102">
        <f t="shared" si="21"/>
        <v>30</v>
      </c>
      <c r="EC22" s="102">
        <f t="shared" si="21"/>
        <v>30</v>
      </c>
      <c r="ED22" s="102">
        <f t="shared" si="21"/>
        <v>30</v>
      </c>
      <c r="EE22" s="102">
        <f t="shared" si="21"/>
        <v>30</v>
      </c>
      <c r="EF22" s="102">
        <f t="shared" si="21"/>
        <v>30</v>
      </c>
      <c r="EG22" s="102">
        <f t="shared" si="21"/>
        <v>30</v>
      </c>
      <c r="EH22" s="102">
        <f t="shared" si="21"/>
        <v>30</v>
      </c>
      <c r="EI22" s="102">
        <f t="shared" si="21"/>
        <v>30</v>
      </c>
      <c r="EJ22" s="102">
        <f t="shared" si="21"/>
        <v>30</v>
      </c>
      <c r="EK22" s="102">
        <f t="shared" si="21"/>
        <v>30</v>
      </c>
      <c r="EL22" s="102">
        <f t="shared" si="21"/>
        <v>30</v>
      </c>
      <c r="EM22" s="102">
        <f t="shared" si="21"/>
        <v>30</v>
      </c>
      <c r="EN22" s="102">
        <f t="shared" si="21"/>
        <v>30</v>
      </c>
      <c r="EO22" s="102">
        <f t="shared" si="21"/>
        <v>30</v>
      </c>
      <c r="EP22" s="102">
        <f t="shared" si="21"/>
        <v>30</v>
      </c>
      <c r="EQ22" s="102">
        <f t="shared" si="21"/>
        <v>30</v>
      </c>
      <c r="ER22" s="64"/>
      <c r="ES22" s="421"/>
      <c r="ET22" s="63"/>
      <c r="EU22" s="92"/>
    </row>
    <row r="23" spans="2:151" s="87" customFormat="1" ht="15.75" outlineLevel="1">
      <c r="B23" s="255" t="s">
        <v>93</v>
      </c>
      <c r="C23" s="256">
        <f>SUM(P23:EQ23)</f>
        <v>30</v>
      </c>
      <c r="D23" s="256"/>
      <c r="E23" s="256"/>
      <c r="F23" s="256"/>
      <c r="G23" s="482" t="s">
        <v>99</v>
      </c>
      <c r="H23" s="482"/>
      <c r="I23" s="184"/>
      <c r="J23" s="214"/>
      <c r="K23" s="183"/>
      <c r="L23" s="184"/>
      <c r="M23" s="184"/>
      <c r="N23" s="214"/>
      <c r="O23" s="776"/>
      <c r="P23" s="301">
        <f>P36</f>
        <v>0</v>
      </c>
      <c r="Q23" s="301">
        <f>Q36</f>
        <v>1</v>
      </c>
      <c r="R23" s="301">
        <f t="shared" ref="R23:CC23" si="22">R36</f>
        <v>4</v>
      </c>
      <c r="S23" s="301">
        <f t="shared" si="22"/>
        <v>5</v>
      </c>
      <c r="T23" s="301">
        <f t="shared" si="22"/>
        <v>0</v>
      </c>
      <c r="U23" s="301">
        <f t="shared" si="22"/>
        <v>0</v>
      </c>
      <c r="V23" s="301">
        <f t="shared" si="22"/>
        <v>0</v>
      </c>
      <c r="W23" s="301">
        <f t="shared" si="22"/>
        <v>0</v>
      </c>
      <c r="X23" s="301">
        <f t="shared" si="22"/>
        <v>0</v>
      </c>
      <c r="Y23" s="301">
        <f t="shared" si="22"/>
        <v>0</v>
      </c>
      <c r="Z23" s="301">
        <f t="shared" si="22"/>
        <v>0</v>
      </c>
      <c r="AA23" s="301">
        <f t="shared" si="22"/>
        <v>0</v>
      </c>
      <c r="AB23" s="301">
        <f t="shared" si="22"/>
        <v>5</v>
      </c>
      <c r="AC23" s="301">
        <f t="shared" si="22"/>
        <v>5</v>
      </c>
      <c r="AD23" s="301">
        <f t="shared" si="22"/>
        <v>0</v>
      </c>
      <c r="AE23" s="301">
        <f t="shared" si="22"/>
        <v>5</v>
      </c>
      <c r="AF23" s="301">
        <f t="shared" si="22"/>
        <v>0</v>
      </c>
      <c r="AG23" s="301">
        <f t="shared" si="22"/>
        <v>0</v>
      </c>
      <c r="AH23" s="301">
        <f t="shared" si="22"/>
        <v>0</v>
      </c>
      <c r="AI23" s="301">
        <f t="shared" si="22"/>
        <v>0</v>
      </c>
      <c r="AJ23" s="301">
        <f t="shared" si="22"/>
        <v>0</v>
      </c>
      <c r="AK23" s="301">
        <f t="shared" si="22"/>
        <v>0</v>
      </c>
      <c r="AL23" s="301">
        <f t="shared" si="22"/>
        <v>0</v>
      </c>
      <c r="AM23" s="301">
        <f t="shared" si="22"/>
        <v>0</v>
      </c>
      <c r="AN23" s="301">
        <f t="shared" si="22"/>
        <v>0</v>
      </c>
      <c r="AO23" s="301">
        <f t="shared" si="22"/>
        <v>0</v>
      </c>
      <c r="AP23" s="301">
        <f t="shared" si="22"/>
        <v>0</v>
      </c>
      <c r="AQ23" s="301">
        <f t="shared" si="22"/>
        <v>4</v>
      </c>
      <c r="AR23" s="301">
        <f t="shared" si="22"/>
        <v>0</v>
      </c>
      <c r="AS23" s="301">
        <f t="shared" si="22"/>
        <v>1</v>
      </c>
      <c r="AT23" s="301">
        <f t="shared" si="22"/>
        <v>0</v>
      </c>
      <c r="AU23" s="301">
        <f t="shared" si="22"/>
        <v>0</v>
      </c>
      <c r="AV23" s="301">
        <f t="shared" si="22"/>
        <v>0</v>
      </c>
      <c r="AW23" s="301">
        <f t="shared" si="22"/>
        <v>0</v>
      </c>
      <c r="AX23" s="301">
        <f t="shared" si="22"/>
        <v>0</v>
      </c>
      <c r="AY23" s="301">
        <f t="shared" si="22"/>
        <v>0</v>
      </c>
      <c r="AZ23" s="301">
        <f t="shared" si="22"/>
        <v>0</v>
      </c>
      <c r="BA23" s="301">
        <f t="shared" si="22"/>
        <v>0</v>
      </c>
      <c r="BB23" s="301">
        <f t="shared" si="22"/>
        <v>0</v>
      </c>
      <c r="BC23" s="301">
        <f t="shared" si="22"/>
        <v>0</v>
      </c>
      <c r="BD23" s="301">
        <f t="shared" si="22"/>
        <v>0</v>
      </c>
      <c r="BE23" s="301">
        <f t="shared" si="22"/>
        <v>0</v>
      </c>
      <c r="BF23" s="301">
        <f t="shared" si="22"/>
        <v>0</v>
      </c>
      <c r="BG23" s="301">
        <f t="shared" si="22"/>
        <v>0</v>
      </c>
      <c r="BH23" s="301">
        <f t="shared" si="22"/>
        <v>0</v>
      </c>
      <c r="BI23" s="301">
        <f t="shared" si="22"/>
        <v>0</v>
      </c>
      <c r="BJ23" s="301">
        <f t="shared" si="22"/>
        <v>0</v>
      </c>
      <c r="BK23" s="301">
        <f t="shared" si="22"/>
        <v>0</v>
      </c>
      <c r="BL23" s="301">
        <f t="shared" si="22"/>
        <v>0</v>
      </c>
      <c r="BM23" s="301">
        <f t="shared" si="22"/>
        <v>0</v>
      </c>
      <c r="BN23" s="301">
        <f t="shared" si="22"/>
        <v>0</v>
      </c>
      <c r="BO23" s="301">
        <f t="shared" si="22"/>
        <v>0</v>
      </c>
      <c r="BP23" s="301">
        <f t="shared" si="22"/>
        <v>0</v>
      </c>
      <c r="BQ23" s="301">
        <f t="shared" si="22"/>
        <v>0</v>
      </c>
      <c r="BR23" s="301">
        <f t="shared" si="22"/>
        <v>0</v>
      </c>
      <c r="BS23" s="301">
        <f t="shared" si="22"/>
        <v>0</v>
      </c>
      <c r="BT23" s="301">
        <f t="shared" si="22"/>
        <v>0</v>
      </c>
      <c r="BU23" s="301">
        <f t="shared" si="22"/>
        <v>0</v>
      </c>
      <c r="BV23" s="301">
        <f t="shared" si="22"/>
        <v>0</v>
      </c>
      <c r="BW23" s="301">
        <f t="shared" si="22"/>
        <v>0</v>
      </c>
      <c r="BX23" s="301">
        <f t="shared" si="22"/>
        <v>0</v>
      </c>
      <c r="BY23" s="301">
        <f t="shared" si="22"/>
        <v>0</v>
      </c>
      <c r="BZ23" s="301">
        <f t="shared" si="22"/>
        <v>0</v>
      </c>
      <c r="CA23" s="301">
        <f t="shared" si="22"/>
        <v>0</v>
      </c>
      <c r="CB23" s="301">
        <f t="shared" si="22"/>
        <v>0</v>
      </c>
      <c r="CC23" s="301">
        <f t="shared" si="22"/>
        <v>0</v>
      </c>
      <c r="CD23" s="301">
        <f t="shared" ref="CD23:EO23" si="23">CD36</f>
        <v>0</v>
      </c>
      <c r="CE23" s="301">
        <f t="shared" si="23"/>
        <v>0</v>
      </c>
      <c r="CF23" s="301">
        <f t="shared" si="23"/>
        <v>0</v>
      </c>
      <c r="CG23" s="301">
        <f t="shared" si="23"/>
        <v>0</v>
      </c>
      <c r="CH23" s="301">
        <f t="shared" si="23"/>
        <v>0</v>
      </c>
      <c r="CI23" s="301">
        <f t="shared" si="23"/>
        <v>0</v>
      </c>
      <c r="CJ23" s="301">
        <f t="shared" si="23"/>
        <v>0</v>
      </c>
      <c r="CK23" s="301">
        <f t="shared" si="23"/>
        <v>0</v>
      </c>
      <c r="CL23" s="301">
        <f t="shared" si="23"/>
        <v>0</v>
      </c>
      <c r="CM23" s="301">
        <f t="shared" si="23"/>
        <v>0</v>
      </c>
      <c r="CN23" s="301">
        <f t="shared" si="23"/>
        <v>0</v>
      </c>
      <c r="CO23" s="301">
        <f t="shared" si="23"/>
        <v>0</v>
      </c>
      <c r="CP23" s="301">
        <f t="shared" si="23"/>
        <v>0</v>
      </c>
      <c r="CQ23" s="301">
        <f t="shared" si="23"/>
        <v>0</v>
      </c>
      <c r="CR23" s="301">
        <f t="shared" si="23"/>
        <v>0</v>
      </c>
      <c r="CS23" s="301">
        <f t="shared" si="23"/>
        <v>0</v>
      </c>
      <c r="CT23" s="301">
        <f t="shared" si="23"/>
        <v>0</v>
      </c>
      <c r="CU23" s="301">
        <f t="shared" si="23"/>
        <v>0</v>
      </c>
      <c r="CV23" s="301">
        <f t="shared" si="23"/>
        <v>0</v>
      </c>
      <c r="CW23" s="301">
        <f t="shared" si="23"/>
        <v>0</v>
      </c>
      <c r="CX23" s="301">
        <f t="shared" si="23"/>
        <v>0</v>
      </c>
      <c r="CY23" s="301">
        <f t="shared" si="23"/>
        <v>0</v>
      </c>
      <c r="CZ23" s="301">
        <f t="shared" si="23"/>
        <v>0</v>
      </c>
      <c r="DA23" s="301">
        <f t="shared" si="23"/>
        <v>0</v>
      </c>
      <c r="DB23" s="301">
        <f t="shared" si="23"/>
        <v>0</v>
      </c>
      <c r="DC23" s="301">
        <f t="shared" si="23"/>
        <v>0</v>
      </c>
      <c r="DD23" s="301">
        <f t="shared" si="23"/>
        <v>0</v>
      </c>
      <c r="DE23" s="301">
        <f t="shared" si="23"/>
        <v>0</v>
      </c>
      <c r="DF23" s="301">
        <f t="shared" si="23"/>
        <v>0</v>
      </c>
      <c r="DG23" s="301">
        <f t="shared" si="23"/>
        <v>0</v>
      </c>
      <c r="DH23" s="301">
        <f t="shared" si="23"/>
        <v>0</v>
      </c>
      <c r="DI23" s="301">
        <f t="shared" si="23"/>
        <v>0</v>
      </c>
      <c r="DJ23" s="301">
        <f t="shared" si="23"/>
        <v>0</v>
      </c>
      <c r="DK23" s="301">
        <f t="shared" si="23"/>
        <v>0</v>
      </c>
      <c r="DL23" s="301">
        <f t="shared" si="23"/>
        <v>0</v>
      </c>
      <c r="DM23" s="301">
        <f t="shared" si="23"/>
        <v>0</v>
      </c>
      <c r="DN23" s="301">
        <f t="shared" si="23"/>
        <v>0</v>
      </c>
      <c r="DO23" s="301">
        <f t="shared" si="23"/>
        <v>0</v>
      </c>
      <c r="DP23" s="301">
        <f t="shared" si="23"/>
        <v>0</v>
      </c>
      <c r="DQ23" s="301">
        <f t="shared" si="23"/>
        <v>0</v>
      </c>
      <c r="DR23" s="301">
        <f t="shared" si="23"/>
        <v>0</v>
      </c>
      <c r="DS23" s="301">
        <f t="shared" si="23"/>
        <v>0</v>
      </c>
      <c r="DT23" s="301">
        <f t="shared" si="23"/>
        <v>0</v>
      </c>
      <c r="DU23" s="301">
        <f t="shared" si="23"/>
        <v>0</v>
      </c>
      <c r="DV23" s="301">
        <f t="shared" si="23"/>
        <v>0</v>
      </c>
      <c r="DW23" s="301">
        <f t="shared" si="23"/>
        <v>0</v>
      </c>
      <c r="DX23" s="301">
        <f t="shared" si="23"/>
        <v>0</v>
      </c>
      <c r="DY23" s="301">
        <f t="shared" si="23"/>
        <v>0</v>
      </c>
      <c r="DZ23" s="301">
        <f t="shared" si="23"/>
        <v>0</v>
      </c>
      <c r="EA23" s="301">
        <f t="shared" si="23"/>
        <v>0</v>
      </c>
      <c r="EB23" s="301">
        <f t="shared" si="23"/>
        <v>0</v>
      </c>
      <c r="EC23" s="301">
        <f t="shared" si="23"/>
        <v>0</v>
      </c>
      <c r="ED23" s="301">
        <f t="shared" si="23"/>
        <v>0</v>
      </c>
      <c r="EE23" s="301">
        <f t="shared" si="23"/>
        <v>0</v>
      </c>
      <c r="EF23" s="301">
        <f t="shared" si="23"/>
        <v>0</v>
      </c>
      <c r="EG23" s="301">
        <f t="shared" si="23"/>
        <v>0</v>
      </c>
      <c r="EH23" s="301">
        <f t="shared" si="23"/>
        <v>0</v>
      </c>
      <c r="EI23" s="301">
        <f t="shared" si="23"/>
        <v>0</v>
      </c>
      <c r="EJ23" s="301">
        <f t="shared" si="23"/>
        <v>0</v>
      </c>
      <c r="EK23" s="301">
        <f t="shared" si="23"/>
        <v>0</v>
      </c>
      <c r="EL23" s="301">
        <f t="shared" si="23"/>
        <v>0</v>
      </c>
      <c r="EM23" s="301">
        <f t="shared" si="23"/>
        <v>0</v>
      </c>
      <c r="EN23" s="301">
        <f t="shared" si="23"/>
        <v>0</v>
      </c>
      <c r="EO23" s="301">
        <f t="shared" si="23"/>
        <v>0</v>
      </c>
      <c r="EP23" s="301">
        <f>EP36</f>
        <v>0</v>
      </c>
      <c r="EQ23" s="301">
        <f>EQ36</f>
        <v>0</v>
      </c>
      <c r="ER23" s="64"/>
      <c r="ES23" s="421"/>
      <c r="ET23" s="63"/>
      <c r="EU23" s="92"/>
    </row>
    <row r="24" spans="2:151" s="87" customFormat="1" ht="15.75" outlineLevel="1">
      <c r="B24" s="255" t="s">
        <v>93</v>
      </c>
      <c r="C24" s="256">
        <f>SUM(P24:EQ24)</f>
        <v>22</v>
      </c>
      <c r="D24" s="256"/>
      <c r="E24" s="256"/>
      <c r="F24" s="256"/>
      <c r="G24" s="483" t="s">
        <v>94</v>
      </c>
      <c r="H24" s="483"/>
      <c r="I24" s="268"/>
      <c r="J24" s="270"/>
      <c r="K24" s="269"/>
      <c r="L24" s="268"/>
      <c r="M24" s="268"/>
      <c r="N24" s="270"/>
      <c r="O24" s="793"/>
      <c r="P24" s="271">
        <f>'Renovation Timing'!C33</f>
        <v>0</v>
      </c>
      <c r="Q24" s="271">
        <f>'Renovation Timing'!D33</f>
        <v>5</v>
      </c>
      <c r="R24" s="271">
        <f>'Renovation Timing'!E33</f>
        <v>3</v>
      </c>
      <c r="S24" s="271">
        <f>'Renovation Timing'!F33</f>
        <v>3</v>
      </c>
      <c r="T24" s="271">
        <f>'Renovation Timing'!G33</f>
        <v>0</v>
      </c>
      <c r="U24" s="271">
        <f>'Renovation Timing'!H33</f>
        <v>3</v>
      </c>
      <c r="V24" s="271">
        <f>'Renovation Timing'!I33</f>
        <v>1</v>
      </c>
      <c r="W24" s="271">
        <f>'Renovation Timing'!J33</f>
        <v>1</v>
      </c>
      <c r="X24" s="271">
        <f>'Renovation Timing'!K33</f>
        <v>4</v>
      </c>
      <c r="Y24" s="271">
        <f>'Renovation Timing'!L33</f>
        <v>2</v>
      </c>
      <c r="Z24" s="271">
        <f>'Renovation Timing'!M33</f>
        <v>0</v>
      </c>
      <c r="AA24" s="271">
        <f>'Renovation Timing'!N33</f>
        <v>0</v>
      </c>
      <c r="AB24" s="271">
        <f>'Renovation Timing'!O33</f>
        <v>0</v>
      </c>
      <c r="AC24" s="271">
        <f>'Renovation Timing'!P33</f>
        <v>0</v>
      </c>
      <c r="AD24" s="271">
        <f>'Renovation Timing'!Q33</f>
        <v>0</v>
      </c>
      <c r="AE24" s="271">
        <f>'Renovation Timing'!R33</f>
        <v>0</v>
      </c>
      <c r="AF24" s="271">
        <f>'Renovation Timing'!S33</f>
        <v>0</v>
      </c>
      <c r="AG24" s="271">
        <f>'Renovation Timing'!T33</f>
        <v>0</v>
      </c>
      <c r="AH24" s="271">
        <f>'Renovation Timing'!U33</f>
        <v>0</v>
      </c>
      <c r="AI24" s="271">
        <f>'Renovation Timing'!V33</f>
        <v>0</v>
      </c>
      <c r="AJ24" s="271">
        <f>'Renovation Timing'!W33</f>
        <v>0</v>
      </c>
      <c r="AK24" s="271">
        <f>'Renovation Timing'!X33</f>
        <v>0</v>
      </c>
      <c r="AL24" s="271">
        <f>'Renovation Timing'!Y33</f>
        <v>0</v>
      </c>
      <c r="AM24" s="271">
        <f>'Renovation Timing'!Z33</f>
        <v>0</v>
      </c>
      <c r="AN24" s="271">
        <f>'Renovation Timing'!AA33</f>
        <v>0</v>
      </c>
      <c r="AO24" s="271">
        <f>'Renovation Timing'!AB33</f>
        <v>0</v>
      </c>
      <c r="AP24" s="271">
        <f>'Renovation Timing'!AC33</f>
        <v>0</v>
      </c>
      <c r="AQ24" s="271">
        <f>'Renovation Timing'!AD33</f>
        <v>0</v>
      </c>
      <c r="AR24" s="271">
        <f>'Renovation Timing'!AE33</f>
        <v>0</v>
      </c>
      <c r="AS24" s="271">
        <f>'Renovation Timing'!AF33</f>
        <v>0</v>
      </c>
      <c r="AT24" s="271">
        <f>'Renovation Timing'!AG33</f>
        <v>0</v>
      </c>
      <c r="AU24" s="271">
        <f>'Renovation Timing'!AH33</f>
        <v>0</v>
      </c>
      <c r="AV24" s="271">
        <f>'Renovation Timing'!AI33</f>
        <v>0</v>
      </c>
      <c r="AW24" s="271">
        <f>'Renovation Timing'!AJ33</f>
        <v>0</v>
      </c>
      <c r="AX24" s="271">
        <f>'Renovation Timing'!AK33</f>
        <v>0</v>
      </c>
      <c r="AY24" s="271">
        <f>'Renovation Timing'!AL33</f>
        <v>0</v>
      </c>
      <c r="AZ24" s="271">
        <f>'Renovation Timing'!AM33</f>
        <v>0</v>
      </c>
      <c r="BA24" s="271">
        <f>'Renovation Timing'!AN33</f>
        <v>0</v>
      </c>
      <c r="BB24" s="271">
        <f>'Renovation Timing'!AO33</f>
        <v>0</v>
      </c>
      <c r="BC24" s="271">
        <f>'Renovation Timing'!AP33</f>
        <v>0</v>
      </c>
      <c r="BD24" s="271">
        <f>'Renovation Timing'!AQ33</f>
        <v>0</v>
      </c>
      <c r="BE24" s="271">
        <f>'Renovation Timing'!AR33</f>
        <v>0</v>
      </c>
      <c r="BF24" s="271">
        <f>'Renovation Timing'!AS33</f>
        <v>0</v>
      </c>
      <c r="BG24" s="271">
        <f>'Renovation Timing'!AT33</f>
        <v>0</v>
      </c>
      <c r="BH24" s="271">
        <f>'Renovation Timing'!AU33</f>
        <v>0</v>
      </c>
      <c r="BI24" s="271">
        <f>'Renovation Timing'!AV33</f>
        <v>0</v>
      </c>
      <c r="BJ24" s="271">
        <f>'Renovation Timing'!AW33</f>
        <v>0</v>
      </c>
      <c r="BK24" s="271">
        <f>'Renovation Timing'!AX33</f>
        <v>0</v>
      </c>
      <c r="BL24" s="271">
        <f>'Renovation Timing'!AY33</f>
        <v>0</v>
      </c>
      <c r="BM24" s="271">
        <f>'Renovation Timing'!AZ33</f>
        <v>0</v>
      </c>
      <c r="BN24" s="271">
        <f>'Renovation Timing'!BA33</f>
        <v>0</v>
      </c>
      <c r="BO24" s="271">
        <f>'Renovation Timing'!BB33</f>
        <v>0</v>
      </c>
      <c r="BP24" s="271">
        <f>'Renovation Timing'!BC33</f>
        <v>0</v>
      </c>
      <c r="BQ24" s="271">
        <f>'Renovation Timing'!BD33</f>
        <v>0</v>
      </c>
      <c r="BR24" s="271">
        <f>'Renovation Timing'!BE33</f>
        <v>0</v>
      </c>
      <c r="BS24" s="271">
        <f>'Renovation Timing'!BF33</f>
        <v>0</v>
      </c>
      <c r="BT24" s="271">
        <f>'Renovation Timing'!BG33</f>
        <v>0</v>
      </c>
      <c r="BU24" s="271">
        <f>'Renovation Timing'!BH33</f>
        <v>0</v>
      </c>
      <c r="BV24" s="271">
        <f>'Renovation Timing'!BI33</f>
        <v>0</v>
      </c>
      <c r="BW24" s="271">
        <f>'Renovation Timing'!BJ33</f>
        <v>0</v>
      </c>
      <c r="BX24" s="271">
        <f>'Renovation Timing'!BK33</f>
        <v>0</v>
      </c>
      <c r="BY24" s="271">
        <f>'Renovation Timing'!BL33</f>
        <v>0</v>
      </c>
      <c r="BZ24" s="271">
        <f>'Renovation Timing'!BM33</f>
        <v>0</v>
      </c>
      <c r="CA24" s="271">
        <f>'Renovation Timing'!BN33</f>
        <v>0</v>
      </c>
      <c r="CB24" s="271">
        <f>'Renovation Timing'!BO33</f>
        <v>0</v>
      </c>
      <c r="CC24" s="271">
        <f>'Renovation Timing'!BP33</f>
        <v>0</v>
      </c>
      <c r="CD24" s="271">
        <f>'Renovation Timing'!BQ33</f>
        <v>0</v>
      </c>
      <c r="CE24" s="271">
        <f>'Renovation Timing'!BR33</f>
        <v>0</v>
      </c>
      <c r="CF24" s="271">
        <f>'Renovation Timing'!BS33</f>
        <v>0</v>
      </c>
      <c r="CG24" s="271">
        <f>'Renovation Timing'!BT33</f>
        <v>0</v>
      </c>
      <c r="CH24" s="271">
        <f>'Renovation Timing'!BU33</f>
        <v>0</v>
      </c>
      <c r="CI24" s="271">
        <f>'Renovation Timing'!BV33</f>
        <v>0</v>
      </c>
      <c r="CJ24" s="271">
        <f>'Renovation Timing'!BW33</f>
        <v>0</v>
      </c>
      <c r="CK24" s="271">
        <f>'Renovation Timing'!BX33</f>
        <v>0</v>
      </c>
      <c r="CL24" s="271">
        <f>'Renovation Timing'!BY33</f>
        <v>0</v>
      </c>
      <c r="CM24" s="271">
        <f>'Renovation Timing'!BZ33</f>
        <v>0</v>
      </c>
      <c r="CN24" s="271">
        <f>'Renovation Timing'!CA33</f>
        <v>0</v>
      </c>
      <c r="CO24" s="271">
        <f>'Renovation Timing'!CB33</f>
        <v>0</v>
      </c>
      <c r="CP24" s="271">
        <f>'Renovation Timing'!CC33</f>
        <v>0</v>
      </c>
      <c r="CQ24" s="271">
        <f>'Renovation Timing'!CD33</f>
        <v>0</v>
      </c>
      <c r="CR24" s="271">
        <f>'Renovation Timing'!CE33</f>
        <v>0</v>
      </c>
      <c r="CS24" s="271">
        <f>'Renovation Timing'!CF33</f>
        <v>0</v>
      </c>
      <c r="CT24" s="271">
        <f>'Renovation Timing'!CG33</f>
        <v>0</v>
      </c>
      <c r="CU24" s="271">
        <f>'Renovation Timing'!CH33</f>
        <v>0</v>
      </c>
      <c r="CV24" s="271">
        <f>'Renovation Timing'!CI33</f>
        <v>0</v>
      </c>
      <c r="CW24" s="271">
        <f>'Renovation Timing'!CJ33</f>
        <v>0</v>
      </c>
      <c r="CX24" s="271">
        <f>'Renovation Timing'!CK33</f>
        <v>0</v>
      </c>
      <c r="CY24" s="271">
        <f>'Renovation Timing'!CL33</f>
        <v>0</v>
      </c>
      <c r="CZ24" s="271">
        <f>'Renovation Timing'!CM33</f>
        <v>0</v>
      </c>
      <c r="DA24" s="271">
        <f>'Renovation Timing'!CN33</f>
        <v>0</v>
      </c>
      <c r="DB24" s="271">
        <f>'Renovation Timing'!CO33</f>
        <v>0</v>
      </c>
      <c r="DC24" s="271">
        <f>'Renovation Timing'!CP33</f>
        <v>0</v>
      </c>
      <c r="DD24" s="271">
        <f>'Renovation Timing'!CQ33</f>
        <v>0</v>
      </c>
      <c r="DE24" s="271">
        <f>'Renovation Timing'!CR33</f>
        <v>0</v>
      </c>
      <c r="DF24" s="271">
        <f>'Renovation Timing'!CS33</f>
        <v>0</v>
      </c>
      <c r="DG24" s="271">
        <f>'Renovation Timing'!CT33</f>
        <v>0</v>
      </c>
      <c r="DH24" s="271">
        <f>'Renovation Timing'!CU33</f>
        <v>0</v>
      </c>
      <c r="DI24" s="271">
        <f>'Renovation Timing'!CV33</f>
        <v>0</v>
      </c>
      <c r="DJ24" s="271">
        <f>'Renovation Timing'!CW33</f>
        <v>0</v>
      </c>
      <c r="DK24" s="271">
        <f>'Renovation Timing'!CX33</f>
        <v>0</v>
      </c>
      <c r="DL24" s="271">
        <f>'Renovation Timing'!CY33</f>
        <v>0</v>
      </c>
      <c r="DM24" s="271">
        <f>'Renovation Timing'!CZ33</f>
        <v>0</v>
      </c>
      <c r="DN24" s="271">
        <f>'Renovation Timing'!DA33</f>
        <v>0</v>
      </c>
      <c r="DO24" s="271">
        <f>'Renovation Timing'!DB33</f>
        <v>0</v>
      </c>
      <c r="DP24" s="271">
        <f>'Renovation Timing'!DC33</f>
        <v>0</v>
      </c>
      <c r="DQ24" s="271">
        <f>'Renovation Timing'!DD33</f>
        <v>0</v>
      </c>
      <c r="DR24" s="271">
        <f>'Renovation Timing'!DE33</f>
        <v>0</v>
      </c>
      <c r="DS24" s="271">
        <f>'Renovation Timing'!DF33</f>
        <v>0</v>
      </c>
      <c r="DT24" s="271">
        <f>'Renovation Timing'!DG33</f>
        <v>0</v>
      </c>
      <c r="DU24" s="271">
        <f>'Renovation Timing'!DH33</f>
        <v>0</v>
      </c>
      <c r="DV24" s="271">
        <f>'Renovation Timing'!DI33</f>
        <v>0</v>
      </c>
      <c r="DW24" s="271">
        <f>'Renovation Timing'!DJ33</f>
        <v>0</v>
      </c>
      <c r="DX24" s="271">
        <f>'Renovation Timing'!DK33</f>
        <v>0</v>
      </c>
      <c r="DY24" s="271">
        <f>'Renovation Timing'!DL33</f>
        <v>0</v>
      </c>
      <c r="DZ24" s="271">
        <f>'Renovation Timing'!DM33</f>
        <v>0</v>
      </c>
      <c r="EA24" s="271">
        <f>'Renovation Timing'!DN33</f>
        <v>0</v>
      </c>
      <c r="EB24" s="271">
        <f>'Renovation Timing'!DO33</f>
        <v>0</v>
      </c>
      <c r="EC24" s="271">
        <f>'Renovation Timing'!DP33</f>
        <v>0</v>
      </c>
      <c r="ED24" s="271">
        <f>'Renovation Timing'!DQ33</f>
        <v>0</v>
      </c>
      <c r="EE24" s="271">
        <f>'Renovation Timing'!DR33</f>
        <v>0</v>
      </c>
      <c r="EF24" s="271">
        <f>'Renovation Timing'!DS33</f>
        <v>0</v>
      </c>
      <c r="EG24" s="271">
        <f>'Renovation Timing'!DT33</f>
        <v>0</v>
      </c>
      <c r="EH24" s="271">
        <f>'Renovation Timing'!DU33</f>
        <v>0</v>
      </c>
      <c r="EI24" s="271">
        <f>'Renovation Timing'!DV33</f>
        <v>0</v>
      </c>
      <c r="EJ24" s="271">
        <f>'Renovation Timing'!DW33</f>
        <v>0</v>
      </c>
      <c r="EK24" s="271">
        <f>'Renovation Timing'!DX33</f>
        <v>0</v>
      </c>
      <c r="EL24" s="271">
        <f>'Renovation Timing'!DY33</f>
        <v>0</v>
      </c>
      <c r="EM24" s="271">
        <f>'Renovation Timing'!DZ33</f>
        <v>0</v>
      </c>
      <c r="EN24" s="271">
        <f>'Renovation Timing'!EA33</f>
        <v>0</v>
      </c>
      <c r="EO24" s="271">
        <f>'Renovation Timing'!EB33</f>
        <v>0</v>
      </c>
      <c r="EP24" s="271">
        <f>'Renovation Timing'!EC33</f>
        <v>0</v>
      </c>
      <c r="EQ24" s="271">
        <f>'Renovation Timing'!ED33</f>
        <v>0</v>
      </c>
      <c r="ER24" s="64"/>
      <c r="ES24" s="421"/>
      <c r="ET24" s="63"/>
      <c r="EU24" s="92"/>
    </row>
    <row r="25" spans="2:151" s="65" customFormat="1" ht="15.75" outlineLevel="1">
      <c r="B25" s="609"/>
      <c r="C25" s="610"/>
      <c r="D25" s="610"/>
      <c r="E25" s="610"/>
      <c r="F25" s="610"/>
      <c r="G25" s="483" t="s">
        <v>253</v>
      </c>
      <c r="H25" s="483"/>
      <c r="I25" s="268"/>
      <c r="J25" s="270"/>
      <c r="K25" s="269"/>
      <c r="L25" s="268"/>
      <c r="M25" s="268"/>
      <c r="N25" s="270"/>
      <c r="O25" s="793"/>
      <c r="P25" s="271">
        <f>P24-P23</f>
        <v>0</v>
      </c>
      <c r="Q25" s="271">
        <f t="shared" ref="Q25:CB25" si="24">Q24-Q23</f>
        <v>4</v>
      </c>
      <c r="R25" s="271">
        <f t="shared" si="24"/>
        <v>-1</v>
      </c>
      <c r="S25" s="271">
        <f t="shared" si="24"/>
        <v>-2</v>
      </c>
      <c r="T25" s="271">
        <f t="shared" si="24"/>
        <v>0</v>
      </c>
      <c r="U25" s="271">
        <f t="shared" si="24"/>
        <v>3</v>
      </c>
      <c r="V25" s="271">
        <f t="shared" si="24"/>
        <v>1</v>
      </c>
      <c r="W25" s="271">
        <f t="shared" si="24"/>
        <v>1</v>
      </c>
      <c r="X25" s="271">
        <f t="shared" si="24"/>
        <v>4</v>
      </c>
      <c r="Y25" s="271">
        <f t="shared" si="24"/>
        <v>2</v>
      </c>
      <c r="Z25" s="271">
        <f t="shared" si="24"/>
        <v>0</v>
      </c>
      <c r="AA25" s="271">
        <f t="shared" si="24"/>
        <v>0</v>
      </c>
      <c r="AB25" s="271">
        <f t="shared" si="24"/>
        <v>-5</v>
      </c>
      <c r="AC25" s="271">
        <f t="shared" si="24"/>
        <v>-5</v>
      </c>
      <c r="AD25" s="271">
        <f t="shared" si="24"/>
        <v>0</v>
      </c>
      <c r="AE25" s="271">
        <f t="shared" si="24"/>
        <v>-5</v>
      </c>
      <c r="AF25" s="271">
        <f t="shared" si="24"/>
        <v>0</v>
      </c>
      <c r="AG25" s="271">
        <f t="shared" si="24"/>
        <v>0</v>
      </c>
      <c r="AH25" s="271">
        <f t="shared" si="24"/>
        <v>0</v>
      </c>
      <c r="AI25" s="271">
        <f t="shared" si="24"/>
        <v>0</v>
      </c>
      <c r="AJ25" s="271">
        <f t="shared" si="24"/>
        <v>0</v>
      </c>
      <c r="AK25" s="271">
        <f t="shared" si="24"/>
        <v>0</v>
      </c>
      <c r="AL25" s="271">
        <f t="shared" si="24"/>
        <v>0</v>
      </c>
      <c r="AM25" s="271">
        <f t="shared" si="24"/>
        <v>0</v>
      </c>
      <c r="AN25" s="271">
        <f t="shared" si="24"/>
        <v>0</v>
      </c>
      <c r="AO25" s="271">
        <f t="shared" si="24"/>
        <v>0</v>
      </c>
      <c r="AP25" s="271">
        <f t="shared" si="24"/>
        <v>0</v>
      </c>
      <c r="AQ25" s="271">
        <f t="shared" si="24"/>
        <v>-4</v>
      </c>
      <c r="AR25" s="271">
        <f t="shared" si="24"/>
        <v>0</v>
      </c>
      <c r="AS25" s="271">
        <f t="shared" si="24"/>
        <v>-1</v>
      </c>
      <c r="AT25" s="271">
        <f t="shared" si="24"/>
        <v>0</v>
      </c>
      <c r="AU25" s="271">
        <f t="shared" si="24"/>
        <v>0</v>
      </c>
      <c r="AV25" s="271">
        <f t="shared" si="24"/>
        <v>0</v>
      </c>
      <c r="AW25" s="271">
        <f t="shared" si="24"/>
        <v>0</v>
      </c>
      <c r="AX25" s="271">
        <f t="shared" si="24"/>
        <v>0</v>
      </c>
      <c r="AY25" s="271">
        <f t="shared" si="24"/>
        <v>0</v>
      </c>
      <c r="AZ25" s="271">
        <f t="shared" si="24"/>
        <v>0</v>
      </c>
      <c r="BA25" s="271">
        <f t="shared" si="24"/>
        <v>0</v>
      </c>
      <c r="BB25" s="271">
        <f t="shared" si="24"/>
        <v>0</v>
      </c>
      <c r="BC25" s="271">
        <f t="shared" si="24"/>
        <v>0</v>
      </c>
      <c r="BD25" s="271">
        <f t="shared" si="24"/>
        <v>0</v>
      </c>
      <c r="BE25" s="271">
        <f t="shared" si="24"/>
        <v>0</v>
      </c>
      <c r="BF25" s="271">
        <f t="shared" si="24"/>
        <v>0</v>
      </c>
      <c r="BG25" s="271">
        <f t="shared" si="24"/>
        <v>0</v>
      </c>
      <c r="BH25" s="271">
        <f t="shared" si="24"/>
        <v>0</v>
      </c>
      <c r="BI25" s="271">
        <f t="shared" si="24"/>
        <v>0</v>
      </c>
      <c r="BJ25" s="271">
        <f t="shared" si="24"/>
        <v>0</v>
      </c>
      <c r="BK25" s="271">
        <f t="shared" si="24"/>
        <v>0</v>
      </c>
      <c r="BL25" s="271">
        <f t="shared" si="24"/>
        <v>0</v>
      </c>
      <c r="BM25" s="271">
        <f t="shared" si="24"/>
        <v>0</v>
      </c>
      <c r="BN25" s="271">
        <f t="shared" si="24"/>
        <v>0</v>
      </c>
      <c r="BO25" s="271">
        <f t="shared" si="24"/>
        <v>0</v>
      </c>
      <c r="BP25" s="271">
        <f t="shared" si="24"/>
        <v>0</v>
      </c>
      <c r="BQ25" s="271">
        <f t="shared" si="24"/>
        <v>0</v>
      </c>
      <c r="BR25" s="271">
        <f t="shared" si="24"/>
        <v>0</v>
      </c>
      <c r="BS25" s="271">
        <f t="shared" si="24"/>
        <v>0</v>
      </c>
      <c r="BT25" s="271">
        <f t="shared" si="24"/>
        <v>0</v>
      </c>
      <c r="BU25" s="271">
        <f t="shared" si="24"/>
        <v>0</v>
      </c>
      <c r="BV25" s="271">
        <f t="shared" si="24"/>
        <v>0</v>
      </c>
      <c r="BW25" s="271">
        <f t="shared" si="24"/>
        <v>0</v>
      </c>
      <c r="BX25" s="271">
        <f t="shared" si="24"/>
        <v>0</v>
      </c>
      <c r="BY25" s="271">
        <f t="shared" si="24"/>
        <v>0</v>
      </c>
      <c r="BZ25" s="271">
        <f t="shared" si="24"/>
        <v>0</v>
      </c>
      <c r="CA25" s="271">
        <f t="shared" si="24"/>
        <v>0</v>
      </c>
      <c r="CB25" s="271">
        <f t="shared" si="24"/>
        <v>0</v>
      </c>
      <c r="CC25" s="271">
        <f t="shared" ref="CC25:EN25" si="25">CC24-CC23</f>
        <v>0</v>
      </c>
      <c r="CD25" s="271">
        <f t="shared" si="25"/>
        <v>0</v>
      </c>
      <c r="CE25" s="271">
        <f t="shared" si="25"/>
        <v>0</v>
      </c>
      <c r="CF25" s="271">
        <f t="shared" si="25"/>
        <v>0</v>
      </c>
      <c r="CG25" s="271">
        <f t="shared" si="25"/>
        <v>0</v>
      </c>
      <c r="CH25" s="271">
        <f t="shared" si="25"/>
        <v>0</v>
      </c>
      <c r="CI25" s="271">
        <f t="shared" si="25"/>
        <v>0</v>
      </c>
      <c r="CJ25" s="271">
        <f t="shared" si="25"/>
        <v>0</v>
      </c>
      <c r="CK25" s="271">
        <f t="shared" si="25"/>
        <v>0</v>
      </c>
      <c r="CL25" s="271">
        <f t="shared" si="25"/>
        <v>0</v>
      </c>
      <c r="CM25" s="271">
        <f t="shared" si="25"/>
        <v>0</v>
      </c>
      <c r="CN25" s="271">
        <f t="shared" si="25"/>
        <v>0</v>
      </c>
      <c r="CO25" s="271">
        <f t="shared" si="25"/>
        <v>0</v>
      </c>
      <c r="CP25" s="271">
        <f t="shared" si="25"/>
        <v>0</v>
      </c>
      <c r="CQ25" s="271">
        <f t="shared" si="25"/>
        <v>0</v>
      </c>
      <c r="CR25" s="271">
        <f t="shared" si="25"/>
        <v>0</v>
      </c>
      <c r="CS25" s="271">
        <f t="shared" si="25"/>
        <v>0</v>
      </c>
      <c r="CT25" s="271">
        <f t="shared" si="25"/>
        <v>0</v>
      </c>
      <c r="CU25" s="271">
        <f t="shared" si="25"/>
        <v>0</v>
      </c>
      <c r="CV25" s="271">
        <f t="shared" si="25"/>
        <v>0</v>
      </c>
      <c r="CW25" s="271">
        <f t="shared" si="25"/>
        <v>0</v>
      </c>
      <c r="CX25" s="271">
        <f t="shared" si="25"/>
        <v>0</v>
      </c>
      <c r="CY25" s="271">
        <f t="shared" si="25"/>
        <v>0</v>
      </c>
      <c r="CZ25" s="271">
        <f t="shared" si="25"/>
        <v>0</v>
      </c>
      <c r="DA25" s="271">
        <f t="shared" si="25"/>
        <v>0</v>
      </c>
      <c r="DB25" s="271">
        <f t="shared" si="25"/>
        <v>0</v>
      </c>
      <c r="DC25" s="271">
        <f t="shared" si="25"/>
        <v>0</v>
      </c>
      <c r="DD25" s="271">
        <f t="shared" si="25"/>
        <v>0</v>
      </c>
      <c r="DE25" s="271">
        <f t="shared" si="25"/>
        <v>0</v>
      </c>
      <c r="DF25" s="271">
        <f t="shared" si="25"/>
        <v>0</v>
      </c>
      <c r="DG25" s="271">
        <f t="shared" si="25"/>
        <v>0</v>
      </c>
      <c r="DH25" s="271">
        <f t="shared" si="25"/>
        <v>0</v>
      </c>
      <c r="DI25" s="271">
        <f t="shared" si="25"/>
        <v>0</v>
      </c>
      <c r="DJ25" s="271">
        <f t="shared" si="25"/>
        <v>0</v>
      </c>
      <c r="DK25" s="271">
        <f t="shared" si="25"/>
        <v>0</v>
      </c>
      <c r="DL25" s="271">
        <f t="shared" si="25"/>
        <v>0</v>
      </c>
      <c r="DM25" s="271">
        <f t="shared" si="25"/>
        <v>0</v>
      </c>
      <c r="DN25" s="271">
        <f t="shared" si="25"/>
        <v>0</v>
      </c>
      <c r="DO25" s="271">
        <f t="shared" si="25"/>
        <v>0</v>
      </c>
      <c r="DP25" s="271">
        <f t="shared" si="25"/>
        <v>0</v>
      </c>
      <c r="DQ25" s="271">
        <f t="shared" si="25"/>
        <v>0</v>
      </c>
      <c r="DR25" s="271">
        <f t="shared" si="25"/>
        <v>0</v>
      </c>
      <c r="DS25" s="271">
        <f t="shared" si="25"/>
        <v>0</v>
      </c>
      <c r="DT25" s="271">
        <f t="shared" si="25"/>
        <v>0</v>
      </c>
      <c r="DU25" s="271">
        <f t="shared" si="25"/>
        <v>0</v>
      </c>
      <c r="DV25" s="271">
        <f t="shared" si="25"/>
        <v>0</v>
      </c>
      <c r="DW25" s="271">
        <f t="shared" si="25"/>
        <v>0</v>
      </c>
      <c r="DX25" s="271">
        <f t="shared" si="25"/>
        <v>0</v>
      </c>
      <c r="DY25" s="271">
        <f t="shared" si="25"/>
        <v>0</v>
      </c>
      <c r="DZ25" s="271">
        <f t="shared" si="25"/>
        <v>0</v>
      </c>
      <c r="EA25" s="271">
        <f t="shared" si="25"/>
        <v>0</v>
      </c>
      <c r="EB25" s="271">
        <f t="shared" si="25"/>
        <v>0</v>
      </c>
      <c r="EC25" s="271">
        <f t="shared" si="25"/>
        <v>0</v>
      </c>
      <c r="ED25" s="271">
        <f t="shared" si="25"/>
        <v>0</v>
      </c>
      <c r="EE25" s="271">
        <f t="shared" si="25"/>
        <v>0</v>
      </c>
      <c r="EF25" s="271">
        <f t="shared" si="25"/>
        <v>0</v>
      </c>
      <c r="EG25" s="271">
        <f t="shared" si="25"/>
        <v>0</v>
      </c>
      <c r="EH25" s="271">
        <f t="shared" si="25"/>
        <v>0</v>
      </c>
      <c r="EI25" s="271">
        <f t="shared" si="25"/>
        <v>0</v>
      </c>
      <c r="EJ25" s="271">
        <f t="shared" si="25"/>
        <v>0</v>
      </c>
      <c r="EK25" s="271">
        <f t="shared" si="25"/>
        <v>0</v>
      </c>
      <c r="EL25" s="271">
        <f t="shared" si="25"/>
        <v>0</v>
      </c>
      <c r="EM25" s="271">
        <f t="shared" si="25"/>
        <v>0</v>
      </c>
      <c r="EN25" s="271">
        <f t="shared" si="25"/>
        <v>0</v>
      </c>
      <c r="EO25" s="271">
        <f t="shared" ref="EO25:EQ25" si="26">EO24-EO23</f>
        <v>0</v>
      </c>
      <c r="EP25" s="271">
        <f t="shared" si="26"/>
        <v>0</v>
      </c>
      <c r="EQ25" s="271">
        <f t="shared" si="26"/>
        <v>0</v>
      </c>
      <c r="ES25" s="446"/>
      <c r="ET25" s="67"/>
      <c r="EU25" s="262"/>
    </row>
    <row r="26" spans="2:151" s="87" customFormat="1" ht="15.75" outlineLevel="1">
      <c r="B26" s="255" t="s">
        <v>88</v>
      </c>
      <c r="C26" s="256">
        <f ca="1">MAX(P26:EQ26)</f>
        <v>5</v>
      </c>
      <c r="D26" s="256"/>
      <c r="E26" s="256"/>
      <c r="F26" s="256"/>
      <c r="G26" s="480" t="s">
        <v>85</v>
      </c>
      <c r="H26" s="480"/>
      <c r="I26" s="75"/>
      <c r="J26" s="212"/>
      <c r="K26" s="93"/>
      <c r="L26" s="75"/>
      <c r="M26" s="75"/>
      <c r="N26" s="212"/>
      <c r="O26" s="776"/>
      <c r="P26" s="102">
        <f ca="1">SUM(OFFSET(P23,0,-$C$38):OFFSET(P23,0,-1))</f>
        <v>0</v>
      </c>
      <c r="Q26" s="102">
        <f ca="1">SUM(OFFSET(Q23,0,-$C$38):OFFSET(Q23,0,-1))</f>
        <v>0</v>
      </c>
      <c r="R26" s="102">
        <f ca="1">SUM(OFFSET(R23,0,-$C$38):OFFSET(R23,0,-1))</f>
        <v>1</v>
      </c>
      <c r="S26" s="102">
        <f ca="1">SUM(OFFSET(S23,0,-$C$38):OFFSET(S23,0,-1))</f>
        <v>4</v>
      </c>
      <c r="T26" s="102">
        <f ca="1">SUM(OFFSET(T23,0,-$C$38):OFFSET(T23,0,-1))</f>
        <v>5</v>
      </c>
      <c r="U26" s="102">
        <f ca="1">SUM(OFFSET(U23,0,-$C$38):OFFSET(U23,0,-1))</f>
        <v>0</v>
      </c>
      <c r="V26" s="102">
        <f ca="1">SUM(OFFSET(V23,0,-$C$38):OFFSET(V23,0,-1))</f>
        <v>0</v>
      </c>
      <c r="W26" s="102">
        <f ca="1">SUM(OFFSET(W23,0,-$C$38):OFFSET(W23,0,-1))</f>
        <v>0</v>
      </c>
      <c r="X26" s="102">
        <f ca="1">SUM(OFFSET(X23,0,-$C$38):OFFSET(X23,0,-1))</f>
        <v>0</v>
      </c>
      <c r="Y26" s="102">
        <f ca="1">SUM(OFFSET(Y23,0,-$C$38):OFFSET(Y23,0,-1))</f>
        <v>0</v>
      </c>
      <c r="Z26" s="102">
        <f ca="1">SUM(OFFSET(Z23,0,-$C$38):OFFSET(Z23,0,-1))</f>
        <v>0</v>
      </c>
      <c r="AA26" s="102">
        <f ca="1">SUM(OFFSET(AA23,0,-$C$38):OFFSET(AA23,0,-1))</f>
        <v>0</v>
      </c>
      <c r="AB26" s="102">
        <f ca="1">SUM(OFFSET(AB23,0,-$C$38):OFFSET(AB23,0,-1))</f>
        <v>0</v>
      </c>
      <c r="AC26" s="102">
        <f ca="1">SUM(OFFSET(AC23,0,-$C$38):OFFSET(AC23,0,-1))</f>
        <v>5</v>
      </c>
      <c r="AD26" s="102">
        <f ca="1">SUM(OFFSET(AD23,0,-$C$38):OFFSET(AD23,0,-1))</f>
        <v>5</v>
      </c>
      <c r="AE26" s="102">
        <f ca="1">SUM(OFFSET(AE23,0,-$C$38):OFFSET(AE23,0,-1))</f>
        <v>0</v>
      </c>
      <c r="AF26" s="102">
        <f ca="1">SUM(OFFSET(AF23,0,-$C$38):OFFSET(AF23,0,-1))</f>
        <v>5</v>
      </c>
      <c r="AG26" s="102">
        <f ca="1">SUM(OFFSET(AG23,0,-$C$38):OFFSET(AG23,0,-1))</f>
        <v>0</v>
      </c>
      <c r="AH26" s="102">
        <f ca="1">SUM(OFFSET(AH23,0,-$C$38):OFFSET(AH23,0,-1))</f>
        <v>0</v>
      </c>
      <c r="AI26" s="102">
        <f ca="1">SUM(OFFSET(AI23,0,-$C$38):OFFSET(AI23,0,-1))</f>
        <v>0</v>
      </c>
      <c r="AJ26" s="102">
        <f ca="1">SUM(OFFSET(AJ23,0,-$C$38):OFFSET(AJ23,0,-1))</f>
        <v>0</v>
      </c>
      <c r="AK26" s="102">
        <f ca="1">SUM(OFFSET(AK23,0,-$C$38):OFFSET(AK23,0,-1))</f>
        <v>0</v>
      </c>
      <c r="AL26" s="102">
        <f ca="1">SUM(OFFSET(AL23,0,-$C$38):OFFSET(AL23,0,-1))</f>
        <v>0</v>
      </c>
      <c r="AM26" s="102">
        <f ca="1">SUM(OFFSET(AM23,0,-$C$38):OFFSET(AM23,0,-1))</f>
        <v>0</v>
      </c>
      <c r="AN26" s="102">
        <f ca="1">SUM(OFFSET(AN23,0,-$C$38):OFFSET(AN23,0,-1))</f>
        <v>0</v>
      </c>
      <c r="AO26" s="102">
        <f ca="1">SUM(OFFSET(AO23,0,-$C$38):OFFSET(AO23,0,-1))</f>
        <v>0</v>
      </c>
      <c r="AP26" s="102">
        <f ca="1">SUM(OFFSET(AP23,0,-$C$38):OFFSET(AP23,0,-1))</f>
        <v>0</v>
      </c>
      <c r="AQ26" s="102">
        <f ca="1">SUM(OFFSET(AQ23,0,-$C$38):OFFSET(AQ23,0,-1))</f>
        <v>0</v>
      </c>
      <c r="AR26" s="102">
        <f ca="1">SUM(OFFSET(AR23,0,-$C$38):OFFSET(AR23,0,-1))</f>
        <v>4</v>
      </c>
      <c r="AS26" s="102">
        <f ca="1">SUM(OFFSET(AS23,0,-$C$38):OFFSET(AS23,0,-1))</f>
        <v>0</v>
      </c>
      <c r="AT26" s="102">
        <f ca="1">SUM(OFFSET(AT23,0,-$C$38):OFFSET(AT23,0,-1))</f>
        <v>1</v>
      </c>
      <c r="AU26" s="102">
        <f ca="1">SUM(OFFSET(AU23,0,-$C$38):OFFSET(AU23,0,-1))</f>
        <v>0</v>
      </c>
      <c r="AV26" s="102">
        <f ca="1">SUM(OFFSET(AV23,0,-$C$38):OFFSET(AV23,0,-1))</f>
        <v>0</v>
      </c>
      <c r="AW26" s="102">
        <f ca="1">SUM(OFFSET(AW23,0,-$C$38):OFFSET(AW23,0,-1))</f>
        <v>0</v>
      </c>
      <c r="AX26" s="102">
        <f ca="1">SUM(OFFSET(AX23,0,-$C$38):OFFSET(AX23,0,-1))</f>
        <v>0</v>
      </c>
      <c r="AY26" s="102">
        <f ca="1">SUM(OFFSET(AY23,0,-$C$38):OFFSET(AY23,0,-1))</f>
        <v>0</v>
      </c>
      <c r="AZ26" s="102">
        <f ca="1">SUM(OFFSET(AZ23,0,-$C$38):OFFSET(AZ23,0,-1))</f>
        <v>0</v>
      </c>
      <c r="BA26" s="102">
        <f ca="1">SUM(OFFSET(BA23,0,-$C$38):OFFSET(BA23,0,-1))</f>
        <v>0</v>
      </c>
      <c r="BB26" s="102">
        <f ca="1">SUM(OFFSET(BB23,0,-$C$38):OFFSET(BB23,0,-1))</f>
        <v>0</v>
      </c>
      <c r="BC26" s="102">
        <f ca="1">SUM(OFFSET(BC23,0,-$C$38):OFFSET(BC23,0,-1))</f>
        <v>0</v>
      </c>
      <c r="BD26" s="102">
        <f ca="1">SUM(OFFSET(BD23,0,-$C$38):OFFSET(BD23,0,-1))</f>
        <v>0</v>
      </c>
      <c r="BE26" s="102">
        <f ca="1">SUM(OFFSET(BE23,0,-$C$38):OFFSET(BE23,0,-1))</f>
        <v>0</v>
      </c>
      <c r="BF26" s="102">
        <f ca="1">SUM(OFFSET(BF23,0,-$C$38):OFFSET(BF23,0,-1))</f>
        <v>0</v>
      </c>
      <c r="BG26" s="102">
        <f ca="1">SUM(OFFSET(BG23,0,-$C$38):OFFSET(BG23,0,-1))</f>
        <v>0</v>
      </c>
      <c r="BH26" s="102">
        <f ca="1">SUM(OFFSET(BH23,0,-$C$38):OFFSET(BH23,0,-1))</f>
        <v>0</v>
      </c>
      <c r="BI26" s="102">
        <f ca="1">SUM(OFFSET(BI23,0,-$C$38):OFFSET(BI23,0,-1))</f>
        <v>0</v>
      </c>
      <c r="BJ26" s="102">
        <f ca="1">SUM(OFFSET(BJ23,0,-$C$38):OFFSET(BJ23,0,-1))</f>
        <v>0</v>
      </c>
      <c r="BK26" s="102">
        <f ca="1">SUM(OFFSET(BK23,0,-$C$38):OFFSET(BK23,0,-1))</f>
        <v>0</v>
      </c>
      <c r="BL26" s="102">
        <f ca="1">SUM(OFFSET(BL23,0,-$C$38):OFFSET(BL23,0,-1))</f>
        <v>0</v>
      </c>
      <c r="BM26" s="102">
        <f ca="1">SUM(OFFSET(BM23,0,-$C$38):OFFSET(BM23,0,-1))</f>
        <v>0</v>
      </c>
      <c r="BN26" s="102">
        <f ca="1">SUM(OFFSET(BN23,0,-$C$38):OFFSET(BN23,0,-1))</f>
        <v>0</v>
      </c>
      <c r="BO26" s="102">
        <f ca="1">SUM(OFFSET(BO23,0,-$C$38):OFFSET(BO23,0,-1))</f>
        <v>0</v>
      </c>
      <c r="BP26" s="102">
        <f ca="1">SUM(OFFSET(BP23,0,-$C$38):OFFSET(BP23,0,-1))</f>
        <v>0</v>
      </c>
      <c r="BQ26" s="102">
        <f ca="1">SUM(OFFSET(BQ23,0,-$C$38):OFFSET(BQ23,0,-1))</f>
        <v>0</v>
      </c>
      <c r="BR26" s="102">
        <f ca="1">SUM(OFFSET(BR23,0,-$C$38):OFFSET(BR23,0,-1))</f>
        <v>0</v>
      </c>
      <c r="BS26" s="102">
        <f ca="1">SUM(OFFSET(BS23,0,-$C$38):OFFSET(BS23,0,-1))</f>
        <v>0</v>
      </c>
      <c r="BT26" s="102">
        <f ca="1">SUM(OFFSET(BT23,0,-$C$38):OFFSET(BT23,0,-1))</f>
        <v>0</v>
      </c>
      <c r="BU26" s="102">
        <f ca="1">SUM(OFFSET(BU23,0,-$C$38):OFFSET(BU23,0,-1))</f>
        <v>0</v>
      </c>
      <c r="BV26" s="102">
        <f ca="1">SUM(OFFSET(BV23,0,-$C$38):OFFSET(BV23,0,-1))</f>
        <v>0</v>
      </c>
      <c r="BW26" s="102">
        <f ca="1">SUM(OFFSET(BW23,0,-$C$38):OFFSET(BW23,0,-1))</f>
        <v>0</v>
      </c>
      <c r="BX26" s="102">
        <f ca="1">SUM(OFFSET(BX23,0,-$C$38):OFFSET(BX23,0,-1))</f>
        <v>0</v>
      </c>
      <c r="BY26" s="102">
        <f ca="1">SUM(OFFSET(BY23,0,-$C$38):OFFSET(BY23,0,-1))</f>
        <v>0</v>
      </c>
      <c r="BZ26" s="102">
        <f ca="1">SUM(OFFSET(BZ23,0,-$C$38):OFFSET(BZ23,0,-1))</f>
        <v>0</v>
      </c>
      <c r="CA26" s="102">
        <f ca="1">SUM(OFFSET(CA23,0,-$C$38):OFFSET(CA23,0,-1))</f>
        <v>0</v>
      </c>
      <c r="CB26" s="102">
        <f ca="1">SUM(OFFSET(CB23,0,-$C$38):OFFSET(CB23,0,-1))</f>
        <v>0</v>
      </c>
      <c r="CC26" s="102">
        <f ca="1">SUM(OFFSET(CC23,0,-$C$38):OFFSET(CC23,0,-1))</f>
        <v>0</v>
      </c>
      <c r="CD26" s="102">
        <f ca="1">SUM(OFFSET(CD23,0,-$C$38):OFFSET(CD23,0,-1))</f>
        <v>0</v>
      </c>
      <c r="CE26" s="102">
        <f ca="1">SUM(OFFSET(CE23,0,-$C$38):OFFSET(CE23,0,-1))</f>
        <v>0</v>
      </c>
      <c r="CF26" s="102">
        <f ca="1">SUM(OFFSET(CF23,0,-$C$38):OFFSET(CF23,0,-1))</f>
        <v>0</v>
      </c>
      <c r="CG26" s="102">
        <f ca="1">SUM(OFFSET(CG23,0,-$C$38):OFFSET(CG23,0,-1))</f>
        <v>0</v>
      </c>
      <c r="CH26" s="102">
        <f ca="1">SUM(OFFSET(CH23,0,-$C$38):OFFSET(CH23,0,-1))</f>
        <v>0</v>
      </c>
      <c r="CI26" s="102">
        <f ca="1">SUM(OFFSET(CI23,0,-$C$38):OFFSET(CI23,0,-1))</f>
        <v>0</v>
      </c>
      <c r="CJ26" s="102">
        <f ca="1">SUM(OFFSET(CJ23,0,-$C$38):OFFSET(CJ23,0,-1))</f>
        <v>0</v>
      </c>
      <c r="CK26" s="102">
        <f ca="1">SUM(OFFSET(CK23,0,-$C$38):OFFSET(CK23,0,-1))</f>
        <v>0</v>
      </c>
      <c r="CL26" s="102">
        <f ca="1">SUM(OFFSET(CL23,0,-$C$38):OFFSET(CL23,0,-1))</f>
        <v>0</v>
      </c>
      <c r="CM26" s="102">
        <f ca="1">SUM(OFFSET(CM23,0,-$C$38):OFFSET(CM23,0,-1))</f>
        <v>0</v>
      </c>
      <c r="CN26" s="102">
        <f ca="1">SUM(OFFSET(CN23,0,-$C$38):OFFSET(CN23,0,-1))</f>
        <v>0</v>
      </c>
      <c r="CO26" s="102">
        <f ca="1">SUM(OFFSET(CO23,0,-$C$38):OFFSET(CO23,0,-1))</f>
        <v>0</v>
      </c>
      <c r="CP26" s="102">
        <f ca="1">SUM(OFFSET(CP23,0,-$C$38):OFFSET(CP23,0,-1))</f>
        <v>0</v>
      </c>
      <c r="CQ26" s="102">
        <f ca="1">SUM(OFFSET(CQ23,0,-$C$38):OFFSET(CQ23,0,-1))</f>
        <v>0</v>
      </c>
      <c r="CR26" s="102">
        <f ca="1">SUM(OFFSET(CR23,0,-$C$38):OFFSET(CR23,0,-1))</f>
        <v>0</v>
      </c>
      <c r="CS26" s="102">
        <f ca="1">SUM(OFFSET(CS23,0,-$C$38):OFFSET(CS23,0,-1))</f>
        <v>0</v>
      </c>
      <c r="CT26" s="102">
        <f ca="1">SUM(OFFSET(CT23,0,-$C$38):OFFSET(CT23,0,-1))</f>
        <v>0</v>
      </c>
      <c r="CU26" s="102">
        <f ca="1">SUM(OFFSET(CU23,0,-$C$38):OFFSET(CU23,0,-1))</f>
        <v>0</v>
      </c>
      <c r="CV26" s="102">
        <f ca="1">SUM(OFFSET(CV23,0,-$C$38):OFFSET(CV23,0,-1))</f>
        <v>0</v>
      </c>
      <c r="CW26" s="102">
        <f ca="1">SUM(OFFSET(CW23,0,-$C$38):OFFSET(CW23,0,-1))</f>
        <v>0</v>
      </c>
      <c r="CX26" s="102">
        <f ca="1">SUM(OFFSET(CX23,0,-$C$38):OFFSET(CX23,0,-1))</f>
        <v>0</v>
      </c>
      <c r="CY26" s="102">
        <f ca="1">SUM(OFFSET(CY23,0,-$C$38):OFFSET(CY23,0,-1))</f>
        <v>0</v>
      </c>
      <c r="CZ26" s="102">
        <f ca="1">SUM(OFFSET(CZ23,0,-$C$38):OFFSET(CZ23,0,-1))</f>
        <v>0</v>
      </c>
      <c r="DA26" s="102">
        <f ca="1">SUM(OFFSET(DA23,0,-$C$38):OFFSET(DA23,0,-1))</f>
        <v>0</v>
      </c>
      <c r="DB26" s="102">
        <f ca="1">SUM(OFFSET(DB23,0,-$C$38):OFFSET(DB23,0,-1))</f>
        <v>0</v>
      </c>
      <c r="DC26" s="102">
        <f ca="1">SUM(OFFSET(DC23,0,-$C$38):OFFSET(DC23,0,-1))</f>
        <v>0</v>
      </c>
      <c r="DD26" s="102">
        <f ca="1">SUM(OFFSET(DD23,0,-$C$38):OFFSET(DD23,0,-1))</f>
        <v>0</v>
      </c>
      <c r="DE26" s="102">
        <f ca="1">SUM(OFFSET(DE23,0,-$C$38):OFFSET(DE23,0,-1))</f>
        <v>0</v>
      </c>
      <c r="DF26" s="102">
        <f ca="1">SUM(OFFSET(DF23,0,-$C$38):OFFSET(DF23,0,-1))</f>
        <v>0</v>
      </c>
      <c r="DG26" s="102">
        <f ca="1">SUM(OFFSET(DG23,0,-$C$38):OFFSET(DG23,0,-1))</f>
        <v>0</v>
      </c>
      <c r="DH26" s="102">
        <f ca="1">SUM(OFFSET(DH23,0,-$C$38):OFFSET(DH23,0,-1))</f>
        <v>0</v>
      </c>
      <c r="DI26" s="102">
        <f ca="1">SUM(OFFSET(DI23,0,-$C$38):OFFSET(DI23,0,-1))</f>
        <v>0</v>
      </c>
      <c r="DJ26" s="102">
        <f ca="1">SUM(OFFSET(DJ23,0,-$C$38):OFFSET(DJ23,0,-1))</f>
        <v>0</v>
      </c>
      <c r="DK26" s="102">
        <f ca="1">SUM(OFFSET(DK23,0,-$C$38):OFFSET(DK23,0,-1))</f>
        <v>0</v>
      </c>
      <c r="DL26" s="102">
        <f ca="1">SUM(OFFSET(DL23,0,-$C$38):OFFSET(DL23,0,-1))</f>
        <v>0</v>
      </c>
      <c r="DM26" s="102">
        <f ca="1">SUM(OFFSET(DM23,0,-$C$38):OFFSET(DM23,0,-1))</f>
        <v>0</v>
      </c>
      <c r="DN26" s="102">
        <f ca="1">SUM(OFFSET(DN23,0,-$C$38):OFFSET(DN23,0,-1))</f>
        <v>0</v>
      </c>
      <c r="DO26" s="102">
        <f ca="1">SUM(OFFSET(DO23,0,-$C$38):OFFSET(DO23,0,-1))</f>
        <v>0</v>
      </c>
      <c r="DP26" s="102">
        <f ca="1">SUM(OFFSET(DP23,0,-$C$38):OFFSET(DP23,0,-1))</f>
        <v>0</v>
      </c>
      <c r="DQ26" s="102">
        <f ca="1">SUM(OFFSET(DQ23,0,-$C$38):OFFSET(DQ23,0,-1))</f>
        <v>0</v>
      </c>
      <c r="DR26" s="102">
        <f ca="1">SUM(OFFSET(DR23,0,-$C$38):OFFSET(DR23,0,-1))</f>
        <v>0</v>
      </c>
      <c r="DS26" s="102">
        <f ca="1">SUM(OFFSET(DS23,0,-$C$38):OFFSET(DS23,0,-1))</f>
        <v>0</v>
      </c>
      <c r="DT26" s="102">
        <f ca="1">SUM(OFFSET(DT23,0,-$C$38):OFFSET(DT23,0,-1))</f>
        <v>0</v>
      </c>
      <c r="DU26" s="102">
        <f ca="1">SUM(OFFSET(DU23,0,-$C$38):OFFSET(DU23,0,-1))</f>
        <v>0</v>
      </c>
      <c r="DV26" s="102">
        <f ca="1">SUM(OFFSET(DV23,0,-$C$38):OFFSET(DV23,0,-1))</f>
        <v>0</v>
      </c>
      <c r="DW26" s="102">
        <f ca="1">SUM(OFFSET(DW23,0,-$C$38):OFFSET(DW23,0,-1))</f>
        <v>0</v>
      </c>
      <c r="DX26" s="102">
        <f ca="1">SUM(OFFSET(DX23,0,-$C$38):OFFSET(DX23,0,-1))</f>
        <v>0</v>
      </c>
      <c r="DY26" s="102">
        <f ca="1">SUM(OFFSET(DY23,0,-$C$38):OFFSET(DY23,0,-1))</f>
        <v>0</v>
      </c>
      <c r="DZ26" s="102">
        <f ca="1">SUM(OFFSET(DZ23,0,-$C$38):OFFSET(DZ23,0,-1))</f>
        <v>0</v>
      </c>
      <c r="EA26" s="102">
        <f ca="1">SUM(OFFSET(EA23,0,-$C$38):OFFSET(EA23,0,-1))</f>
        <v>0</v>
      </c>
      <c r="EB26" s="102">
        <f ca="1">SUM(OFFSET(EB23,0,-$C$38):OFFSET(EB23,0,-1))</f>
        <v>0</v>
      </c>
      <c r="EC26" s="102">
        <f ca="1">SUM(OFFSET(EC23,0,-$C$38):OFFSET(EC23,0,-1))</f>
        <v>0</v>
      </c>
      <c r="ED26" s="102">
        <f ca="1">SUM(OFFSET(ED23,0,-$C$38):OFFSET(ED23,0,-1))</f>
        <v>0</v>
      </c>
      <c r="EE26" s="102">
        <f ca="1">SUM(OFFSET(EE23,0,-$C$38):OFFSET(EE23,0,-1))</f>
        <v>0</v>
      </c>
      <c r="EF26" s="102">
        <f ca="1">SUM(OFFSET(EF23,0,-$C$38):OFFSET(EF23,0,-1))</f>
        <v>0</v>
      </c>
      <c r="EG26" s="102">
        <f ca="1">SUM(OFFSET(EG23,0,-$C$38):OFFSET(EG23,0,-1))</f>
        <v>0</v>
      </c>
      <c r="EH26" s="102">
        <f ca="1">SUM(OFFSET(EH23,0,-$C$38):OFFSET(EH23,0,-1))</f>
        <v>0</v>
      </c>
      <c r="EI26" s="102">
        <f ca="1">SUM(OFFSET(EI23,0,-$C$38):OFFSET(EI23,0,-1))</f>
        <v>0</v>
      </c>
      <c r="EJ26" s="102">
        <f ca="1">SUM(OFFSET(EJ23,0,-$C$38):OFFSET(EJ23,0,-1))</f>
        <v>0</v>
      </c>
      <c r="EK26" s="102">
        <f ca="1">SUM(OFFSET(EK23,0,-$C$38):OFFSET(EK23,0,-1))</f>
        <v>0</v>
      </c>
      <c r="EL26" s="102">
        <f ca="1">SUM(OFFSET(EL23,0,-$C$38):OFFSET(EL23,0,-1))</f>
        <v>0</v>
      </c>
      <c r="EM26" s="102">
        <f ca="1">SUM(OFFSET(EM23,0,-$C$38):OFFSET(EM23,0,-1))</f>
        <v>0</v>
      </c>
      <c r="EN26" s="102">
        <f ca="1">SUM(OFFSET(EN23,0,-$C$38):OFFSET(EN23,0,-1))</f>
        <v>0</v>
      </c>
      <c r="EO26" s="102">
        <f ca="1">SUM(OFFSET(EO23,0,-$C$38):OFFSET(EO23,0,-1))</f>
        <v>0</v>
      </c>
      <c r="EP26" s="102">
        <f ca="1">SUM(OFFSET(EP23,0,-$C$38):OFFSET(EP23,0,-1))</f>
        <v>0</v>
      </c>
      <c r="EQ26" s="102">
        <f ca="1">SUM(OFFSET(EQ23,0,-$C$38):OFFSET(EQ23,0,-1))</f>
        <v>0</v>
      </c>
      <c r="ER26" s="64"/>
      <c r="ES26" s="421"/>
      <c r="ET26" s="63"/>
      <c r="EU26" s="92"/>
    </row>
    <row r="27" spans="2:151" s="87" customFormat="1" ht="15.75" outlineLevel="1">
      <c r="B27" s="255" t="s">
        <v>88</v>
      </c>
      <c r="C27" s="256">
        <f ca="1">MAX(P27:EQ27)</f>
        <v>30</v>
      </c>
      <c r="D27" s="256"/>
      <c r="E27" s="256"/>
      <c r="F27" s="256"/>
      <c r="G27" s="480" t="s">
        <v>92</v>
      </c>
      <c r="H27" s="89"/>
      <c r="I27" s="89"/>
      <c r="J27" s="211"/>
      <c r="K27" s="93"/>
      <c r="L27" s="89"/>
      <c r="M27" s="89"/>
      <c r="N27" s="211"/>
      <c r="O27" s="794"/>
      <c r="P27" s="102">
        <f>P22-P36</f>
        <v>0</v>
      </c>
      <c r="Q27" s="102">
        <f ca="1">IF(ISERROR(P27+OFFSET(Q23,0,-$C$37)),"NA",P27+OFFSET(Q23,0,-$C$37))</f>
        <v>0</v>
      </c>
      <c r="R27" s="102">
        <f t="shared" ref="R27:CC27" ca="1" si="27">IF(ISERROR(Q27+OFFSET(R23,0,-$C$37)),"NA",Q27+OFFSET(R23,0,-$C$37))</f>
        <v>0</v>
      </c>
      <c r="S27" s="102">
        <f t="shared" ca="1" si="27"/>
        <v>0</v>
      </c>
      <c r="T27" s="102">
        <f t="shared" ca="1" si="27"/>
        <v>1</v>
      </c>
      <c r="U27" s="102">
        <f t="shared" ca="1" si="27"/>
        <v>5</v>
      </c>
      <c r="V27" s="102">
        <f t="shared" ca="1" si="27"/>
        <v>10</v>
      </c>
      <c r="W27" s="102">
        <f t="shared" ca="1" si="27"/>
        <v>10</v>
      </c>
      <c r="X27" s="102">
        <f t="shared" ca="1" si="27"/>
        <v>10</v>
      </c>
      <c r="Y27" s="102">
        <f t="shared" ca="1" si="27"/>
        <v>10</v>
      </c>
      <c r="Z27" s="102">
        <f t="shared" ca="1" si="27"/>
        <v>10</v>
      </c>
      <c r="AA27" s="102">
        <f t="shared" ca="1" si="27"/>
        <v>10</v>
      </c>
      <c r="AB27" s="102">
        <f t="shared" ca="1" si="27"/>
        <v>10</v>
      </c>
      <c r="AC27" s="102">
        <f t="shared" ca="1" si="27"/>
        <v>10</v>
      </c>
      <c r="AD27" s="102">
        <f t="shared" ca="1" si="27"/>
        <v>10</v>
      </c>
      <c r="AE27" s="102">
        <f t="shared" ca="1" si="27"/>
        <v>15</v>
      </c>
      <c r="AF27" s="102">
        <f t="shared" ca="1" si="27"/>
        <v>20</v>
      </c>
      <c r="AG27" s="102">
        <f t="shared" ca="1" si="27"/>
        <v>20</v>
      </c>
      <c r="AH27" s="102">
        <f t="shared" ca="1" si="27"/>
        <v>25</v>
      </c>
      <c r="AI27" s="102">
        <f t="shared" ca="1" si="27"/>
        <v>25</v>
      </c>
      <c r="AJ27" s="102">
        <f t="shared" ca="1" si="27"/>
        <v>25</v>
      </c>
      <c r="AK27" s="102">
        <f t="shared" ca="1" si="27"/>
        <v>25</v>
      </c>
      <c r="AL27" s="102">
        <f t="shared" ca="1" si="27"/>
        <v>25</v>
      </c>
      <c r="AM27" s="102">
        <f t="shared" ca="1" si="27"/>
        <v>25</v>
      </c>
      <c r="AN27" s="102">
        <f t="shared" ca="1" si="27"/>
        <v>25</v>
      </c>
      <c r="AO27" s="102">
        <f t="shared" ca="1" si="27"/>
        <v>25</v>
      </c>
      <c r="AP27" s="102">
        <f t="shared" ca="1" si="27"/>
        <v>25</v>
      </c>
      <c r="AQ27" s="102">
        <f t="shared" ca="1" si="27"/>
        <v>25</v>
      </c>
      <c r="AR27" s="102">
        <f t="shared" ca="1" si="27"/>
        <v>25</v>
      </c>
      <c r="AS27" s="102">
        <f t="shared" ca="1" si="27"/>
        <v>25</v>
      </c>
      <c r="AT27" s="102">
        <f t="shared" ca="1" si="27"/>
        <v>29</v>
      </c>
      <c r="AU27" s="102">
        <f t="shared" ca="1" si="27"/>
        <v>29</v>
      </c>
      <c r="AV27" s="102">
        <f t="shared" ca="1" si="27"/>
        <v>30</v>
      </c>
      <c r="AW27" s="102">
        <f t="shared" ca="1" si="27"/>
        <v>30</v>
      </c>
      <c r="AX27" s="102">
        <f t="shared" ca="1" si="27"/>
        <v>30</v>
      </c>
      <c r="AY27" s="102">
        <f t="shared" ca="1" si="27"/>
        <v>30</v>
      </c>
      <c r="AZ27" s="102">
        <f t="shared" ca="1" si="27"/>
        <v>30</v>
      </c>
      <c r="BA27" s="102">
        <f t="shared" ca="1" si="27"/>
        <v>30</v>
      </c>
      <c r="BB27" s="102">
        <f t="shared" ca="1" si="27"/>
        <v>30</v>
      </c>
      <c r="BC27" s="102">
        <f t="shared" ca="1" si="27"/>
        <v>30</v>
      </c>
      <c r="BD27" s="102">
        <f t="shared" ca="1" si="27"/>
        <v>30</v>
      </c>
      <c r="BE27" s="102">
        <f t="shared" ca="1" si="27"/>
        <v>30</v>
      </c>
      <c r="BF27" s="102">
        <f t="shared" ca="1" si="27"/>
        <v>30</v>
      </c>
      <c r="BG27" s="102">
        <f t="shared" ca="1" si="27"/>
        <v>30</v>
      </c>
      <c r="BH27" s="102">
        <f t="shared" ca="1" si="27"/>
        <v>30</v>
      </c>
      <c r="BI27" s="102">
        <f t="shared" ca="1" si="27"/>
        <v>30</v>
      </c>
      <c r="BJ27" s="102">
        <f t="shared" ca="1" si="27"/>
        <v>30</v>
      </c>
      <c r="BK27" s="102">
        <f t="shared" ca="1" si="27"/>
        <v>30</v>
      </c>
      <c r="BL27" s="102">
        <f t="shared" ca="1" si="27"/>
        <v>30</v>
      </c>
      <c r="BM27" s="102">
        <f t="shared" ca="1" si="27"/>
        <v>30</v>
      </c>
      <c r="BN27" s="102">
        <f t="shared" ca="1" si="27"/>
        <v>30</v>
      </c>
      <c r="BO27" s="102">
        <f t="shared" ca="1" si="27"/>
        <v>30</v>
      </c>
      <c r="BP27" s="102">
        <f t="shared" ca="1" si="27"/>
        <v>30</v>
      </c>
      <c r="BQ27" s="102">
        <f t="shared" ca="1" si="27"/>
        <v>30</v>
      </c>
      <c r="BR27" s="102">
        <f t="shared" ca="1" si="27"/>
        <v>30</v>
      </c>
      <c r="BS27" s="102">
        <f t="shared" ca="1" si="27"/>
        <v>30</v>
      </c>
      <c r="BT27" s="102">
        <f t="shared" ca="1" si="27"/>
        <v>30</v>
      </c>
      <c r="BU27" s="102">
        <f t="shared" ca="1" si="27"/>
        <v>30</v>
      </c>
      <c r="BV27" s="102">
        <f t="shared" ca="1" si="27"/>
        <v>30</v>
      </c>
      <c r="BW27" s="102">
        <f t="shared" ca="1" si="27"/>
        <v>30</v>
      </c>
      <c r="BX27" s="102">
        <f t="shared" ca="1" si="27"/>
        <v>30</v>
      </c>
      <c r="BY27" s="102">
        <f t="shared" ca="1" si="27"/>
        <v>30</v>
      </c>
      <c r="BZ27" s="102">
        <f t="shared" ca="1" si="27"/>
        <v>30</v>
      </c>
      <c r="CA27" s="102">
        <f t="shared" ca="1" si="27"/>
        <v>30</v>
      </c>
      <c r="CB27" s="102">
        <f t="shared" ca="1" si="27"/>
        <v>30</v>
      </c>
      <c r="CC27" s="102">
        <f t="shared" ca="1" si="27"/>
        <v>30</v>
      </c>
      <c r="CD27" s="102">
        <f t="shared" ref="CD27:EO27" ca="1" si="28">IF(ISERROR(CC27+OFFSET(CD23,0,-$C$37)),"NA",CC27+OFFSET(CD23,0,-$C$37))</f>
        <v>30</v>
      </c>
      <c r="CE27" s="102">
        <f t="shared" ca="1" si="28"/>
        <v>30</v>
      </c>
      <c r="CF27" s="102">
        <f t="shared" ca="1" si="28"/>
        <v>30</v>
      </c>
      <c r="CG27" s="102">
        <f t="shared" ca="1" si="28"/>
        <v>30</v>
      </c>
      <c r="CH27" s="102">
        <f t="shared" ca="1" si="28"/>
        <v>30</v>
      </c>
      <c r="CI27" s="102">
        <f t="shared" ca="1" si="28"/>
        <v>30</v>
      </c>
      <c r="CJ27" s="102">
        <f t="shared" ca="1" si="28"/>
        <v>30</v>
      </c>
      <c r="CK27" s="102">
        <f t="shared" ca="1" si="28"/>
        <v>30</v>
      </c>
      <c r="CL27" s="102">
        <f t="shared" ca="1" si="28"/>
        <v>30</v>
      </c>
      <c r="CM27" s="102">
        <f t="shared" ca="1" si="28"/>
        <v>30</v>
      </c>
      <c r="CN27" s="102">
        <f t="shared" ca="1" si="28"/>
        <v>30</v>
      </c>
      <c r="CO27" s="102">
        <f t="shared" ca="1" si="28"/>
        <v>30</v>
      </c>
      <c r="CP27" s="102">
        <f t="shared" ca="1" si="28"/>
        <v>30</v>
      </c>
      <c r="CQ27" s="102">
        <f t="shared" ca="1" si="28"/>
        <v>30</v>
      </c>
      <c r="CR27" s="102">
        <f t="shared" ca="1" si="28"/>
        <v>30</v>
      </c>
      <c r="CS27" s="102">
        <f t="shared" ca="1" si="28"/>
        <v>30</v>
      </c>
      <c r="CT27" s="102">
        <f t="shared" ca="1" si="28"/>
        <v>30</v>
      </c>
      <c r="CU27" s="102">
        <f t="shared" ca="1" si="28"/>
        <v>30</v>
      </c>
      <c r="CV27" s="102">
        <f t="shared" ca="1" si="28"/>
        <v>30</v>
      </c>
      <c r="CW27" s="102">
        <f t="shared" ca="1" si="28"/>
        <v>30</v>
      </c>
      <c r="CX27" s="102">
        <f t="shared" ca="1" si="28"/>
        <v>30</v>
      </c>
      <c r="CY27" s="102">
        <f t="shared" ca="1" si="28"/>
        <v>30</v>
      </c>
      <c r="CZ27" s="102">
        <f t="shared" ca="1" si="28"/>
        <v>30</v>
      </c>
      <c r="DA27" s="102">
        <f t="shared" ca="1" si="28"/>
        <v>30</v>
      </c>
      <c r="DB27" s="102">
        <f t="shared" ca="1" si="28"/>
        <v>30</v>
      </c>
      <c r="DC27" s="102">
        <f t="shared" ca="1" si="28"/>
        <v>30</v>
      </c>
      <c r="DD27" s="102">
        <f t="shared" ca="1" si="28"/>
        <v>30</v>
      </c>
      <c r="DE27" s="102">
        <f t="shared" ca="1" si="28"/>
        <v>30</v>
      </c>
      <c r="DF27" s="102">
        <f t="shared" ca="1" si="28"/>
        <v>30</v>
      </c>
      <c r="DG27" s="102">
        <f t="shared" ca="1" si="28"/>
        <v>30</v>
      </c>
      <c r="DH27" s="102">
        <f t="shared" ca="1" si="28"/>
        <v>30</v>
      </c>
      <c r="DI27" s="102">
        <f t="shared" ca="1" si="28"/>
        <v>30</v>
      </c>
      <c r="DJ27" s="102">
        <f t="shared" ca="1" si="28"/>
        <v>30</v>
      </c>
      <c r="DK27" s="102">
        <f t="shared" ca="1" si="28"/>
        <v>30</v>
      </c>
      <c r="DL27" s="102">
        <f t="shared" ca="1" si="28"/>
        <v>30</v>
      </c>
      <c r="DM27" s="102">
        <f t="shared" ca="1" si="28"/>
        <v>30</v>
      </c>
      <c r="DN27" s="102">
        <f t="shared" ca="1" si="28"/>
        <v>30</v>
      </c>
      <c r="DO27" s="102">
        <f t="shared" ca="1" si="28"/>
        <v>30</v>
      </c>
      <c r="DP27" s="102">
        <f t="shared" ca="1" si="28"/>
        <v>30</v>
      </c>
      <c r="DQ27" s="102">
        <f t="shared" ca="1" si="28"/>
        <v>30</v>
      </c>
      <c r="DR27" s="102">
        <f t="shared" ca="1" si="28"/>
        <v>30</v>
      </c>
      <c r="DS27" s="102">
        <f t="shared" ca="1" si="28"/>
        <v>30</v>
      </c>
      <c r="DT27" s="102">
        <f t="shared" ca="1" si="28"/>
        <v>30</v>
      </c>
      <c r="DU27" s="102">
        <f t="shared" ca="1" si="28"/>
        <v>30</v>
      </c>
      <c r="DV27" s="102">
        <f t="shared" ca="1" si="28"/>
        <v>30</v>
      </c>
      <c r="DW27" s="102">
        <f t="shared" ca="1" si="28"/>
        <v>30</v>
      </c>
      <c r="DX27" s="102">
        <f t="shared" ca="1" si="28"/>
        <v>30</v>
      </c>
      <c r="DY27" s="102">
        <f t="shared" ca="1" si="28"/>
        <v>30</v>
      </c>
      <c r="DZ27" s="102">
        <f t="shared" ca="1" si="28"/>
        <v>30</v>
      </c>
      <c r="EA27" s="102">
        <f t="shared" ca="1" si="28"/>
        <v>30</v>
      </c>
      <c r="EB27" s="102">
        <f t="shared" ca="1" si="28"/>
        <v>30</v>
      </c>
      <c r="EC27" s="102">
        <f t="shared" ca="1" si="28"/>
        <v>30</v>
      </c>
      <c r="ED27" s="102">
        <f t="shared" ca="1" si="28"/>
        <v>30</v>
      </c>
      <c r="EE27" s="102">
        <f t="shared" ca="1" si="28"/>
        <v>30</v>
      </c>
      <c r="EF27" s="102">
        <f t="shared" ca="1" si="28"/>
        <v>30</v>
      </c>
      <c r="EG27" s="102">
        <f t="shared" ca="1" si="28"/>
        <v>30</v>
      </c>
      <c r="EH27" s="102">
        <f t="shared" ca="1" si="28"/>
        <v>30</v>
      </c>
      <c r="EI27" s="102">
        <f t="shared" ca="1" si="28"/>
        <v>30</v>
      </c>
      <c r="EJ27" s="102">
        <f t="shared" ca="1" si="28"/>
        <v>30</v>
      </c>
      <c r="EK27" s="102">
        <f t="shared" ca="1" si="28"/>
        <v>30</v>
      </c>
      <c r="EL27" s="102">
        <f t="shared" ca="1" si="28"/>
        <v>30</v>
      </c>
      <c r="EM27" s="102">
        <f t="shared" ca="1" si="28"/>
        <v>30</v>
      </c>
      <c r="EN27" s="102">
        <f t="shared" ca="1" si="28"/>
        <v>30</v>
      </c>
      <c r="EO27" s="102">
        <f t="shared" ca="1" si="28"/>
        <v>30</v>
      </c>
      <c r="EP27" s="102">
        <f ca="1">IF(ISERROR(EO27+OFFSET(EP23,0,-$C$37)),"NA",EO27+OFFSET(EP23,0,-$C$37))</f>
        <v>30</v>
      </c>
      <c r="EQ27" s="102">
        <f ca="1">IF(ISERROR(EP27+OFFSET(EQ23,0,-$C$37)),"NA",EP27+OFFSET(EQ23,0,-$C$37))</f>
        <v>30</v>
      </c>
      <c r="ER27" s="64"/>
      <c r="ES27" s="421"/>
      <c r="ET27" s="63"/>
      <c r="EU27" s="92"/>
    </row>
    <row r="28" spans="2:151" s="87" customFormat="1" ht="15.75" outlineLevel="1">
      <c r="B28" s="255" t="s">
        <v>88</v>
      </c>
      <c r="C28" s="256">
        <f ca="1">MAX(P28:EQ28)</f>
        <v>10</v>
      </c>
      <c r="D28" s="256"/>
      <c r="E28" s="256"/>
      <c r="F28" s="256"/>
      <c r="G28" s="480" t="s">
        <v>87</v>
      </c>
      <c r="H28" s="480"/>
      <c r="I28" s="75"/>
      <c r="J28" s="212"/>
      <c r="K28" s="93"/>
      <c r="L28" s="75"/>
      <c r="M28" s="75"/>
      <c r="N28" s="212"/>
      <c r="O28" s="776"/>
      <c r="P28" s="102">
        <f t="shared" ref="P28:CA28" ca="1" si="29">P23+P26</f>
        <v>0</v>
      </c>
      <c r="Q28" s="102">
        <f t="shared" ca="1" si="29"/>
        <v>1</v>
      </c>
      <c r="R28" s="102">
        <f t="shared" ca="1" si="29"/>
        <v>5</v>
      </c>
      <c r="S28" s="102">
        <f t="shared" ca="1" si="29"/>
        <v>9</v>
      </c>
      <c r="T28" s="102">
        <f t="shared" ca="1" si="29"/>
        <v>5</v>
      </c>
      <c r="U28" s="102">
        <f t="shared" ca="1" si="29"/>
        <v>0</v>
      </c>
      <c r="V28" s="102">
        <f t="shared" ca="1" si="29"/>
        <v>0</v>
      </c>
      <c r="W28" s="102">
        <f t="shared" ca="1" si="29"/>
        <v>0</v>
      </c>
      <c r="X28" s="102">
        <f t="shared" ca="1" si="29"/>
        <v>0</v>
      </c>
      <c r="Y28" s="102">
        <f t="shared" ca="1" si="29"/>
        <v>0</v>
      </c>
      <c r="Z28" s="102">
        <f t="shared" ca="1" si="29"/>
        <v>0</v>
      </c>
      <c r="AA28" s="102">
        <f t="shared" ca="1" si="29"/>
        <v>0</v>
      </c>
      <c r="AB28" s="102">
        <f t="shared" ca="1" si="29"/>
        <v>5</v>
      </c>
      <c r="AC28" s="102">
        <f t="shared" ca="1" si="29"/>
        <v>10</v>
      </c>
      <c r="AD28" s="102">
        <f t="shared" ca="1" si="29"/>
        <v>5</v>
      </c>
      <c r="AE28" s="102">
        <f t="shared" ca="1" si="29"/>
        <v>5</v>
      </c>
      <c r="AF28" s="102">
        <f t="shared" ca="1" si="29"/>
        <v>5</v>
      </c>
      <c r="AG28" s="102">
        <f t="shared" ca="1" si="29"/>
        <v>0</v>
      </c>
      <c r="AH28" s="102">
        <f t="shared" ca="1" si="29"/>
        <v>0</v>
      </c>
      <c r="AI28" s="102">
        <f t="shared" ca="1" si="29"/>
        <v>0</v>
      </c>
      <c r="AJ28" s="102">
        <f t="shared" ca="1" si="29"/>
        <v>0</v>
      </c>
      <c r="AK28" s="102">
        <f t="shared" ca="1" si="29"/>
        <v>0</v>
      </c>
      <c r="AL28" s="102">
        <f t="shared" ca="1" si="29"/>
        <v>0</v>
      </c>
      <c r="AM28" s="102">
        <f t="shared" ca="1" si="29"/>
        <v>0</v>
      </c>
      <c r="AN28" s="102">
        <f t="shared" ca="1" si="29"/>
        <v>0</v>
      </c>
      <c r="AO28" s="102">
        <f t="shared" ca="1" si="29"/>
        <v>0</v>
      </c>
      <c r="AP28" s="102">
        <f t="shared" ca="1" si="29"/>
        <v>0</v>
      </c>
      <c r="AQ28" s="102">
        <f t="shared" ca="1" si="29"/>
        <v>4</v>
      </c>
      <c r="AR28" s="102">
        <f t="shared" ca="1" si="29"/>
        <v>4</v>
      </c>
      <c r="AS28" s="102">
        <f t="shared" ca="1" si="29"/>
        <v>1</v>
      </c>
      <c r="AT28" s="102">
        <f t="shared" ca="1" si="29"/>
        <v>1</v>
      </c>
      <c r="AU28" s="102">
        <f t="shared" ca="1" si="29"/>
        <v>0</v>
      </c>
      <c r="AV28" s="102">
        <f t="shared" ca="1" si="29"/>
        <v>0</v>
      </c>
      <c r="AW28" s="102">
        <f t="shared" ca="1" si="29"/>
        <v>0</v>
      </c>
      <c r="AX28" s="102">
        <f t="shared" ca="1" si="29"/>
        <v>0</v>
      </c>
      <c r="AY28" s="102">
        <f t="shared" ca="1" si="29"/>
        <v>0</v>
      </c>
      <c r="AZ28" s="102">
        <f t="shared" ca="1" si="29"/>
        <v>0</v>
      </c>
      <c r="BA28" s="102">
        <f t="shared" ca="1" si="29"/>
        <v>0</v>
      </c>
      <c r="BB28" s="102">
        <f t="shared" ca="1" si="29"/>
        <v>0</v>
      </c>
      <c r="BC28" s="102">
        <f t="shared" ca="1" si="29"/>
        <v>0</v>
      </c>
      <c r="BD28" s="102">
        <f t="shared" ca="1" si="29"/>
        <v>0</v>
      </c>
      <c r="BE28" s="102">
        <f t="shared" ca="1" si="29"/>
        <v>0</v>
      </c>
      <c r="BF28" s="102">
        <f t="shared" ca="1" si="29"/>
        <v>0</v>
      </c>
      <c r="BG28" s="102">
        <f t="shared" ca="1" si="29"/>
        <v>0</v>
      </c>
      <c r="BH28" s="102">
        <f t="shared" ca="1" si="29"/>
        <v>0</v>
      </c>
      <c r="BI28" s="102">
        <f t="shared" ca="1" si="29"/>
        <v>0</v>
      </c>
      <c r="BJ28" s="102">
        <f t="shared" ca="1" si="29"/>
        <v>0</v>
      </c>
      <c r="BK28" s="102">
        <f t="shared" ca="1" si="29"/>
        <v>0</v>
      </c>
      <c r="BL28" s="102">
        <f t="shared" ca="1" si="29"/>
        <v>0</v>
      </c>
      <c r="BM28" s="102">
        <f t="shared" ca="1" si="29"/>
        <v>0</v>
      </c>
      <c r="BN28" s="102">
        <f t="shared" ca="1" si="29"/>
        <v>0</v>
      </c>
      <c r="BO28" s="102">
        <f t="shared" ca="1" si="29"/>
        <v>0</v>
      </c>
      <c r="BP28" s="102">
        <f t="shared" ca="1" si="29"/>
        <v>0</v>
      </c>
      <c r="BQ28" s="102">
        <f t="shared" ca="1" si="29"/>
        <v>0</v>
      </c>
      <c r="BR28" s="102">
        <f t="shared" ca="1" si="29"/>
        <v>0</v>
      </c>
      <c r="BS28" s="102">
        <f t="shared" ca="1" si="29"/>
        <v>0</v>
      </c>
      <c r="BT28" s="102">
        <f t="shared" ca="1" si="29"/>
        <v>0</v>
      </c>
      <c r="BU28" s="102">
        <f t="shared" ca="1" si="29"/>
        <v>0</v>
      </c>
      <c r="BV28" s="102">
        <f t="shared" ca="1" si="29"/>
        <v>0</v>
      </c>
      <c r="BW28" s="102">
        <f t="shared" ca="1" si="29"/>
        <v>0</v>
      </c>
      <c r="BX28" s="102">
        <f t="shared" ca="1" si="29"/>
        <v>0</v>
      </c>
      <c r="BY28" s="102">
        <f t="shared" ca="1" si="29"/>
        <v>0</v>
      </c>
      <c r="BZ28" s="102">
        <f t="shared" ca="1" si="29"/>
        <v>0</v>
      </c>
      <c r="CA28" s="102">
        <f t="shared" ca="1" si="29"/>
        <v>0</v>
      </c>
      <c r="CB28" s="102">
        <f t="shared" ref="CB28:EM28" ca="1" si="30">CB23+CB26</f>
        <v>0</v>
      </c>
      <c r="CC28" s="102">
        <f t="shared" ca="1" si="30"/>
        <v>0</v>
      </c>
      <c r="CD28" s="102">
        <f t="shared" ca="1" si="30"/>
        <v>0</v>
      </c>
      <c r="CE28" s="102">
        <f t="shared" ca="1" si="30"/>
        <v>0</v>
      </c>
      <c r="CF28" s="102">
        <f t="shared" ca="1" si="30"/>
        <v>0</v>
      </c>
      <c r="CG28" s="102">
        <f t="shared" ca="1" si="30"/>
        <v>0</v>
      </c>
      <c r="CH28" s="102">
        <f t="shared" ca="1" si="30"/>
        <v>0</v>
      </c>
      <c r="CI28" s="102">
        <f t="shared" ca="1" si="30"/>
        <v>0</v>
      </c>
      <c r="CJ28" s="102">
        <f t="shared" ca="1" si="30"/>
        <v>0</v>
      </c>
      <c r="CK28" s="102">
        <f t="shared" ca="1" si="30"/>
        <v>0</v>
      </c>
      <c r="CL28" s="102">
        <f t="shared" ca="1" si="30"/>
        <v>0</v>
      </c>
      <c r="CM28" s="102">
        <f t="shared" ca="1" si="30"/>
        <v>0</v>
      </c>
      <c r="CN28" s="102">
        <f t="shared" ca="1" si="30"/>
        <v>0</v>
      </c>
      <c r="CO28" s="102">
        <f t="shared" ca="1" si="30"/>
        <v>0</v>
      </c>
      <c r="CP28" s="102">
        <f t="shared" ca="1" si="30"/>
        <v>0</v>
      </c>
      <c r="CQ28" s="102">
        <f t="shared" ca="1" si="30"/>
        <v>0</v>
      </c>
      <c r="CR28" s="102">
        <f t="shared" ca="1" si="30"/>
        <v>0</v>
      </c>
      <c r="CS28" s="102">
        <f t="shared" ca="1" si="30"/>
        <v>0</v>
      </c>
      <c r="CT28" s="102">
        <f t="shared" ca="1" si="30"/>
        <v>0</v>
      </c>
      <c r="CU28" s="102">
        <f t="shared" ca="1" si="30"/>
        <v>0</v>
      </c>
      <c r="CV28" s="102">
        <f t="shared" ca="1" si="30"/>
        <v>0</v>
      </c>
      <c r="CW28" s="102">
        <f t="shared" ca="1" si="30"/>
        <v>0</v>
      </c>
      <c r="CX28" s="102">
        <f t="shared" ca="1" si="30"/>
        <v>0</v>
      </c>
      <c r="CY28" s="102">
        <f t="shared" ca="1" si="30"/>
        <v>0</v>
      </c>
      <c r="CZ28" s="102">
        <f t="shared" ca="1" si="30"/>
        <v>0</v>
      </c>
      <c r="DA28" s="102">
        <f t="shared" ca="1" si="30"/>
        <v>0</v>
      </c>
      <c r="DB28" s="102">
        <f t="shared" ca="1" si="30"/>
        <v>0</v>
      </c>
      <c r="DC28" s="102">
        <f t="shared" ca="1" si="30"/>
        <v>0</v>
      </c>
      <c r="DD28" s="102">
        <f t="shared" ca="1" si="30"/>
        <v>0</v>
      </c>
      <c r="DE28" s="102">
        <f t="shared" ca="1" si="30"/>
        <v>0</v>
      </c>
      <c r="DF28" s="102">
        <f t="shared" ca="1" si="30"/>
        <v>0</v>
      </c>
      <c r="DG28" s="102">
        <f t="shared" ca="1" si="30"/>
        <v>0</v>
      </c>
      <c r="DH28" s="102">
        <f t="shared" ca="1" si="30"/>
        <v>0</v>
      </c>
      <c r="DI28" s="102">
        <f t="shared" ca="1" si="30"/>
        <v>0</v>
      </c>
      <c r="DJ28" s="102">
        <f t="shared" ca="1" si="30"/>
        <v>0</v>
      </c>
      <c r="DK28" s="102">
        <f t="shared" ca="1" si="30"/>
        <v>0</v>
      </c>
      <c r="DL28" s="102">
        <f t="shared" ca="1" si="30"/>
        <v>0</v>
      </c>
      <c r="DM28" s="102">
        <f t="shared" ca="1" si="30"/>
        <v>0</v>
      </c>
      <c r="DN28" s="102">
        <f t="shared" ca="1" si="30"/>
        <v>0</v>
      </c>
      <c r="DO28" s="102">
        <f t="shared" ca="1" si="30"/>
        <v>0</v>
      </c>
      <c r="DP28" s="102">
        <f t="shared" ca="1" si="30"/>
        <v>0</v>
      </c>
      <c r="DQ28" s="102">
        <f t="shared" ca="1" si="30"/>
        <v>0</v>
      </c>
      <c r="DR28" s="102">
        <f t="shared" ca="1" si="30"/>
        <v>0</v>
      </c>
      <c r="DS28" s="102">
        <f t="shared" ca="1" si="30"/>
        <v>0</v>
      </c>
      <c r="DT28" s="102">
        <f t="shared" ca="1" si="30"/>
        <v>0</v>
      </c>
      <c r="DU28" s="102">
        <f t="shared" ca="1" si="30"/>
        <v>0</v>
      </c>
      <c r="DV28" s="102">
        <f t="shared" ca="1" si="30"/>
        <v>0</v>
      </c>
      <c r="DW28" s="102">
        <f t="shared" ca="1" si="30"/>
        <v>0</v>
      </c>
      <c r="DX28" s="102">
        <f t="shared" ca="1" si="30"/>
        <v>0</v>
      </c>
      <c r="DY28" s="102">
        <f t="shared" ca="1" si="30"/>
        <v>0</v>
      </c>
      <c r="DZ28" s="102">
        <f t="shared" ca="1" si="30"/>
        <v>0</v>
      </c>
      <c r="EA28" s="102">
        <f t="shared" ca="1" si="30"/>
        <v>0</v>
      </c>
      <c r="EB28" s="102">
        <f t="shared" ca="1" si="30"/>
        <v>0</v>
      </c>
      <c r="EC28" s="102">
        <f t="shared" ca="1" si="30"/>
        <v>0</v>
      </c>
      <c r="ED28" s="102">
        <f t="shared" ca="1" si="30"/>
        <v>0</v>
      </c>
      <c r="EE28" s="102">
        <f t="shared" ca="1" si="30"/>
        <v>0</v>
      </c>
      <c r="EF28" s="102">
        <f t="shared" ca="1" si="30"/>
        <v>0</v>
      </c>
      <c r="EG28" s="102">
        <f t="shared" ca="1" si="30"/>
        <v>0</v>
      </c>
      <c r="EH28" s="102">
        <f t="shared" ca="1" si="30"/>
        <v>0</v>
      </c>
      <c r="EI28" s="102">
        <f t="shared" ca="1" si="30"/>
        <v>0</v>
      </c>
      <c r="EJ28" s="102">
        <f t="shared" ca="1" si="30"/>
        <v>0</v>
      </c>
      <c r="EK28" s="102">
        <f t="shared" ca="1" si="30"/>
        <v>0</v>
      </c>
      <c r="EL28" s="102">
        <f t="shared" ca="1" si="30"/>
        <v>0</v>
      </c>
      <c r="EM28" s="102">
        <f t="shared" ca="1" si="30"/>
        <v>0</v>
      </c>
      <c r="EN28" s="102">
        <f t="shared" ref="EN28:EQ28" ca="1" si="31">EN23+EN26</f>
        <v>0</v>
      </c>
      <c r="EO28" s="102">
        <f t="shared" ca="1" si="31"/>
        <v>0</v>
      </c>
      <c r="EP28" s="102">
        <f t="shared" ca="1" si="31"/>
        <v>0</v>
      </c>
      <c r="EQ28" s="102">
        <f t="shared" ca="1" si="31"/>
        <v>0</v>
      </c>
      <c r="ER28" s="64"/>
      <c r="ES28" s="421"/>
      <c r="ET28" s="63"/>
      <c r="EU28" s="92"/>
    </row>
    <row r="29" spans="2:151" s="87" customFormat="1" ht="15.75" outlineLevel="1">
      <c r="B29" s="255" t="s">
        <v>89</v>
      </c>
      <c r="C29" s="257">
        <f>Assumptions!E75</f>
        <v>0.04</v>
      </c>
      <c r="D29" s="257"/>
      <c r="E29" s="257"/>
      <c r="F29" s="257"/>
      <c r="G29" s="480" t="s">
        <v>91</v>
      </c>
      <c r="H29" s="480"/>
      <c r="I29" s="75"/>
      <c r="J29" s="212"/>
      <c r="K29" s="93"/>
      <c r="L29" s="75"/>
      <c r="M29" s="75"/>
      <c r="N29" s="212"/>
      <c r="O29" s="776"/>
      <c r="P29" s="102">
        <f t="shared" ref="P29:CA29" ca="1" si="32">$C$29*(unit-P28)</f>
        <v>1.2</v>
      </c>
      <c r="Q29" s="102">
        <f t="shared" ca="1" si="32"/>
        <v>1.1599999999999999</v>
      </c>
      <c r="R29" s="102">
        <f t="shared" ca="1" si="32"/>
        <v>1</v>
      </c>
      <c r="S29" s="102">
        <f t="shared" ca="1" si="32"/>
        <v>0.84</v>
      </c>
      <c r="T29" s="102">
        <f t="shared" ca="1" si="32"/>
        <v>1</v>
      </c>
      <c r="U29" s="102">
        <f t="shared" ca="1" si="32"/>
        <v>1.2</v>
      </c>
      <c r="V29" s="102">
        <f t="shared" ca="1" si="32"/>
        <v>1.2</v>
      </c>
      <c r="W29" s="102">
        <f t="shared" ca="1" si="32"/>
        <v>1.2</v>
      </c>
      <c r="X29" s="102">
        <f t="shared" ca="1" si="32"/>
        <v>1.2</v>
      </c>
      <c r="Y29" s="102">
        <f t="shared" ca="1" si="32"/>
        <v>1.2</v>
      </c>
      <c r="Z29" s="102">
        <f t="shared" ca="1" si="32"/>
        <v>1.2</v>
      </c>
      <c r="AA29" s="102">
        <f t="shared" ca="1" si="32"/>
        <v>1.2</v>
      </c>
      <c r="AB29" s="102">
        <f t="shared" ca="1" si="32"/>
        <v>1</v>
      </c>
      <c r="AC29" s="102">
        <f t="shared" ca="1" si="32"/>
        <v>0.8</v>
      </c>
      <c r="AD29" s="102">
        <f t="shared" ca="1" si="32"/>
        <v>1</v>
      </c>
      <c r="AE29" s="102">
        <f t="shared" ca="1" si="32"/>
        <v>1</v>
      </c>
      <c r="AF29" s="102">
        <f t="shared" ca="1" si="32"/>
        <v>1</v>
      </c>
      <c r="AG29" s="102">
        <f t="shared" ca="1" si="32"/>
        <v>1.2</v>
      </c>
      <c r="AH29" s="102">
        <f t="shared" ca="1" si="32"/>
        <v>1.2</v>
      </c>
      <c r="AI29" s="102">
        <f t="shared" ca="1" si="32"/>
        <v>1.2</v>
      </c>
      <c r="AJ29" s="102">
        <f t="shared" ca="1" si="32"/>
        <v>1.2</v>
      </c>
      <c r="AK29" s="102">
        <f t="shared" ca="1" si="32"/>
        <v>1.2</v>
      </c>
      <c r="AL29" s="102">
        <f t="shared" ca="1" si="32"/>
        <v>1.2</v>
      </c>
      <c r="AM29" s="102">
        <f t="shared" ca="1" si="32"/>
        <v>1.2</v>
      </c>
      <c r="AN29" s="102">
        <f t="shared" ca="1" si="32"/>
        <v>1.2</v>
      </c>
      <c r="AO29" s="102">
        <f t="shared" ca="1" si="32"/>
        <v>1.2</v>
      </c>
      <c r="AP29" s="102">
        <f t="shared" ca="1" si="32"/>
        <v>1.2</v>
      </c>
      <c r="AQ29" s="102">
        <f t="shared" ca="1" si="32"/>
        <v>1.04</v>
      </c>
      <c r="AR29" s="102">
        <f t="shared" ca="1" si="32"/>
        <v>1.04</v>
      </c>
      <c r="AS29" s="102">
        <f t="shared" ca="1" si="32"/>
        <v>1.1599999999999999</v>
      </c>
      <c r="AT29" s="102">
        <f t="shared" ca="1" si="32"/>
        <v>1.1599999999999999</v>
      </c>
      <c r="AU29" s="102">
        <f t="shared" ca="1" si="32"/>
        <v>1.2</v>
      </c>
      <c r="AV29" s="102">
        <f t="shared" ca="1" si="32"/>
        <v>1.2</v>
      </c>
      <c r="AW29" s="102">
        <f t="shared" ca="1" si="32"/>
        <v>1.2</v>
      </c>
      <c r="AX29" s="102">
        <f t="shared" ca="1" si="32"/>
        <v>1.2</v>
      </c>
      <c r="AY29" s="102">
        <f t="shared" ca="1" si="32"/>
        <v>1.2</v>
      </c>
      <c r="AZ29" s="102">
        <f t="shared" ca="1" si="32"/>
        <v>1.2</v>
      </c>
      <c r="BA29" s="102">
        <f t="shared" ca="1" si="32"/>
        <v>1.2</v>
      </c>
      <c r="BB29" s="102">
        <f t="shared" ca="1" si="32"/>
        <v>1.2</v>
      </c>
      <c r="BC29" s="102">
        <f t="shared" ca="1" si="32"/>
        <v>1.2</v>
      </c>
      <c r="BD29" s="102">
        <f t="shared" ca="1" si="32"/>
        <v>1.2</v>
      </c>
      <c r="BE29" s="102">
        <f t="shared" ca="1" si="32"/>
        <v>1.2</v>
      </c>
      <c r="BF29" s="102">
        <f t="shared" ca="1" si="32"/>
        <v>1.2</v>
      </c>
      <c r="BG29" s="102">
        <f t="shared" ca="1" si="32"/>
        <v>1.2</v>
      </c>
      <c r="BH29" s="102">
        <f t="shared" ca="1" si="32"/>
        <v>1.2</v>
      </c>
      <c r="BI29" s="102">
        <f t="shared" ca="1" si="32"/>
        <v>1.2</v>
      </c>
      <c r="BJ29" s="102">
        <f t="shared" ca="1" si="32"/>
        <v>1.2</v>
      </c>
      <c r="BK29" s="102">
        <f t="shared" ca="1" si="32"/>
        <v>1.2</v>
      </c>
      <c r="BL29" s="102">
        <f t="shared" ca="1" si="32"/>
        <v>1.2</v>
      </c>
      <c r="BM29" s="102">
        <f t="shared" ca="1" si="32"/>
        <v>1.2</v>
      </c>
      <c r="BN29" s="102">
        <f t="shared" ca="1" si="32"/>
        <v>1.2</v>
      </c>
      <c r="BO29" s="102">
        <f t="shared" ca="1" si="32"/>
        <v>1.2</v>
      </c>
      <c r="BP29" s="102">
        <f t="shared" ca="1" si="32"/>
        <v>1.2</v>
      </c>
      <c r="BQ29" s="102">
        <f t="shared" ca="1" si="32"/>
        <v>1.2</v>
      </c>
      <c r="BR29" s="102">
        <f t="shared" ca="1" si="32"/>
        <v>1.2</v>
      </c>
      <c r="BS29" s="102">
        <f t="shared" ca="1" si="32"/>
        <v>1.2</v>
      </c>
      <c r="BT29" s="102">
        <f t="shared" ca="1" si="32"/>
        <v>1.2</v>
      </c>
      <c r="BU29" s="102">
        <f t="shared" ca="1" si="32"/>
        <v>1.2</v>
      </c>
      <c r="BV29" s="102">
        <f t="shared" ca="1" si="32"/>
        <v>1.2</v>
      </c>
      <c r="BW29" s="102">
        <f t="shared" ca="1" si="32"/>
        <v>1.2</v>
      </c>
      <c r="BX29" s="102">
        <f t="shared" ca="1" si="32"/>
        <v>1.2</v>
      </c>
      <c r="BY29" s="102">
        <f t="shared" ca="1" si="32"/>
        <v>1.2</v>
      </c>
      <c r="BZ29" s="102">
        <f t="shared" ca="1" si="32"/>
        <v>1.2</v>
      </c>
      <c r="CA29" s="102">
        <f t="shared" ca="1" si="32"/>
        <v>1.2</v>
      </c>
      <c r="CB29" s="102">
        <f t="shared" ref="CB29:EM29" ca="1" si="33">$C$29*(unit-CB28)</f>
        <v>1.2</v>
      </c>
      <c r="CC29" s="102">
        <f t="shared" ca="1" si="33"/>
        <v>1.2</v>
      </c>
      <c r="CD29" s="102">
        <f t="shared" ca="1" si="33"/>
        <v>1.2</v>
      </c>
      <c r="CE29" s="102">
        <f t="shared" ca="1" si="33"/>
        <v>1.2</v>
      </c>
      <c r="CF29" s="102">
        <f t="shared" ca="1" si="33"/>
        <v>1.2</v>
      </c>
      <c r="CG29" s="102">
        <f t="shared" ca="1" si="33"/>
        <v>1.2</v>
      </c>
      <c r="CH29" s="102">
        <f t="shared" ca="1" si="33"/>
        <v>1.2</v>
      </c>
      <c r="CI29" s="102">
        <f t="shared" ca="1" si="33"/>
        <v>1.2</v>
      </c>
      <c r="CJ29" s="102">
        <f t="shared" ca="1" si="33"/>
        <v>1.2</v>
      </c>
      <c r="CK29" s="102">
        <f t="shared" ca="1" si="33"/>
        <v>1.2</v>
      </c>
      <c r="CL29" s="102">
        <f t="shared" ca="1" si="33"/>
        <v>1.2</v>
      </c>
      <c r="CM29" s="102">
        <f t="shared" ca="1" si="33"/>
        <v>1.2</v>
      </c>
      <c r="CN29" s="102">
        <f t="shared" ca="1" si="33"/>
        <v>1.2</v>
      </c>
      <c r="CO29" s="102">
        <f t="shared" ca="1" si="33"/>
        <v>1.2</v>
      </c>
      <c r="CP29" s="102">
        <f t="shared" ca="1" si="33"/>
        <v>1.2</v>
      </c>
      <c r="CQ29" s="102">
        <f t="shared" ca="1" si="33"/>
        <v>1.2</v>
      </c>
      <c r="CR29" s="102">
        <f t="shared" ca="1" si="33"/>
        <v>1.2</v>
      </c>
      <c r="CS29" s="102">
        <f t="shared" ca="1" si="33"/>
        <v>1.2</v>
      </c>
      <c r="CT29" s="102">
        <f t="shared" ca="1" si="33"/>
        <v>1.2</v>
      </c>
      <c r="CU29" s="102">
        <f t="shared" ca="1" si="33"/>
        <v>1.2</v>
      </c>
      <c r="CV29" s="102">
        <f t="shared" ca="1" si="33"/>
        <v>1.2</v>
      </c>
      <c r="CW29" s="102">
        <f t="shared" ca="1" si="33"/>
        <v>1.2</v>
      </c>
      <c r="CX29" s="102">
        <f t="shared" ca="1" si="33"/>
        <v>1.2</v>
      </c>
      <c r="CY29" s="102">
        <f t="shared" ca="1" si="33"/>
        <v>1.2</v>
      </c>
      <c r="CZ29" s="102">
        <f t="shared" ca="1" si="33"/>
        <v>1.2</v>
      </c>
      <c r="DA29" s="102">
        <f t="shared" ca="1" si="33"/>
        <v>1.2</v>
      </c>
      <c r="DB29" s="102">
        <f t="shared" ca="1" si="33"/>
        <v>1.2</v>
      </c>
      <c r="DC29" s="102">
        <f t="shared" ca="1" si="33"/>
        <v>1.2</v>
      </c>
      <c r="DD29" s="102">
        <f t="shared" ca="1" si="33"/>
        <v>1.2</v>
      </c>
      <c r="DE29" s="102">
        <f t="shared" ca="1" si="33"/>
        <v>1.2</v>
      </c>
      <c r="DF29" s="102">
        <f t="shared" ca="1" si="33"/>
        <v>1.2</v>
      </c>
      <c r="DG29" s="102">
        <f t="shared" ca="1" si="33"/>
        <v>1.2</v>
      </c>
      <c r="DH29" s="102">
        <f t="shared" ca="1" si="33"/>
        <v>1.2</v>
      </c>
      <c r="DI29" s="102">
        <f t="shared" ca="1" si="33"/>
        <v>1.2</v>
      </c>
      <c r="DJ29" s="102">
        <f t="shared" ca="1" si="33"/>
        <v>1.2</v>
      </c>
      <c r="DK29" s="102">
        <f t="shared" ca="1" si="33"/>
        <v>1.2</v>
      </c>
      <c r="DL29" s="102">
        <f t="shared" ca="1" si="33"/>
        <v>1.2</v>
      </c>
      <c r="DM29" s="102">
        <f t="shared" ca="1" si="33"/>
        <v>1.2</v>
      </c>
      <c r="DN29" s="102">
        <f t="shared" ca="1" si="33"/>
        <v>1.2</v>
      </c>
      <c r="DO29" s="102">
        <f t="shared" ca="1" si="33"/>
        <v>1.2</v>
      </c>
      <c r="DP29" s="102">
        <f t="shared" ca="1" si="33"/>
        <v>1.2</v>
      </c>
      <c r="DQ29" s="102">
        <f t="shared" ca="1" si="33"/>
        <v>1.2</v>
      </c>
      <c r="DR29" s="102">
        <f t="shared" ca="1" si="33"/>
        <v>1.2</v>
      </c>
      <c r="DS29" s="102">
        <f t="shared" ca="1" si="33"/>
        <v>1.2</v>
      </c>
      <c r="DT29" s="102">
        <f t="shared" ca="1" si="33"/>
        <v>1.2</v>
      </c>
      <c r="DU29" s="102">
        <f t="shared" ca="1" si="33"/>
        <v>1.2</v>
      </c>
      <c r="DV29" s="102">
        <f t="shared" ca="1" si="33"/>
        <v>1.2</v>
      </c>
      <c r="DW29" s="102">
        <f t="shared" ca="1" si="33"/>
        <v>1.2</v>
      </c>
      <c r="DX29" s="102">
        <f t="shared" ca="1" si="33"/>
        <v>1.2</v>
      </c>
      <c r="DY29" s="102">
        <f t="shared" ca="1" si="33"/>
        <v>1.2</v>
      </c>
      <c r="DZ29" s="102">
        <f t="shared" ca="1" si="33"/>
        <v>1.2</v>
      </c>
      <c r="EA29" s="102">
        <f t="shared" ca="1" si="33"/>
        <v>1.2</v>
      </c>
      <c r="EB29" s="102">
        <f t="shared" ca="1" si="33"/>
        <v>1.2</v>
      </c>
      <c r="EC29" s="102">
        <f t="shared" ca="1" si="33"/>
        <v>1.2</v>
      </c>
      <c r="ED29" s="102">
        <f t="shared" ca="1" si="33"/>
        <v>1.2</v>
      </c>
      <c r="EE29" s="102">
        <f t="shared" ca="1" si="33"/>
        <v>1.2</v>
      </c>
      <c r="EF29" s="102">
        <f t="shared" ca="1" si="33"/>
        <v>1.2</v>
      </c>
      <c r="EG29" s="102">
        <f t="shared" ca="1" si="33"/>
        <v>1.2</v>
      </c>
      <c r="EH29" s="102">
        <f t="shared" ca="1" si="33"/>
        <v>1.2</v>
      </c>
      <c r="EI29" s="102">
        <f t="shared" ca="1" si="33"/>
        <v>1.2</v>
      </c>
      <c r="EJ29" s="102">
        <f t="shared" ca="1" si="33"/>
        <v>1.2</v>
      </c>
      <c r="EK29" s="102">
        <f t="shared" ca="1" si="33"/>
        <v>1.2</v>
      </c>
      <c r="EL29" s="102">
        <f t="shared" ca="1" si="33"/>
        <v>1.2</v>
      </c>
      <c r="EM29" s="102">
        <f t="shared" ca="1" si="33"/>
        <v>1.2</v>
      </c>
      <c r="EN29" s="102">
        <f ca="1">$C$29*(unit-EN28)</f>
        <v>1.2</v>
      </c>
      <c r="EO29" s="102">
        <f ca="1">$C$29*(unit-EO28)</f>
        <v>1.2</v>
      </c>
      <c r="EP29" s="102">
        <f ca="1">$C$29*(unit-EP28)</f>
        <v>1.2</v>
      </c>
      <c r="EQ29" s="102">
        <f ca="1">$C$29*(unit-EQ28)</f>
        <v>1.2</v>
      </c>
      <c r="ER29" s="64"/>
      <c r="ES29" s="421"/>
      <c r="ET29" s="63"/>
      <c r="EU29" s="92"/>
    </row>
    <row r="30" spans="2:151" s="87" customFormat="1" ht="15.75" outlineLevel="1">
      <c r="B30" s="255" t="s">
        <v>88</v>
      </c>
      <c r="C30" s="256">
        <f ca="1">MAX(P30:EQ30)</f>
        <v>10.8</v>
      </c>
      <c r="D30" s="256"/>
      <c r="E30" s="256"/>
      <c r="F30" s="256"/>
      <c r="G30" s="480" t="s">
        <v>86</v>
      </c>
      <c r="H30" s="480"/>
      <c r="I30" s="75"/>
      <c r="J30" s="212"/>
      <c r="K30" s="93"/>
      <c r="L30" s="75"/>
      <c r="M30" s="75"/>
      <c r="N30" s="212"/>
      <c r="O30" s="776"/>
      <c r="P30" s="102">
        <f t="shared" ref="P30:CA30" ca="1" si="34">P29+P23+P26</f>
        <v>1.2</v>
      </c>
      <c r="Q30" s="102">
        <f t="shared" ca="1" si="34"/>
        <v>2.16</v>
      </c>
      <c r="R30" s="102">
        <f t="shared" ca="1" si="34"/>
        <v>6</v>
      </c>
      <c r="S30" s="102">
        <f t="shared" ca="1" si="34"/>
        <v>9.84</v>
      </c>
      <c r="T30" s="102">
        <f t="shared" ca="1" si="34"/>
        <v>6</v>
      </c>
      <c r="U30" s="102">
        <f t="shared" ca="1" si="34"/>
        <v>1.2</v>
      </c>
      <c r="V30" s="102">
        <f t="shared" ca="1" si="34"/>
        <v>1.2</v>
      </c>
      <c r="W30" s="102">
        <f t="shared" ca="1" si="34"/>
        <v>1.2</v>
      </c>
      <c r="X30" s="102">
        <f t="shared" ca="1" si="34"/>
        <v>1.2</v>
      </c>
      <c r="Y30" s="102">
        <f t="shared" ca="1" si="34"/>
        <v>1.2</v>
      </c>
      <c r="Z30" s="102">
        <f t="shared" ca="1" si="34"/>
        <v>1.2</v>
      </c>
      <c r="AA30" s="102">
        <f t="shared" ca="1" si="34"/>
        <v>1.2</v>
      </c>
      <c r="AB30" s="102">
        <f t="shared" ca="1" si="34"/>
        <v>6</v>
      </c>
      <c r="AC30" s="102">
        <f t="shared" ca="1" si="34"/>
        <v>10.8</v>
      </c>
      <c r="AD30" s="102">
        <f t="shared" ca="1" si="34"/>
        <v>6</v>
      </c>
      <c r="AE30" s="102">
        <f t="shared" ca="1" si="34"/>
        <v>6</v>
      </c>
      <c r="AF30" s="102">
        <f t="shared" ca="1" si="34"/>
        <v>6</v>
      </c>
      <c r="AG30" s="102">
        <f t="shared" ca="1" si="34"/>
        <v>1.2</v>
      </c>
      <c r="AH30" s="102">
        <f t="shared" ca="1" si="34"/>
        <v>1.2</v>
      </c>
      <c r="AI30" s="102">
        <f t="shared" ca="1" si="34"/>
        <v>1.2</v>
      </c>
      <c r="AJ30" s="102">
        <f t="shared" ca="1" si="34"/>
        <v>1.2</v>
      </c>
      <c r="AK30" s="102">
        <f t="shared" ca="1" si="34"/>
        <v>1.2</v>
      </c>
      <c r="AL30" s="102">
        <f t="shared" ca="1" si="34"/>
        <v>1.2</v>
      </c>
      <c r="AM30" s="102">
        <f t="shared" ca="1" si="34"/>
        <v>1.2</v>
      </c>
      <c r="AN30" s="102">
        <f t="shared" ca="1" si="34"/>
        <v>1.2</v>
      </c>
      <c r="AO30" s="102">
        <f t="shared" ca="1" si="34"/>
        <v>1.2</v>
      </c>
      <c r="AP30" s="102">
        <f t="shared" ca="1" si="34"/>
        <v>1.2</v>
      </c>
      <c r="AQ30" s="102">
        <f t="shared" ca="1" si="34"/>
        <v>5.04</v>
      </c>
      <c r="AR30" s="102">
        <f t="shared" ca="1" si="34"/>
        <v>5.04</v>
      </c>
      <c r="AS30" s="102">
        <f t="shared" ca="1" si="34"/>
        <v>2.16</v>
      </c>
      <c r="AT30" s="102">
        <f t="shared" ca="1" si="34"/>
        <v>2.16</v>
      </c>
      <c r="AU30" s="102">
        <f t="shared" ca="1" si="34"/>
        <v>1.2</v>
      </c>
      <c r="AV30" s="102">
        <f t="shared" ca="1" si="34"/>
        <v>1.2</v>
      </c>
      <c r="AW30" s="102">
        <f t="shared" ca="1" si="34"/>
        <v>1.2</v>
      </c>
      <c r="AX30" s="102">
        <f t="shared" ca="1" si="34"/>
        <v>1.2</v>
      </c>
      <c r="AY30" s="102">
        <f t="shared" ca="1" si="34"/>
        <v>1.2</v>
      </c>
      <c r="AZ30" s="102">
        <f t="shared" ca="1" si="34"/>
        <v>1.2</v>
      </c>
      <c r="BA30" s="102">
        <f t="shared" ca="1" si="34"/>
        <v>1.2</v>
      </c>
      <c r="BB30" s="102">
        <f t="shared" ca="1" si="34"/>
        <v>1.2</v>
      </c>
      <c r="BC30" s="102">
        <f t="shared" ca="1" si="34"/>
        <v>1.2</v>
      </c>
      <c r="BD30" s="102">
        <f t="shared" ca="1" si="34"/>
        <v>1.2</v>
      </c>
      <c r="BE30" s="102">
        <f t="shared" ca="1" si="34"/>
        <v>1.2</v>
      </c>
      <c r="BF30" s="102">
        <f t="shared" ca="1" si="34"/>
        <v>1.2</v>
      </c>
      <c r="BG30" s="102">
        <f t="shared" ca="1" si="34"/>
        <v>1.2</v>
      </c>
      <c r="BH30" s="102">
        <f t="shared" ca="1" si="34"/>
        <v>1.2</v>
      </c>
      <c r="BI30" s="102">
        <f t="shared" ca="1" si="34"/>
        <v>1.2</v>
      </c>
      <c r="BJ30" s="102">
        <f t="shared" ca="1" si="34"/>
        <v>1.2</v>
      </c>
      <c r="BK30" s="102">
        <f t="shared" ca="1" si="34"/>
        <v>1.2</v>
      </c>
      <c r="BL30" s="102">
        <f t="shared" ca="1" si="34"/>
        <v>1.2</v>
      </c>
      <c r="BM30" s="102">
        <f t="shared" ca="1" si="34"/>
        <v>1.2</v>
      </c>
      <c r="BN30" s="102">
        <f t="shared" ca="1" si="34"/>
        <v>1.2</v>
      </c>
      <c r="BO30" s="102">
        <f t="shared" ca="1" si="34"/>
        <v>1.2</v>
      </c>
      <c r="BP30" s="102">
        <f t="shared" ca="1" si="34"/>
        <v>1.2</v>
      </c>
      <c r="BQ30" s="102">
        <f t="shared" ca="1" si="34"/>
        <v>1.2</v>
      </c>
      <c r="BR30" s="102">
        <f t="shared" ca="1" si="34"/>
        <v>1.2</v>
      </c>
      <c r="BS30" s="102">
        <f t="shared" ca="1" si="34"/>
        <v>1.2</v>
      </c>
      <c r="BT30" s="102">
        <f t="shared" ca="1" si="34"/>
        <v>1.2</v>
      </c>
      <c r="BU30" s="102">
        <f t="shared" ca="1" si="34"/>
        <v>1.2</v>
      </c>
      <c r="BV30" s="102">
        <f t="shared" ca="1" si="34"/>
        <v>1.2</v>
      </c>
      <c r="BW30" s="102">
        <f t="shared" ca="1" si="34"/>
        <v>1.2</v>
      </c>
      <c r="BX30" s="102">
        <f t="shared" ca="1" si="34"/>
        <v>1.2</v>
      </c>
      <c r="BY30" s="102">
        <f t="shared" ca="1" si="34"/>
        <v>1.2</v>
      </c>
      <c r="BZ30" s="102">
        <f t="shared" ca="1" si="34"/>
        <v>1.2</v>
      </c>
      <c r="CA30" s="102">
        <f t="shared" ca="1" si="34"/>
        <v>1.2</v>
      </c>
      <c r="CB30" s="102">
        <f t="shared" ref="CB30:EM30" ca="1" si="35">CB29+CB23+CB26</f>
        <v>1.2</v>
      </c>
      <c r="CC30" s="102">
        <f t="shared" ca="1" si="35"/>
        <v>1.2</v>
      </c>
      <c r="CD30" s="102">
        <f t="shared" ca="1" si="35"/>
        <v>1.2</v>
      </c>
      <c r="CE30" s="102">
        <f t="shared" ca="1" si="35"/>
        <v>1.2</v>
      </c>
      <c r="CF30" s="102">
        <f t="shared" ca="1" si="35"/>
        <v>1.2</v>
      </c>
      <c r="CG30" s="102">
        <f t="shared" ca="1" si="35"/>
        <v>1.2</v>
      </c>
      <c r="CH30" s="102">
        <f t="shared" ca="1" si="35"/>
        <v>1.2</v>
      </c>
      <c r="CI30" s="102">
        <f t="shared" ca="1" si="35"/>
        <v>1.2</v>
      </c>
      <c r="CJ30" s="102">
        <f t="shared" ca="1" si="35"/>
        <v>1.2</v>
      </c>
      <c r="CK30" s="102">
        <f t="shared" ca="1" si="35"/>
        <v>1.2</v>
      </c>
      <c r="CL30" s="102">
        <f t="shared" ca="1" si="35"/>
        <v>1.2</v>
      </c>
      <c r="CM30" s="102">
        <f t="shared" ca="1" si="35"/>
        <v>1.2</v>
      </c>
      <c r="CN30" s="102">
        <f t="shared" ca="1" si="35"/>
        <v>1.2</v>
      </c>
      <c r="CO30" s="102">
        <f t="shared" ca="1" si="35"/>
        <v>1.2</v>
      </c>
      <c r="CP30" s="102">
        <f t="shared" ca="1" si="35"/>
        <v>1.2</v>
      </c>
      <c r="CQ30" s="102">
        <f t="shared" ca="1" si="35"/>
        <v>1.2</v>
      </c>
      <c r="CR30" s="102">
        <f t="shared" ca="1" si="35"/>
        <v>1.2</v>
      </c>
      <c r="CS30" s="102">
        <f t="shared" ca="1" si="35"/>
        <v>1.2</v>
      </c>
      <c r="CT30" s="102">
        <f t="shared" ca="1" si="35"/>
        <v>1.2</v>
      </c>
      <c r="CU30" s="102">
        <f t="shared" ca="1" si="35"/>
        <v>1.2</v>
      </c>
      <c r="CV30" s="102">
        <f t="shared" ca="1" si="35"/>
        <v>1.2</v>
      </c>
      <c r="CW30" s="102">
        <f t="shared" ca="1" si="35"/>
        <v>1.2</v>
      </c>
      <c r="CX30" s="102">
        <f t="shared" ca="1" si="35"/>
        <v>1.2</v>
      </c>
      <c r="CY30" s="102">
        <f t="shared" ca="1" si="35"/>
        <v>1.2</v>
      </c>
      <c r="CZ30" s="102">
        <f t="shared" ca="1" si="35"/>
        <v>1.2</v>
      </c>
      <c r="DA30" s="102">
        <f t="shared" ca="1" si="35"/>
        <v>1.2</v>
      </c>
      <c r="DB30" s="102">
        <f t="shared" ca="1" si="35"/>
        <v>1.2</v>
      </c>
      <c r="DC30" s="102">
        <f t="shared" ca="1" si="35"/>
        <v>1.2</v>
      </c>
      <c r="DD30" s="102">
        <f t="shared" ca="1" si="35"/>
        <v>1.2</v>
      </c>
      <c r="DE30" s="102">
        <f t="shared" ca="1" si="35"/>
        <v>1.2</v>
      </c>
      <c r="DF30" s="102">
        <f t="shared" ca="1" si="35"/>
        <v>1.2</v>
      </c>
      <c r="DG30" s="102">
        <f t="shared" ca="1" si="35"/>
        <v>1.2</v>
      </c>
      <c r="DH30" s="102">
        <f t="shared" ca="1" si="35"/>
        <v>1.2</v>
      </c>
      <c r="DI30" s="102">
        <f t="shared" ca="1" si="35"/>
        <v>1.2</v>
      </c>
      <c r="DJ30" s="102">
        <f t="shared" ca="1" si="35"/>
        <v>1.2</v>
      </c>
      <c r="DK30" s="102">
        <f t="shared" ca="1" si="35"/>
        <v>1.2</v>
      </c>
      <c r="DL30" s="102">
        <f t="shared" ca="1" si="35"/>
        <v>1.2</v>
      </c>
      <c r="DM30" s="102">
        <f t="shared" ca="1" si="35"/>
        <v>1.2</v>
      </c>
      <c r="DN30" s="102">
        <f t="shared" ca="1" si="35"/>
        <v>1.2</v>
      </c>
      <c r="DO30" s="102">
        <f t="shared" ca="1" si="35"/>
        <v>1.2</v>
      </c>
      <c r="DP30" s="102">
        <f t="shared" ca="1" si="35"/>
        <v>1.2</v>
      </c>
      <c r="DQ30" s="102">
        <f t="shared" ca="1" si="35"/>
        <v>1.2</v>
      </c>
      <c r="DR30" s="102">
        <f t="shared" ca="1" si="35"/>
        <v>1.2</v>
      </c>
      <c r="DS30" s="102">
        <f t="shared" ca="1" si="35"/>
        <v>1.2</v>
      </c>
      <c r="DT30" s="102">
        <f t="shared" ca="1" si="35"/>
        <v>1.2</v>
      </c>
      <c r="DU30" s="102">
        <f t="shared" ca="1" si="35"/>
        <v>1.2</v>
      </c>
      <c r="DV30" s="102">
        <f t="shared" ca="1" si="35"/>
        <v>1.2</v>
      </c>
      <c r="DW30" s="102">
        <f t="shared" ca="1" si="35"/>
        <v>1.2</v>
      </c>
      <c r="DX30" s="102">
        <f t="shared" ca="1" si="35"/>
        <v>1.2</v>
      </c>
      <c r="DY30" s="102">
        <f t="shared" ca="1" si="35"/>
        <v>1.2</v>
      </c>
      <c r="DZ30" s="102">
        <f t="shared" ca="1" si="35"/>
        <v>1.2</v>
      </c>
      <c r="EA30" s="102">
        <f t="shared" ca="1" si="35"/>
        <v>1.2</v>
      </c>
      <c r="EB30" s="102">
        <f t="shared" ca="1" si="35"/>
        <v>1.2</v>
      </c>
      <c r="EC30" s="102">
        <f t="shared" ca="1" si="35"/>
        <v>1.2</v>
      </c>
      <c r="ED30" s="102">
        <f t="shared" ca="1" si="35"/>
        <v>1.2</v>
      </c>
      <c r="EE30" s="102">
        <f t="shared" ca="1" si="35"/>
        <v>1.2</v>
      </c>
      <c r="EF30" s="102">
        <f t="shared" ca="1" si="35"/>
        <v>1.2</v>
      </c>
      <c r="EG30" s="102">
        <f t="shared" ca="1" si="35"/>
        <v>1.2</v>
      </c>
      <c r="EH30" s="102">
        <f t="shared" ca="1" si="35"/>
        <v>1.2</v>
      </c>
      <c r="EI30" s="102">
        <f t="shared" ca="1" si="35"/>
        <v>1.2</v>
      </c>
      <c r="EJ30" s="102">
        <f t="shared" ca="1" si="35"/>
        <v>1.2</v>
      </c>
      <c r="EK30" s="102">
        <f t="shared" ca="1" si="35"/>
        <v>1.2</v>
      </c>
      <c r="EL30" s="102">
        <f t="shared" ca="1" si="35"/>
        <v>1.2</v>
      </c>
      <c r="EM30" s="102">
        <f t="shared" ca="1" si="35"/>
        <v>1.2</v>
      </c>
      <c r="EN30" s="102">
        <f ca="1">EN29+EN23+EN26</f>
        <v>1.2</v>
      </c>
      <c r="EO30" s="102">
        <f ca="1">EO29+EO23+EO26</f>
        <v>1.2</v>
      </c>
      <c r="EP30" s="102">
        <f ca="1">EP29+EP23+EP26</f>
        <v>1.2</v>
      </c>
      <c r="EQ30" s="102">
        <f ca="1">EQ29+EQ23+EQ26</f>
        <v>1.2</v>
      </c>
      <c r="ER30" s="64"/>
      <c r="ES30" s="421"/>
      <c r="ET30" s="63"/>
      <c r="EU30" s="92"/>
    </row>
    <row r="31" spans="2:151" s="87" customFormat="1" ht="15.75" outlineLevel="1">
      <c r="B31" s="255"/>
      <c r="C31" s="257"/>
      <c r="D31" s="257"/>
      <c r="E31" s="257"/>
      <c r="F31" s="257"/>
      <c r="G31" s="484" t="s">
        <v>83</v>
      </c>
      <c r="H31" s="480"/>
      <c r="I31" s="75"/>
      <c r="J31" s="212"/>
      <c r="K31" s="93"/>
      <c r="L31" s="75"/>
      <c r="M31" s="75"/>
      <c r="N31" s="212"/>
      <c r="O31" s="776"/>
      <c r="P31" s="206"/>
      <c r="Q31" s="92"/>
      <c r="R31" s="92"/>
      <c r="S31" s="91"/>
      <c r="T31" s="91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64"/>
      <c r="ES31" s="421"/>
      <c r="ET31" s="63"/>
      <c r="EU31" s="92"/>
    </row>
    <row r="32" spans="2:151" s="87" customFormat="1" ht="27.75" customHeight="1">
      <c r="G32" s="485" t="s">
        <v>11</v>
      </c>
      <c r="H32" s="480"/>
      <c r="I32" s="75"/>
      <c r="J32" s="212"/>
      <c r="K32" s="93"/>
      <c r="L32" s="75"/>
      <c r="M32" s="75"/>
      <c r="N32" s="212"/>
      <c r="O32" s="776"/>
      <c r="P32" s="206"/>
      <c r="Q32" s="92"/>
      <c r="R32" s="92"/>
      <c r="S32" s="91"/>
      <c r="T32" s="91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64"/>
      <c r="ES32" s="421"/>
      <c r="ET32" s="63"/>
      <c r="EU32" s="92"/>
    </row>
    <row r="33" spans="2:151" ht="15.75">
      <c r="G33" s="144"/>
      <c r="H33" s="146" t="s">
        <v>140</v>
      </c>
      <c r="I33" s="97"/>
      <c r="J33" s="213"/>
      <c r="K33" s="96"/>
      <c r="L33" s="97"/>
      <c r="M33" s="97"/>
      <c r="N33" s="213"/>
      <c r="O33" s="776"/>
      <c r="P33" s="4">
        <f>VLOOKUP(P11,Assumptions!$J$13:$M$23,4,FALSE)</f>
        <v>3.4000000000000002E-2</v>
      </c>
      <c r="Q33" s="4">
        <f>VLOOKUP(Q11,Assumptions!$J$13:$M$23,4,FALSE)</f>
        <v>3.4000000000000002E-2</v>
      </c>
      <c r="R33" s="4">
        <f>VLOOKUP(R11,Assumptions!$J$13:$M$23,4,FALSE)</f>
        <v>3.4000000000000002E-2</v>
      </c>
      <c r="S33" s="4">
        <f>VLOOKUP(S11,Assumptions!$J$13:$M$23,4,FALSE)</f>
        <v>3.4000000000000002E-2</v>
      </c>
      <c r="T33" s="4">
        <f>VLOOKUP(T11,Assumptions!$J$13:$M$23,4,FALSE)</f>
        <v>3.4000000000000002E-2</v>
      </c>
      <c r="U33" s="4">
        <f>VLOOKUP(U11,Assumptions!$J$13:$M$23,4,FALSE)</f>
        <v>3.4000000000000002E-2</v>
      </c>
      <c r="V33" s="4">
        <f>VLOOKUP(V11,Assumptions!$J$13:$M$23,4,FALSE)</f>
        <v>3.4000000000000002E-2</v>
      </c>
      <c r="W33" s="4">
        <f>VLOOKUP(W11,Assumptions!$J$13:$M$23,4,FALSE)</f>
        <v>3.4000000000000002E-2</v>
      </c>
      <c r="X33" s="4">
        <f>VLOOKUP(X11,Assumptions!$J$13:$M$23,4,FALSE)</f>
        <v>3.4000000000000002E-2</v>
      </c>
      <c r="Y33" s="4">
        <f>VLOOKUP(Y11,Assumptions!$J$13:$M$23,4,FALSE)</f>
        <v>3.4000000000000002E-2</v>
      </c>
      <c r="Z33" s="4">
        <f>VLOOKUP(Z11,Assumptions!$J$13:$M$23,4,FALSE)</f>
        <v>3.4000000000000002E-2</v>
      </c>
      <c r="AA33" s="4">
        <f>VLOOKUP(AA11,Assumptions!$J$13:$M$23,4,FALSE)</f>
        <v>3.4000000000000002E-2</v>
      </c>
      <c r="AB33" s="4">
        <f>VLOOKUP(AB11,Assumptions!$J$13:$M$23,4,FALSE)</f>
        <v>8.2597999999999949E-2</v>
      </c>
      <c r="AC33" s="4">
        <f>VLOOKUP(AC11,Assumptions!$J$13:$M$23,4,FALSE)</f>
        <v>8.2597999999999949E-2</v>
      </c>
      <c r="AD33" s="4">
        <f>VLOOKUP(AD11,Assumptions!$J$13:$M$23,4,FALSE)</f>
        <v>8.2597999999999949E-2</v>
      </c>
      <c r="AE33" s="4">
        <f>VLOOKUP(AE11,Assumptions!$J$13:$M$23,4,FALSE)</f>
        <v>8.2597999999999949E-2</v>
      </c>
      <c r="AF33" s="4">
        <f>VLOOKUP(AF11,Assumptions!$J$13:$M$23,4,FALSE)</f>
        <v>8.2597999999999949E-2</v>
      </c>
      <c r="AG33" s="4">
        <f>VLOOKUP(AG11,Assumptions!$J$13:$M$23,4,FALSE)</f>
        <v>8.2597999999999949E-2</v>
      </c>
      <c r="AH33" s="4">
        <f>VLOOKUP(AH11,Assumptions!$J$13:$M$23,4,FALSE)</f>
        <v>8.2597999999999949E-2</v>
      </c>
      <c r="AI33" s="4">
        <f>VLOOKUP(AI11,Assumptions!$J$13:$M$23,4,FALSE)</f>
        <v>8.2597999999999949E-2</v>
      </c>
      <c r="AJ33" s="4">
        <f>VLOOKUP(AJ11,Assumptions!$J$13:$M$23,4,FALSE)</f>
        <v>8.2597999999999949E-2</v>
      </c>
      <c r="AK33" s="4">
        <f>VLOOKUP(AK11,Assumptions!$J$13:$M$23,4,FALSE)</f>
        <v>8.2597999999999949E-2</v>
      </c>
      <c r="AL33" s="4">
        <f>VLOOKUP(AL11,Assumptions!$J$13:$M$23,4,FALSE)</f>
        <v>8.2597999999999949E-2</v>
      </c>
      <c r="AM33" s="4">
        <f>VLOOKUP(AM11,Assumptions!$J$13:$M$23,4,FALSE)</f>
        <v>8.2597999999999949E-2</v>
      </c>
      <c r="AN33" s="4">
        <f>VLOOKUP(AN11,Assumptions!$J$13:$M$23,4,FALSE)</f>
        <v>0.13348010599999993</v>
      </c>
      <c r="AO33" s="4">
        <f>VLOOKUP(AO11,Assumptions!$J$13:$M$23,4,FALSE)</f>
        <v>0.13348010599999993</v>
      </c>
      <c r="AP33" s="4">
        <f>VLOOKUP(AP11,Assumptions!$J$13:$M$23,4,FALSE)</f>
        <v>0.13348010599999993</v>
      </c>
      <c r="AQ33" s="4">
        <f>VLOOKUP(AQ11,Assumptions!$J$13:$M$23,4,FALSE)</f>
        <v>0.13348010599999993</v>
      </c>
      <c r="AR33" s="4">
        <f>VLOOKUP(AR11,Assumptions!$J$13:$M$23,4,FALSE)</f>
        <v>0.13348010599999993</v>
      </c>
      <c r="AS33" s="4">
        <f>VLOOKUP(AS11,Assumptions!$J$13:$M$23,4,FALSE)</f>
        <v>0.13348010599999993</v>
      </c>
      <c r="AT33" s="4">
        <f>VLOOKUP(AT11,Assumptions!$J$13:$M$23,4,FALSE)</f>
        <v>0.13348010599999993</v>
      </c>
      <c r="AU33" s="4">
        <f>VLOOKUP(AU11,Assumptions!$J$13:$M$23,4,FALSE)</f>
        <v>0.13348010599999993</v>
      </c>
      <c r="AV33" s="4">
        <f>VLOOKUP(AV11,Assumptions!$J$13:$M$23,4,FALSE)</f>
        <v>0.13348010599999993</v>
      </c>
      <c r="AW33" s="4">
        <f>VLOOKUP(AW11,Assumptions!$J$13:$M$23,4,FALSE)</f>
        <v>0.13348010599999993</v>
      </c>
      <c r="AX33" s="4">
        <f>VLOOKUP(AX11,Assumptions!$J$13:$M$23,4,FALSE)</f>
        <v>0.13348010599999993</v>
      </c>
      <c r="AY33" s="4">
        <f>VLOOKUP(AY11,Assumptions!$J$13:$M$23,4,FALSE)</f>
        <v>0.13348010599999993</v>
      </c>
      <c r="AZ33" s="4">
        <f>VLOOKUP(AZ11,Assumptions!$J$13:$M$23,4,FALSE)</f>
        <v>0.17088494949799982</v>
      </c>
      <c r="BA33" s="4">
        <f>VLOOKUP(BA11,Assumptions!$J$13:$M$23,4,FALSE)</f>
        <v>0.17088494949799982</v>
      </c>
      <c r="BB33" s="4">
        <f>VLOOKUP(BB11,Assumptions!$J$13:$M$23,4,FALSE)</f>
        <v>0.17088494949799982</v>
      </c>
      <c r="BC33" s="4">
        <f>VLOOKUP(BC11,Assumptions!$J$13:$M$23,4,FALSE)</f>
        <v>0.17088494949799982</v>
      </c>
      <c r="BD33" s="4">
        <f>VLOOKUP(BD11,Assumptions!$J$13:$M$23,4,FALSE)</f>
        <v>0.17088494949799982</v>
      </c>
      <c r="BE33" s="4">
        <f>VLOOKUP(BE11,Assumptions!$J$13:$M$23,4,FALSE)</f>
        <v>0.17088494949799982</v>
      </c>
      <c r="BF33" s="4">
        <f>VLOOKUP(BF11,Assumptions!$J$13:$M$23,4,FALSE)</f>
        <v>0.17088494949799982</v>
      </c>
      <c r="BG33" s="4">
        <f>VLOOKUP(BG11,Assumptions!$J$13:$M$23,4,FALSE)</f>
        <v>0.17088494949799982</v>
      </c>
      <c r="BH33" s="4">
        <f>VLOOKUP(BH11,Assumptions!$J$13:$M$23,4,FALSE)</f>
        <v>0.17088494949799982</v>
      </c>
      <c r="BI33" s="4">
        <f>VLOOKUP(BI11,Assumptions!$J$13:$M$23,4,FALSE)</f>
        <v>0.17088494949799982</v>
      </c>
      <c r="BJ33" s="4">
        <f>VLOOKUP(BJ11,Assumptions!$J$13:$M$23,4,FALSE)</f>
        <v>0.17088494949799982</v>
      </c>
      <c r="BK33" s="4">
        <f>VLOOKUP(BK11,Assumptions!$J$13:$M$23,4,FALSE)</f>
        <v>0.17088494949799982</v>
      </c>
      <c r="BL33" s="4">
        <f>VLOOKUP(BL11,Assumptions!$J$13:$M$23,4,FALSE)</f>
        <v>0.20249884313444566</v>
      </c>
      <c r="BM33" s="4">
        <f>VLOOKUP(BM11,Assumptions!$J$13:$M$23,4,FALSE)</f>
        <v>0.20249884313444566</v>
      </c>
      <c r="BN33" s="4">
        <f>VLOOKUP(BN11,Assumptions!$J$13:$M$23,4,FALSE)</f>
        <v>0.20249884313444566</v>
      </c>
      <c r="BO33" s="4">
        <f>VLOOKUP(BO11,Assumptions!$J$13:$M$23,4,FALSE)</f>
        <v>0.20249884313444566</v>
      </c>
      <c r="BP33" s="4">
        <f>VLOOKUP(BP11,Assumptions!$J$13:$M$23,4,FALSE)</f>
        <v>0.20249884313444566</v>
      </c>
      <c r="BQ33" s="4">
        <f>VLOOKUP(BQ11,Assumptions!$J$13:$M$23,4,FALSE)</f>
        <v>0.20249884313444566</v>
      </c>
      <c r="BR33" s="4">
        <f>VLOOKUP(BR11,Assumptions!$J$13:$M$23,4,FALSE)</f>
        <v>0.20249884313444566</v>
      </c>
      <c r="BS33" s="4">
        <f>VLOOKUP(BS11,Assumptions!$J$13:$M$23,4,FALSE)</f>
        <v>0.20249884313444566</v>
      </c>
      <c r="BT33" s="4">
        <f>VLOOKUP(BT11,Assumptions!$J$13:$M$23,4,FALSE)</f>
        <v>0.20249884313444566</v>
      </c>
      <c r="BU33" s="4">
        <f>VLOOKUP(BU11,Assumptions!$J$13:$M$23,4,FALSE)</f>
        <v>0.20249884313444566</v>
      </c>
      <c r="BV33" s="4">
        <f>VLOOKUP(BV11,Assumptions!$J$13:$M$23,4,FALSE)</f>
        <v>0.20249884313444566</v>
      </c>
      <c r="BW33" s="4">
        <f>VLOOKUP(BW11,Assumptions!$J$13:$M$23,4,FALSE)</f>
        <v>0.20249884313444566</v>
      </c>
      <c r="BX33" s="4">
        <f>VLOOKUP(BX11,Assumptions!$J$13:$M$23,4,FALSE)</f>
        <v>0.23857380842847897</v>
      </c>
      <c r="BY33" s="4">
        <f>VLOOKUP(BY11,Assumptions!$J$13:$M$23,4,FALSE)</f>
        <v>0.23857380842847897</v>
      </c>
      <c r="BZ33" s="4">
        <f>VLOOKUP(BZ11,Assumptions!$J$13:$M$23,4,FALSE)</f>
        <v>0.23857380842847897</v>
      </c>
      <c r="CA33" s="4">
        <f>VLOOKUP(CA11,Assumptions!$J$13:$M$23,4,FALSE)</f>
        <v>0.23857380842847897</v>
      </c>
      <c r="CB33" s="4">
        <f>VLOOKUP(CB11,Assumptions!$J$13:$M$23,4,FALSE)</f>
        <v>0.23857380842847897</v>
      </c>
      <c r="CC33" s="4">
        <f>VLOOKUP(CC11,Assumptions!$J$13:$M$23,4,FALSE)</f>
        <v>0.23857380842847897</v>
      </c>
      <c r="CD33" s="4">
        <f>VLOOKUP(CD11,Assumptions!$J$13:$M$23,4,FALSE)</f>
        <v>0.23857380842847897</v>
      </c>
      <c r="CE33" s="4">
        <f>VLOOKUP(CE11,Assumptions!$J$13:$M$23,4,FALSE)</f>
        <v>0.23857380842847897</v>
      </c>
      <c r="CF33" s="4">
        <f>VLOOKUP(CF11,Assumptions!$J$13:$M$23,4,FALSE)</f>
        <v>0.23857380842847897</v>
      </c>
      <c r="CG33" s="4">
        <f>VLOOKUP(CG11,Assumptions!$J$13:$M$23,4,FALSE)</f>
        <v>0.23857380842847897</v>
      </c>
      <c r="CH33" s="4">
        <f>VLOOKUP(CH11,Assumptions!$J$13:$M$23,4,FALSE)</f>
        <v>0.23857380842847897</v>
      </c>
      <c r="CI33" s="4">
        <f>VLOOKUP(CI11,Assumptions!$J$13:$M$23,4,FALSE)</f>
        <v>0.23857380842847897</v>
      </c>
      <c r="CJ33" s="4">
        <f>VLOOKUP(CJ11,Assumptions!$J$13:$M$23,4,FALSE)</f>
        <v>0.27573102268133343</v>
      </c>
      <c r="CK33" s="4">
        <f>VLOOKUP(CK11,Assumptions!$J$13:$M$23,4,FALSE)</f>
        <v>0.27573102268133343</v>
      </c>
      <c r="CL33" s="4">
        <f>VLOOKUP(CL11,Assumptions!$J$13:$M$23,4,FALSE)</f>
        <v>0.27573102268133343</v>
      </c>
      <c r="CM33" s="4">
        <f>VLOOKUP(CM11,Assumptions!$J$13:$M$23,4,FALSE)</f>
        <v>0.27573102268133343</v>
      </c>
      <c r="CN33" s="4">
        <f>VLOOKUP(CN11,Assumptions!$J$13:$M$23,4,FALSE)</f>
        <v>0.27573102268133343</v>
      </c>
      <c r="CO33" s="4">
        <f>VLOOKUP(CO11,Assumptions!$J$13:$M$23,4,FALSE)</f>
        <v>0.27573102268133343</v>
      </c>
      <c r="CP33" s="4">
        <f>VLOOKUP(CP11,Assumptions!$J$13:$M$23,4,FALSE)</f>
        <v>0.27573102268133343</v>
      </c>
      <c r="CQ33" s="4">
        <f>VLOOKUP(CQ11,Assumptions!$J$13:$M$23,4,FALSE)</f>
        <v>0.27573102268133343</v>
      </c>
      <c r="CR33" s="4">
        <f>VLOOKUP(CR11,Assumptions!$J$13:$M$23,4,FALSE)</f>
        <v>0.27573102268133343</v>
      </c>
      <c r="CS33" s="4">
        <f>VLOOKUP(CS11,Assumptions!$J$13:$M$23,4,FALSE)</f>
        <v>0.27573102268133343</v>
      </c>
      <c r="CT33" s="4">
        <f>VLOOKUP(CT11,Assumptions!$J$13:$M$23,4,FALSE)</f>
        <v>0.27573102268133343</v>
      </c>
      <c r="CU33" s="4">
        <f>VLOOKUP(CU11,Assumptions!$J$13:$M$23,4,FALSE)</f>
        <v>0.27573102268133343</v>
      </c>
      <c r="CV33" s="4">
        <f>VLOOKUP(CV11,Assumptions!$J$13:$M$23,4,FALSE)</f>
        <v>0.31400295336177342</v>
      </c>
      <c r="CW33" s="4">
        <f>VLOOKUP(CW11,Assumptions!$J$13:$M$23,4,FALSE)</f>
        <v>0.31400295336177342</v>
      </c>
      <c r="CX33" s="4">
        <f>VLOOKUP(CX11,Assumptions!$J$13:$M$23,4,FALSE)</f>
        <v>0.31400295336177342</v>
      </c>
      <c r="CY33" s="4">
        <f>VLOOKUP(CY11,Assumptions!$J$13:$M$23,4,FALSE)</f>
        <v>0.31400295336177342</v>
      </c>
      <c r="CZ33" s="4">
        <f>VLOOKUP(CZ11,Assumptions!$J$13:$M$23,4,FALSE)</f>
        <v>0.31400295336177342</v>
      </c>
      <c r="DA33" s="4">
        <f>VLOOKUP(DA11,Assumptions!$J$13:$M$23,4,FALSE)</f>
        <v>0.31400295336177342</v>
      </c>
      <c r="DB33" s="4">
        <f>VLOOKUP(DB11,Assumptions!$J$13:$M$23,4,FALSE)</f>
        <v>0.31400295336177342</v>
      </c>
      <c r="DC33" s="4">
        <f>VLOOKUP(DC11,Assumptions!$J$13:$M$23,4,FALSE)</f>
        <v>0.31400295336177342</v>
      </c>
      <c r="DD33" s="4">
        <f>VLOOKUP(DD11,Assumptions!$J$13:$M$23,4,FALSE)</f>
        <v>0.31400295336177342</v>
      </c>
      <c r="DE33" s="4">
        <f>VLOOKUP(DE11,Assumptions!$J$13:$M$23,4,FALSE)</f>
        <v>0.31400295336177342</v>
      </c>
      <c r="DF33" s="4">
        <f>VLOOKUP(DF11,Assumptions!$J$13:$M$23,4,FALSE)</f>
        <v>0.31400295336177342</v>
      </c>
      <c r="DG33" s="4">
        <f>VLOOKUP(DG11,Assumptions!$J$13:$M$23,4,FALSE)</f>
        <v>0.31400295336177342</v>
      </c>
      <c r="DH33" s="4">
        <f>VLOOKUP(DH11,Assumptions!$J$13:$M$23,4,FALSE)</f>
        <v>0.35342304196262675</v>
      </c>
      <c r="DI33" s="4">
        <f>VLOOKUP(DI11,Assumptions!$J$13:$M$23,4,FALSE)</f>
        <v>0.35342304196262675</v>
      </c>
      <c r="DJ33" s="4">
        <f>VLOOKUP(DJ11,Assumptions!$J$13:$M$23,4,FALSE)</f>
        <v>0.35342304196262675</v>
      </c>
      <c r="DK33" s="4">
        <f>VLOOKUP(DK11,Assumptions!$J$13:$M$23,4,FALSE)</f>
        <v>0.35342304196262675</v>
      </c>
      <c r="DL33" s="4">
        <f>VLOOKUP(DL11,Assumptions!$J$13:$M$23,4,FALSE)</f>
        <v>0.35342304196262675</v>
      </c>
      <c r="DM33" s="4">
        <f>VLOOKUP(DM11,Assumptions!$J$13:$M$23,4,FALSE)</f>
        <v>0.35342304196262675</v>
      </c>
      <c r="DN33" s="4">
        <f>VLOOKUP(DN11,Assumptions!$J$13:$M$23,4,FALSE)</f>
        <v>0.35342304196262675</v>
      </c>
      <c r="DO33" s="4">
        <f>VLOOKUP(DO11,Assumptions!$J$13:$M$23,4,FALSE)</f>
        <v>0.35342304196262675</v>
      </c>
      <c r="DP33" s="4">
        <f>VLOOKUP(DP11,Assumptions!$J$13:$M$23,4,FALSE)</f>
        <v>0.35342304196262675</v>
      </c>
      <c r="DQ33" s="4">
        <f>VLOOKUP(DQ11,Assumptions!$J$13:$M$23,4,FALSE)</f>
        <v>0.35342304196262675</v>
      </c>
      <c r="DR33" s="4">
        <f>VLOOKUP(DR11,Assumptions!$J$13:$M$23,4,FALSE)</f>
        <v>0.35342304196262675</v>
      </c>
      <c r="DS33" s="4">
        <f>VLOOKUP(DS11,Assumptions!$J$13:$M$23,4,FALSE)</f>
        <v>0.35342304196262675</v>
      </c>
      <c r="DT33" s="4">
        <f>VLOOKUP(DT11,Assumptions!$J$13:$M$23,4,FALSE)</f>
        <v>0.39402573322150558</v>
      </c>
      <c r="DU33" s="4">
        <f>VLOOKUP(DU11,Assumptions!$J$13:$M$23,4,FALSE)</f>
        <v>0.39402573322150558</v>
      </c>
      <c r="DV33" s="4">
        <f>VLOOKUP(DV11,Assumptions!$J$13:$M$23,4,FALSE)</f>
        <v>0.39402573322150558</v>
      </c>
      <c r="DW33" s="4">
        <f>VLOOKUP(DW11,Assumptions!$J$13:$M$23,4,FALSE)</f>
        <v>0.39402573322150558</v>
      </c>
      <c r="DX33" s="4">
        <f>VLOOKUP(DX11,Assumptions!$J$13:$M$23,4,FALSE)</f>
        <v>0.39402573322150558</v>
      </c>
      <c r="DY33" s="4">
        <f>VLOOKUP(DY11,Assumptions!$J$13:$M$23,4,FALSE)</f>
        <v>0.39402573322150558</v>
      </c>
      <c r="DZ33" s="4">
        <f>VLOOKUP(DZ11,Assumptions!$J$13:$M$23,4,FALSE)</f>
        <v>0.39402573322150558</v>
      </c>
      <c r="EA33" s="4">
        <f>VLOOKUP(EA11,Assumptions!$J$13:$M$23,4,FALSE)</f>
        <v>0.39402573322150558</v>
      </c>
      <c r="EB33" s="4">
        <f>VLOOKUP(EB11,Assumptions!$J$13:$M$23,4,FALSE)</f>
        <v>0.39402573322150558</v>
      </c>
      <c r="EC33" s="4">
        <f>VLOOKUP(EC11,Assumptions!$J$13:$M$23,4,FALSE)</f>
        <v>0.39402573322150558</v>
      </c>
      <c r="ED33" s="4">
        <f>VLOOKUP(ED11,Assumptions!$J$13:$M$23,4,FALSE)</f>
        <v>0.39402573322150558</v>
      </c>
      <c r="EE33" s="4">
        <f>VLOOKUP(EE11,Assumptions!$J$13:$M$23,4,FALSE)</f>
        <v>0.39402573322150558</v>
      </c>
      <c r="EF33" s="4">
        <f>VLOOKUP(EF11,Assumptions!$J$13:$M$23,4,FALSE)</f>
        <v>0.43584650521815083</v>
      </c>
      <c r="EG33" s="4">
        <f>VLOOKUP(EG11,Assumptions!$J$13:$M$23,4,FALSE)</f>
        <v>0.43584650521815083</v>
      </c>
      <c r="EH33" s="4">
        <f>VLOOKUP(EH11,Assumptions!$J$13:$M$23,4,FALSE)</f>
        <v>0.43584650521815083</v>
      </c>
      <c r="EI33" s="4">
        <f>VLOOKUP(EI11,Assumptions!$J$13:$M$23,4,FALSE)</f>
        <v>0.43584650521815083</v>
      </c>
      <c r="EJ33" s="4">
        <f>VLOOKUP(EJ11,Assumptions!$J$13:$M$23,4,FALSE)</f>
        <v>0.43584650521815083</v>
      </c>
      <c r="EK33" s="4">
        <f>VLOOKUP(EK11,Assumptions!$J$13:$M$23,4,FALSE)</f>
        <v>0.43584650521815083</v>
      </c>
      <c r="EL33" s="4">
        <f>VLOOKUP(EL11,Assumptions!$J$13:$M$23,4,FALSE)</f>
        <v>0.43584650521815083</v>
      </c>
      <c r="EM33" s="4">
        <f>VLOOKUP(EM11,Assumptions!$J$13:$M$23,4,FALSE)</f>
        <v>0.43584650521815083</v>
      </c>
      <c r="EN33" s="4">
        <f>VLOOKUP(EN11,Assumptions!$J$13:$M$23,4,FALSE)</f>
        <v>0.43584650521815083</v>
      </c>
      <c r="EO33" s="4">
        <f>VLOOKUP(EO11,Assumptions!$J$13:$M$23,4,FALSE)</f>
        <v>0.43584650521815083</v>
      </c>
      <c r="EP33" s="4">
        <f>VLOOKUP(EP11,Assumptions!$J$13:$M$23,4,FALSE)</f>
        <v>0.43584650521815083</v>
      </c>
      <c r="EQ33" s="4">
        <f>VLOOKUP(EQ11,Assumptions!$J$13:$M$23,4,FALSE)</f>
        <v>0.43584650521815083</v>
      </c>
      <c r="ES33" s="421"/>
      <c r="ET33" s="63"/>
      <c r="EU33" s="98"/>
    </row>
    <row r="34" spans="2:151" ht="15.75">
      <c r="G34" s="485"/>
      <c r="H34" s="483" t="s">
        <v>65</v>
      </c>
      <c r="I34" s="184"/>
      <c r="J34" s="214"/>
      <c r="K34" s="183"/>
      <c r="L34" s="184"/>
      <c r="M34" s="184"/>
      <c r="N34" s="214"/>
      <c r="O34" s="776"/>
      <c r="P34" s="181">
        <f>VLOOKUP(P11,Assumptions!$J$13:$L$23,3,FALSE)</f>
        <v>3.4000000000000002E-2</v>
      </c>
      <c r="Q34" s="181">
        <f>VLOOKUP(Q11,Assumptions!$J$13:$L$23,3,FALSE)</f>
        <v>3.4000000000000002E-2</v>
      </c>
      <c r="R34" s="181">
        <f>VLOOKUP(R11,Assumptions!$J$13:$L$23,3,FALSE)</f>
        <v>3.4000000000000002E-2</v>
      </c>
      <c r="S34" s="181">
        <f>VLOOKUP(S11,Assumptions!$J$13:$L$23,3,FALSE)</f>
        <v>3.4000000000000002E-2</v>
      </c>
      <c r="T34" s="181">
        <f>VLOOKUP(T11,Assumptions!$J$13:$L$23,3,FALSE)</f>
        <v>3.4000000000000002E-2</v>
      </c>
      <c r="U34" s="181">
        <f>VLOOKUP(U11,Assumptions!$J$13:$L$23,3,FALSE)</f>
        <v>3.4000000000000002E-2</v>
      </c>
      <c r="V34" s="181">
        <f>VLOOKUP(V11,Assumptions!$J$13:$L$23,3,FALSE)</f>
        <v>3.4000000000000002E-2</v>
      </c>
      <c r="W34" s="181">
        <f>VLOOKUP(W11,Assumptions!$J$13:$L$23,3,FALSE)</f>
        <v>3.4000000000000002E-2</v>
      </c>
      <c r="X34" s="181">
        <f>VLOOKUP(X11,Assumptions!$J$13:$L$23,3,FALSE)</f>
        <v>3.4000000000000002E-2</v>
      </c>
      <c r="Y34" s="181">
        <f>VLOOKUP(Y11,Assumptions!$J$13:$L$23,3,FALSE)</f>
        <v>3.4000000000000002E-2</v>
      </c>
      <c r="Z34" s="181">
        <f>VLOOKUP(Z11,Assumptions!$J$13:$L$23,3,FALSE)</f>
        <v>3.4000000000000002E-2</v>
      </c>
      <c r="AA34" s="181">
        <f>VLOOKUP(AA11,Assumptions!$J$13:$L$23,3,FALSE)</f>
        <v>3.4000000000000002E-2</v>
      </c>
      <c r="AB34" s="181">
        <f>VLOOKUP(AB11,Assumptions!$J$13:$L$23,3,FALSE)</f>
        <v>4.7E-2</v>
      </c>
      <c r="AC34" s="181">
        <f>VLOOKUP(AC11,Assumptions!$J$13:$L$23,3,FALSE)</f>
        <v>4.7E-2</v>
      </c>
      <c r="AD34" s="181">
        <f>VLOOKUP(AD11,Assumptions!$J$13:$L$23,3,FALSE)</f>
        <v>4.7E-2</v>
      </c>
      <c r="AE34" s="181">
        <f>VLOOKUP(AE11,Assumptions!$J$13:$L$23,3,FALSE)</f>
        <v>4.7E-2</v>
      </c>
      <c r="AF34" s="181">
        <f>VLOOKUP(AF11,Assumptions!$J$13:$L$23,3,FALSE)</f>
        <v>4.7E-2</v>
      </c>
      <c r="AG34" s="181">
        <f>VLOOKUP(AG11,Assumptions!$J$13:$L$23,3,FALSE)</f>
        <v>4.7E-2</v>
      </c>
      <c r="AH34" s="181">
        <f>VLOOKUP(AH11,Assumptions!$J$13:$L$23,3,FALSE)</f>
        <v>4.7E-2</v>
      </c>
      <c r="AI34" s="181">
        <f>VLOOKUP(AI11,Assumptions!$J$13:$L$23,3,FALSE)</f>
        <v>4.7E-2</v>
      </c>
      <c r="AJ34" s="181">
        <f>VLOOKUP(AJ11,Assumptions!$J$13:$L$23,3,FALSE)</f>
        <v>4.7E-2</v>
      </c>
      <c r="AK34" s="181">
        <f>VLOOKUP(AK11,Assumptions!$J$13:$L$23,3,FALSE)</f>
        <v>4.7E-2</v>
      </c>
      <c r="AL34" s="181">
        <f>VLOOKUP(AL11,Assumptions!$J$13:$L$23,3,FALSE)</f>
        <v>4.7E-2</v>
      </c>
      <c r="AM34" s="181">
        <f>VLOOKUP(AM11,Assumptions!$J$13:$L$23,3,FALSE)</f>
        <v>4.7E-2</v>
      </c>
      <c r="AN34" s="181">
        <f>VLOOKUP(AN11,Assumptions!$J$13:$L$23,3,FALSE)</f>
        <v>4.7E-2</v>
      </c>
      <c r="AO34" s="181">
        <f>VLOOKUP(AO11,Assumptions!$J$13:$L$23,3,FALSE)</f>
        <v>4.7E-2</v>
      </c>
      <c r="AP34" s="181">
        <f>VLOOKUP(AP11,Assumptions!$J$13:$L$23,3,FALSE)</f>
        <v>4.7E-2</v>
      </c>
      <c r="AQ34" s="181">
        <f>VLOOKUP(AQ11,Assumptions!$J$13:$L$23,3,FALSE)</f>
        <v>4.7E-2</v>
      </c>
      <c r="AR34" s="181">
        <f>VLOOKUP(AR11,Assumptions!$J$13:$L$23,3,FALSE)</f>
        <v>4.7E-2</v>
      </c>
      <c r="AS34" s="181">
        <f>VLOOKUP(AS11,Assumptions!$J$13:$L$23,3,FALSE)</f>
        <v>4.7E-2</v>
      </c>
      <c r="AT34" s="181">
        <f>VLOOKUP(AT11,Assumptions!$J$13:$L$23,3,FALSE)</f>
        <v>4.7E-2</v>
      </c>
      <c r="AU34" s="181">
        <f>VLOOKUP(AU11,Assumptions!$J$13:$L$23,3,FALSE)</f>
        <v>4.7E-2</v>
      </c>
      <c r="AV34" s="181">
        <f>VLOOKUP(AV11,Assumptions!$J$13:$L$23,3,FALSE)</f>
        <v>4.7E-2</v>
      </c>
      <c r="AW34" s="181">
        <f>VLOOKUP(AW11,Assumptions!$J$13:$L$23,3,FALSE)</f>
        <v>4.7E-2</v>
      </c>
      <c r="AX34" s="181">
        <f>VLOOKUP(AX11,Assumptions!$J$13:$L$23,3,FALSE)</f>
        <v>4.7E-2</v>
      </c>
      <c r="AY34" s="181">
        <f>VLOOKUP(AY11,Assumptions!$J$13:$L$23,3,FALSE)</f>
        <v>4.7E-2</v>
      </c>
      <c r="AZ34" s="181">
        <f>VLOOKUP(AZ11,Assumptions!$J$13:$L$23,3,FALSE)</f>
        <v>3.3000000000000002E-2</v>
      </c>
      <c r="BA34" s="181">
        <f>VLOOKUP(BA11,Assumptions!$J$13:$L$23,3,FALSE)</f>
        <v>3.3000000000000002E-2</v>
      </c>
      <c r="BB34" s="181">
        <f>VLOOKUP(BB11,Assumptions!$J$13:$L$23,3,FALSE)</f>
        <v>3.3000000000000002E-2</v>
      </c>
      <c r="BC34" s="181">
        <f>VLOOKUP(BC11,Assumptions!$J$13:$L$23,3,FALSE)</f>
        <v>3.3000000000000002E-2</v>
      </c>
      <c r="BD34" s="181">
        <f>VLOOKUP(BD11,Assumptions!$J$13:$L$23,3,FALSE)</f>
        <v>3.3000000000000002E-2</v>
      </c>
      <c r="BE34" s="181">
        <f>VLOOKUP(BE11,Assumptions!$J$13:$L$23,3,FALSE)</f>
        <v>3.3000000000000002E-2</v>
      </c>
      <c r="BF34" s="181">
        <f>VLOOKUP(BF11,Assumptions!$J$13:$L$23,3,FALSE)</f>
        <v>3.3000000000000002E-2</v>
      </c>
      <c r="BG34" s="181">
        <f>VLOOKUP(BG11,Assumptions!$J$13:$L$23,3,FALSE)</f>
        <v>3.3000000000000002E-2</v>
      </c>
      <c r="BH34" s="181">
        <f>VLOOKUP(BH11,Assumptions!$J$13:$L$23,3,FALSE)</f>
        <v>3.3000000000000002E-2</v>
      </c>
      <c r="BI34" s="181">
        <f>VLOOKUP(BI11,Assumptions!$J$13:$L$23,3,FALSE)</f>
        <v>3.3000000000000002E-2</v>
      </c>
      <c r="BJ34" s="181">
        <f>VLOOKUP(BJ11,Assumptions!$J$13:$L$23,3,FALSE)</f>
        <v>3.3000000000000002E-2</v>
      </c>
      <c r="BK34" s="181">
        <f>VLOOKUP(BK11,Assumptions!$J$13:$L$23,3,FALSE)</f>
        <v>3.3000000000000002E-2</v>
      </c>
      <c r="BL34" s="181">
        <f>VLOOKUP(BL11,Assumptions!$J$13:$L$23,3,FALSE)</f>
        <v>2.7E-2</v>
      </c>
      <c r="BM34" s="181">
        <f>VLOOKUP(BM11,Assumptions!$J$13:$L$23,3,FALSE)</f>
        <v>2.7E-2</v>
      </c>
      <c r="BN34" s="181">
        <f>VLOOKUP(BN11,Assumptions!$J$13:$L$23,3,FALSE)</f>
        <v>2.7E-2</v>
      </c>
      <c r="BO34" s="181">
        <f>VLOOKUP(BO11,Assumptions!$J$13:$L$23,3,FALSE)</f>
        <v>2.7E-2</v>
      </c>
      <c r="BP34" s="181">
        <f>VLOOKUP(BP11,Assumptions!$J$13:$L$23,3,FALSE)</f>
        <v>2.7E-2</v>
      </c>
      <c r="BQ34" s="181">
        <f>VLOOKUP(BQ11,Assumptions!$J$13:$L$23,3,FALSE)</f>
        <v>2.7E-2</v>
      </c>
      <c r="BR34" s="181">
        <f>VLOOKUP(BR11,Assumptions!$J$13:$L$23,3,FALSE)</f>
        <v>2.7E-2</v>
      </c>
      <c r="BS34" s="181">
        <f>VLOOKUP(BS11,Assumptions!$J$13:$L$23,3,FALSE)</f>
        <v>2.7E-2</v>
      </c>
      <c r="BT34" s="181">
        <f>VLOOKUP(BT11,Assumptions!$J$13:$L$23,3,FALSE)</f>
        <v>2.7E-2</v>
      </c>
      <c r="BU34" s="181">
        <f>VLOOKUP(BU11,Assumptions!$J$13:$L$23,3,FALSE)</f>
        <v>2.7E-2</v>
      </c>
      <c r="BV34" s="181">
        <f>VLOOKUP(BV11,Assumptions!$J$13:$L$23,3,FALSE)</f>
        <v>2.7E-2</v>
      </c>
      <c r="BW34" s="181">
        <f>VLOOKUP(BW11,Assumptions!$J$13:$L$23,3,FALSE)</f>
        <v>2.7E-2</v>
      </c>
      <c r="BX34" s="181">
        <f>VLOOKUP(BX11,Assumptions!$J$13:$L$23,3,FALSE)</f>
        <v>0.03</v>
      </c>
      <c r="BY34" s="181">
        <f>VLOOKUP(BY11,Assumptions!$J$13:$L$23,3,FALSE)</f>
        <v>0.03</v>
      </c>
      <c r="BZ34" s="181">
        <f>VLOOKUP(BZ11,Assumptions!$J$13:$L$23,3,FALSE)</f>
        <v>0.03</v>
      </c>
      <c r="CA34" s="181">
        <f>VLOOKUP(CA11,Assumptions!$J$13:$L$23,3,FALSE)</f>
        <v>0.03</v>
      </c>
      <c r="CB34" s="181">
        <f>VLOOKUP(CB11,Assumptions!$J$13:$L$23,3,FALSE)</f>
        <v>0.03</v>
      </c>
      <c r="CC34" s="181">
        <f>VLOOKUP(CC11,Assumptions!$J$13:$L$23,3,FALSE)</f>
        <v>0.03</v>
      </c>
      <c r="CD34" s="181">
        <f>VLOOKUP(CD11,Assumptions!$J$13:$L$23,3,FALSE)</f>
        <v>0.03</v>
      </c>
      <c r="CE34" s="181">
        <f>VLOOKUP(CE11,Assumptions!$J$13:$L$23,3,FALSE)</f>
        <v>0.03</v>
      </c>
      <c r="CF34" s="181">
        <f>VLOOKUP(CF11,Assumptions!$J$13:$L$23,3,FALSE)</f>
        <v>0.03</v>
      </c>
      <c r="CG34" s="181">
        <f>VLOOKUP(CG11,Assumptions!$J$13:$L$23,3,FALSE)</f>
        <v>0.03</v>
      </c>
      <c r="CH34" s="181">
        <f>VLOOKUP(CH11,Assumptions!$J$13:$L$23,3,FALSE)</f>
        <v>0.03</v>
      </c>
      <c r="CI34" s="181">
        <f>VLOOKUP(CI11,Assumptions!$J$13:$L$23,3,FALSE)</f>
        <v>0.03</v>
      </c>
      <c r="CJ34" s="181">
        <f>VLOOKUP(CJ11,Assumptions!$J$13:$L$23,3,FALSE)</f>
        <v>0.03</v>
      </c>
      <c r="CK34" s="181">
        <f>VLOOKUP(CK11,Assumptions!$J$13:$L$23,3,FALSE)</f>
        <v>0.03</v>
      </c>
      <c r="CL34" s="181">
        <f>VLOOKUP(CL11,Assumptions!$J$13:$L$23,3,FALSE)</f>
        <v>0.03</v>
      </c>
      <c r="CM34" s="181">
        <f>VLOOKUP(CM11,Assumptions!$J$13:$L$23,3,FALSE)</f>
        <v>0.03</v>
      </c>
      <c r="CN34" s="181">
        <f>VLOOKUP(CN11,Assumptions!$J$13:$L$23,3,FALSE)</f>
        <v>0.03</v>
      </c>
      <c r="CO34" s="181">
        <f>VLOOKUP(CO11,Assumptions!$J$13:$L$23,3,FALSE)</f>
        <v>0.03</v>
      </c>
      <c r="CP34" s="181">
        <f>VLOOKUP(CP11,Assumptions!$J$13:$L$23,3,FALSE)</f>
        <v>0.03</v>
      </c>
      <c r="CQ34" s="181">
        <f>VLOOKUP(CQ11,Assumptions!$J$13:$L$23,3,FALSE)</f>
        <v>0.03</v>
      </c>
      <c r="CR34" s="181">
        <f>VLOOKUP(CR11,Assumptions!$J$13:$L$23,3,FALSE)</f>
        <v>0.03</v>
      </c>
      <c r="CS34" s="181">
        <f>VLOOKUP(CS11,Assumptions!$J$13:$L$23,3,FALSE)</f>
        <v>0.03</v>
      </c>
      <c r="CT34" s="181">
        <f>VLOOKUP(CT11,Assumptions!$J$13:$L$23,3,FALSE)</f>
        <v>0.03</v>
      </c>
      <c r="CU34" s="181">
        <f>VLOOKUP(CU11,Assumptions!$J$13:$L$23,3,FALSE)</f>
        <v>0.03</v>
      </c>
      <c r="CV34" s="181">
        <f>VLOOKUP(CV11,Assumptions!$J$13:$L$23,3,FALSE)</f>
        <v>0.03</v>
      </c>
      <c r="CW34" s="181">
        <f>VLOOKUP(CW11,Assumptions!$J$13:$L$23,3,FALSE)</f>
        <v>0.03</v>
      </c>
      <c r="CX34" s="181">
        <f>VLOOKUP(CX11,Assumptions!$J$13:$L$23,3,FALSE)</f>
        <v>0.03</v>
      </c>
      <c r="CY34" s="181">
        <f>VLOOKUP(CY11,Assumptions!$J$13:$L$23,3,FALSE)</f>
        <v>0.03</v>
      </c>
      <c r="CZ34" s="181">
        <f>VLOOKUP(CZ11,Assumptions!$J$13:$L$23,3,FALSE)</f>
        <v>0.03</v>
      </c>
      <c r="DA34" s="181">
        <f>VLOOKUP(DA11,Assumptions!$J$13:$L$23,3,FALSE)</f>
        <v>0.03</v>
      </c>
      <c r="DB34" s="181">
        <f>VLOOKUP(DB11,Assumptions!$J$13:$L$23,3,FALSE)</f>
        <v>0.03</v>
      </c>
      <c r="DC34" s="181">
        <f>VLOOKUP(DC11,Assumptions!$J$13:$L$23,3,FALSE)</f>
        <v>0.03</v>
      </c>
      <c r="DD34" s="181">
        <f>VLOOKUP(DD11,Assumptions!$J$13:$L$23,3,FALSE)</f>
        <v>0.03</v>
      </c>
      <c r="DE34" s="181">
        <f>VLOOKUP(DE11,Assumptions!$J$13:$L$23,3,FALSE)</f>
        <v>0.03</v>
      </c>
      <c r="DF34" s="181">
        <f>VLOOKUP(DF11,Assumptions!$J$13:$L$23,3,FALSE)</f>
        <v>0.03</v>
      </c>
      <c r="DG34" s="181">
        <f>VLOOKUP(DG11,Assumptions!$J$13:$L$23,3,FALSE)</f>
        <v>0.03</v>
      </c>
      <c r="DH34" s="181">
        <f>VLOOKUP(DH11,Assumptions!$J$13:$L$23,3,FALSE)</f>
        <v>0.03</v>
      </c>
      <c r="DI34" s="181">
        <f>VLOOKUP(DI11,Assumptions!$J$13:$L$23,3,FALSE)</f>
        <v>0.03</v>
      </c>
      <c r="DJ34" s="181">
        <f>VLOOKUP(DJ11,Assumptions!$J$13:$L$23,3,FALSE)</f>
        <v>0.03</v>
      </c>
      <c r="DK34" s="181">
        <f>VLOOKUP(DK11,Assumptions!$J$13:$L$23,3,FALSE)</f>
        <v>0.03</v>
      </c>
      <c r="DL34" s="181">
        <f>VLOOKUP(DL11,Assumptions!$J$13:$L$23,3,FALSE)</f>
        <v>0.03</v>
      </c>
      <c r="DM34" s="181">
        <f>VLOOKUP(DM11,Assumptions!$J$13:$L$23,3,FALSE)</f>
        <v>0.03</v>
      </c>
      <c r="DN34" s="181">
        <f>VLOOKUP(DN11,Assumptions!$J$13:$L$23,3,FALSE)</f>
        <v>0.03</v>
      </c>
      <c r="DO34" s="181">
        <f>VLOOKUP(DO11,Assumptions!$J$13:$L$23,3,FALSE)</f>
        <v>0.03</v>
      </c>
      <c r="DP34" s="181">
        <f>VLOOKUP(DP11,Assumptions!$J$13:$L$23,3,FALSE)</f>
        <v>0.03</v>
      </c>
      <c r="DQ34" s="181">
        <f>VLOOKUP(DQ11,Assumptions!$J$13:$L$23,3,FALSE)</f>
        <v>0.03</v>
      </c>
      <c r="DR34" s="181">
        <f>VLOOKUP(DR11,Assumptions!$J$13:$L$23,3,FALSE)</f>
        <v>0.03</v>
      </c>
      <c r="DS34" s="181">
        <f>VLOOKUP(DS11,Assumptions!$J$13:$L$23,3,FALSE)</f>
        <v>0.03</v>
      </c>
      <c r="DT34" s="181">
        <f>VLOOKUP(DT11,Assumptions!$J$13:$L$23,3,FALSE)</f>
        <v>0.03</v>
      </c>
      <c r="DU34" s="181">
        <f>VLOOKUP(DU11,Assumptions!$J$13:$L$23,3,FALSE)</f>
        <v>0.03</v>
      </c>
      <c r="DV34" s="181">
        <f>VLOOKUP(DV11,Assumptions!$J$13:$L$23,3,FALSE)</f>
        <v>0.03</v>
      </c>
      <c r="DW34" s="181">
        <f>VLOOKUP(DW11,Assumptions!$J$13:$L$23,3,FALSE)</f>
        <v>0.03</v>
      </c>
      <c r="DX34" s="181">
        <f>VLOOKUP(DX11,Assumptions!$J$13:$L$23,3,FALSE)</f>
        <v>0.03</v>
      </c>
      <c r="DY34" s="181">
        <f>VLOOKUP(DY11,Assumptions!$J$13:$L$23,3,FALSE)</f>
        <v>0.03</v>
      </c>
      <c r="DZ34" s="181">
        <f>VLOOKUP(DZ11,Assumptions!$J$13:$L$23,3,FALSE)</f>
        <v>0.03</v>
      </c>
      <c r="EA34" s="181">
        <f>VLOOKUP(EA11,Assumptions!$J$13:$L$23,3,FALSE)</f>
        <v>0.03</v>
      </c>
      <c r="EB34" s="181">
        <f>VLOOKUP(EB11,Assumptions!$J$13:$L$23,3,FALSE)</f>
        <v>0.03</v>
      </c>
      <c r="EC34" s="181">
        <f>VLOOKUP(EC11,Assumptions!$J$13:$L$23,3,FALSE)</f>
        <v>0.03</v>
      </c>
      <c r="ED34" s="181">
        <f>VLOOKUP(ED11,Assumptions!$J$13:$L$23,3,FALSE)</f>
        <v>0.03</v>
      </c>
      <c r="EE34" s="181">
        <f>VLOOKUP(EE11,Assumptions!$J$13:$L$23,3,FALSE)</f>
        <v>0.03</v>
      </c>
      <c r="EF34" s="181">
        <f>VLOOKUP(EF11,Assumptions!$J$13:$L$23,3,FALSE)</f>
        <v>0.03</v>
      </c>
      <c r="EG34" s="181">
        <f>VLOOKUP(EG11,Assumptions!$J$13:$L$23,3,FALSE)</f>
        <v>0.03</v>
      </c>
      <c r="EH34" s="181">
        <f>VLOOKUP(EH11,Assumptions!$J$13:$L$23,3,FALSE)</f>
        <v>0.03</v>
      </c>
      <c r="EI34" s="181">
        <f>VLOOKUP(EI11,Assumptions!$J$13:$L$23,3,FALSE)</f>
        <v>0.03</v>
      </c>
      <c r="EJ34" s="181">
        <f>VLOOKUP(EJ11,Assumptions!$J$13:$L$23,3,FALSE)</f>
        <v>0.03</v>
      </c>
      <c r="EK34" s="181">
        <f>VLOOKUP(EK11,Assumptions!$J$13:$L$23,3,FALSE)</f>
        <v>0.03</v>
      </c>
      <c r="EL34" s="181">
        <f>VLOOKUP(EL11,Assumptions!$J$13:$L$23,3,FALSE)</f>
        <v>0.03</v>
      </c>
      <c r="EM34" s="181">
        <f>VLOOKUP(EM11,Assumptions!$J$13:$L$23,3,FALSE)</f>
        <v>0.03</v>
      </c>
      <c r="EN34" s="181">
        <f>VLOOKUP(EN11,Assumptions!$J$13:$L$23,3,FALSE)</f>
        <v>0.03</v>
      </c>
      <c r="EO34" s="181">
        <f>VLOOKUP(EO11,Assumptions!$J$13:$L$23,3,FALSE)</f>
        <v>0.03</v>
      </c>
      <c r="EP34" s="181">
        <f>VLOOKUP(EP11,Assumptions!$J$13:$L$23,3,FALSE)</f>
        <v>0.03</v>
      </c>
      <c r="EQ34" s="181">
        <f>VLOOKUP(EQ11,Assumptions!$J$13:$L$23,3,FALSE)</f>
        <v>0.03</v>
      </c>
      <c r="ES34" s="421"/>
      <c r="ET34" s="63"/>
      <c r="EU34" s="98"/>
    </row>
    <row r="35" spans="2:151" ht="15.75">
      <c r="G35" s="145"/>
      <c r="H35" s="145" t="s">
        <v>60</v>
      </c>
      <c r="I35" s="97"/>
      <c r="J35" s="486"/>
      <c r="K35" s="99"/>
      <c r="L35" s="100"/>
      <c r="M35" s="100"/>
      <c r="N35" s="215">
        <f>'Annual Cash Flow'!C15</f>
        <v>285240</v>
      </c>
      <c r="O35" s="777"/>
      <c r="P35" s="102">
        <f>Assumptions!G28*(1+Assumptions!L12)</f>
        <v>24225</v>
      </c>
      <c r="Q35" s="201">
        <f t="shared" ref="Q35:AV35" ca="1" si="36">IF(P82=0,0,Q12*SF)</f>
        <v>24225.000000000004</v>
      </c>
      <c r="R35" s="201">
        <f t="shared" ca="1" si="36"/>
        <v>24225.000000000004</v>
      </c>
      <c r="S35" s="201">
        <f t="shared" ca="1" si="36"/>
        <v>24225.000000000004</v>
      </c>
      <c r="T35" s="201">
        <f t="shared" ca="1" si="36"/>
        <v>24225.000000000004</v>
      </c>
      <c r="U35" s="201">
        <f t="shared" ca="1" si="36"/>
        <v>24225.000000000004</v>
      </c>
      <c r="V35" s="201">
        <f t="shared" ca="1" si="36"/>
        <v>24225.000000000004</v>
      </c>
      <c r="W35" s="201">
        <f t="shared" ca="1" si="36"/>
        <v>24225.000000000004</v>
      </c>
      <c r="X35" s="201">
        <f t="shared" ca="1" si="36"/>
        <v>24225.000000000004</v>
      </c>
      <c r="Y35" s="201">
        <f t="shared" ca="1" si="36"/>
        <v>24225.000000000004</v>
      </c>
      <c r="Z35" s="201">
        <f t="shared" ca="1" si="36"/>
        <v>24225.000000000004</v>
      </c>
      <c r="AA35" s="201">
        <f t="shared" ca="1" si="36"/>
        <v>24225.000000000004</v>
      </c>
      <c r="AB35" s="201">
        <f t="shared" ca="1" si="36"/>
        <v>25363.575000000001</v>
      </c>
      <c r="AC35" s="201">
        <f t="shared" ca="1" si="36"/>
        <v>25363.575000000001</v>
      </c>
      <c r="AD35" s="201">
        <f t="shared" ca="1" si="36"/>
        <v>25363.575000000001</v>
      </c>
      <c r="AE35" s="201">
        <f t="shared" ca="1" si="36"/>
        <v>25363.575000000001</v>
      </c>
      <c r="AF35" s="201">
        <f t="shared" ca="1" si="36"/>
        <v>25363.575000000001</v>
      </c>
      <c r="AG35" s="201">
        <f t="shared" ca="1" si="36"/>
        <v>25363.575000000001</v>
      </c>
      <c r="AH35" s="201">
        <f t="shared" ca="1" si="36"/>
        <v>25363.575000000001</v>
      </c>
      <c r="AI35" s="201">
        <f t="shared" ca="1" si="36"/>
        <v>25363.575000000001</v>
      </c>
      <c r="AJ35" s="201">
        <f t="shared" ca="1" si="36"/>
        <v>25363.575000000001</v>
      </c>
      <c r="AK35" s="201">
        <f t="shared" ca="1" si="36"/>
        <v>25363.575000000001</v>
      </c>
      <c r="AL35" s="201">
        <f t="shared" ca="1" si="36"/>
        <v>25363.575000000001</v>
      </c>
      <c r="AM35" s="201">
        <f t="shared" ca="1" si="36"/>
        <v>25363.575000000001</v>
      </c>
      <c r="AN35" s="201">
        <f t="shared" ca="1" si="36"/>
        <v>26555.663025000002</v>
      </c>
      <c r="AO35" s="201">
        <f t="shared" ca="1" si="36"/>
        <v>26555.663025000002</v>
      </c>
      <c r="AP35" s="201">
        <f t="shared" ca="1" si="36"/>
        <v>26555.663025000002</v>
      </c>
      <c r="AQ35" s="201">
        <f t="shared" ca="1" si="36"/>
        <v>26555.663025000002</v>
      </c>
      <c r="AR35" s="201">
        <f t="shared" ca="1" si="36"/>
        <v>26555.663025000002</v>
      </c>
      <c r="AS35" s="201">
        <f t="shared" ca="1" si="36"/>
        <v>26555.663025000002</v>
      </c>
      <c r="AT35" s="201">
        <f t="shared" ca="1" si="36"/>
        <v>26555.663025000002</v>
      </c>
      <c r="AU35" s="201">
        <f t="shared" ca="1" si="36"/>
        <v>26555.663025000002</v>
      </c>
      <c r="AV35" s="201">
        <f t="shared" ca="1" si="36"/>
        <v>26555.663025000002</v>
      </c>
      <c r="AW35" s="201">
        <f t="shared" ref="AW35:CB35" ca="1" si="37">IF(AV82=0,0,AW12*SF)</f>
        <v>26555.663025000002</v>
      </c>
      <c r="AX35" s="201">
        <f t="shared" ca="1" si="37"/>
        <v>26555.663025000002</v>
      </c>
      <c r="AY35" s="201">
        <f t="shared" ca="1" si="37"/>
        <v>26555.663025000002</v>
      </c>
      <c r="AZ35" s="201">
        <f t="shared" ca="1" si="37"/>
        <v>27431.999904824996</v>
      </c>
      <c r="BA35" s="201">
        <f t="shared" ca="1" si="37"/>
        <v>27431.999904824996</v>
      </c>
      <c r="BB35" s="201">
        <f t="shared" ca="1" si="37"/>
        <v>27431.999904824996</v>
      </c>
      <c r="BC35" s="201">
        <f t="shared" ca="1" si="37"/>
        <v>27431.999904824996</v>
      </c>
      <c r="BD35" s="201">
        <f t="shared" ca="1" si="37"/>
        <v>27431.999904824996</v>
      </c>
      <c r="BE35" s="201">
        <f t="shared" ca="1" si="37"/>
        <v>27431.999904824996</v>
      </c>
      <c r="BF35" s="201">
        <f t="shared" ca="1" si="37"/>
        <v>27431.999904824996</v>
      </c>
      <c r="BG35" s="201">
        <f t="shared" ca="1" si="37"/>
        <v>27431.999904824996</v>
      </c>
      <c r="BH35" s="201">
        <f t="shared" ca="1" si="37"/>
        <v>27431.999904824996</v>
      </c>
      <c r="BI35" s="201">
        <f t="shared" ca="1" si="37"/>
        <v>27431.999904824996</v>
      </c>
      <c r="BJ35" s="201">
        <f t="shared" ca="1" si="37"/>
        <v>27431.999904824996</v>
      </c>
      <c r="BK35" s="201">
        <f t="shared" ca="1" si="37"/>
        <v>27431.999904824996</v>
      </c>
      <c r="BL35" s="201">
        <f t="shared" ca="1" si="37"/>
        <v>28172.66390225527</v>
      </c>
      <c r="BM35" s="201">
        <f t="shared" ca="1" si="37"/>
        <v>28172.66390225527</v>
      </c>
      <c r="BN35" s="201">
        <f t="shared" ca="1" si="37"/>
        <v>28172.66390225527</v>
      </c>
      <c r="BO35" s="201">
        <f t="shared" ca="1" si="37"/>
        <v>28172.66390225527</v>
      </c>
      <c r="BP35" s="201">
        <f t="shared" ca="1" si="37"/>
        <v>28172.66390225527</v>
      </c>
      <c r="BQ35" s="201">
        <f t="shared" ca="1" si="37"/>
        <v>28172.66390225527</v>
      </c>
      <c r="BR35" s="201">
        <f t="shared" ca="1" si="37"/>
        <v>28172.66390225527</v>
      </c>
      <c r="BS35" s="201">
        <f t="shared" ca="1" si="37"/>
        <v>28172.66390225527</v>
      </c>
      <c r="BT35" s="201">
        <f t="shared" ca="1" si="37"/>
        <v>28172.66390225527</v>
      </c>
      <c r="BU35" s="201">
        <f t="shared" ca="1" si="37"/>
        <v>28172.66390225527</v>
      </c>
      <c r="BV35" s="201">
        <f t="shared" ca="1" si="37"/>
        <v>28172.66390225527</v>
      </c>
      <c r="BW35" s="201">
        <f t="shared" ca="1" si="37"/>
        <v>28172.66390225527</v>
      </c>
      <c r="BX35" s="201">
        <f t="shared" ca="1" si="37"/>
        <v>29017.843819322927</v>
      </c>
      <c r="BY35" s="201">
        <f t="shared" ca="1" si="37"/>
        <v>29017.843819322927</v>
      </c>
      <c r="BZ35" s="201">
        <f t="shared" ca="1" si="37"/>
        <v>29017.843819322927</v>
      </c>
      <c r="CA35" s="201">
        <f t="shared" ca="1" si="37"/>
        <v>29017.843819322927</v>
      </c>
      <c r="CB35" s="201">
        <f t="shared" ca="1" si="37"/>
        <v>29017.843819322927</v>
      </c>
      <c r="CC35" s="201">
        <f t="shared" ref="CC35:DH35" ca="1" si="38">IF(CB82=0,0,CC12*SF)</f>
        <v>29017.843819322927</v>
      </c>
      <c r="CD35" s="201">
        <f t="shared" ca="1" si="38"/>
        <v>29017.843819322927</v>
      </c>
      <c r="CE35" s="201">
        <f t="shared" ca="1" si="38"/>
        <v>29017.843819322927</v>
      </c>
      <c r="CF35" s="201">
        <f t="shared" ca="1" si="38"/>
        <v>29017.843819322927</v>
      </c>
      <c r="CG35" s="201">
        <f t="shared" ca="1" si="38"/>
        <v>29017.843819322927</v>
      </c>
      <c r="CH35" s="201">
        <f t="shared" ca="1" si="38"/>
        <v>29017.843819322927</v>
      </c>
      <c r="CI35" s="201">
        <f t="shared" ca="1" si="38"/>
        <v>29017.843819322927</v>
      </c>
      <c r="CJ35" s="201">
        <f t="shared" ca="1" si="38"/>
        <v>29888.379133902617</v>
      </c>
      <c r="CK35" s="201">
        <f t="shared" ca="1" si="38"/>
        <v>29888.379133902617</v>
      </c>
      <c r="CL35" s="201">
        <f t="shared" ca="1" si="38"/>
        <v>29888.379133902617</v>
      </c>
      <c r="CM35" s="201">
        <f t="shared" ca="1" si="38"/>
        <v>29888.379133902617</v>
      </c>
      <c r="CN35" s="201">
        <f t="shared" ca="1" si="38"/>
        <v>29888.379133902617</v>
      </c>
      <c r="CO35" s="201">
        <f t="shared" ca="1" si="38"/>
        <v>29888.379133902617</v>
      </c>
      <c r="CP35" s="201">
        <f t="shared" ca="1" si="38"/>
        <v>29888.379133902617</v>
      </c>
      <c r="CQ35" s="201">
        <f t="shared" ca="1" si="38"/>
        <v>29888.379133902617</v>
      </c>
      <c r="CR35" s="201">
        <f t="shared" ca="1" si="38"/>
        <v>29888.379133902617</v>
      </c>
      <c r="CS35" s="201">
        <f t="shared" ca="1" si="38"/>
        <v>29888.379133902617</v>
      </c>
      <c r="CT35" s="201">
        <f t="shared" ca="1" si="38"/>
        <v>29888.379133902617</v>
      </c>
      <c r="CU35" s="201">
        <f t="shared" ca="1" si="38"/>
        <v>29888.379133902617</v>
      </c>
      <c r="CV35" s="201">
        <f t="shared" ca="1" si="38"/>
        <v>30785.030507919695</v>
      </c>
      <c r="CW35" s="201">
        <f t="shared" ca="1" si="38"/>
        <v>30785.030507919695</v>
      </c>
      <c r="CX35" s="201">
        <f t="shared" ca="1" si="38"/>
        <v>30785.030507919695</v>
      </c>
      <c r="CY35" s="201">
        <f t="shared" ca="1" si="38"/>
        <v>30785.030507919695</v>
      </c>
      <c r="CZ35" s="201">
        <f t="shared" ca="1" si="38"/>
        <v>30785.030507919695</v>
      </c>
      <c r="DA35" s="201">
        <f t="shared" ca="1" si="38"/>
        <v>30785.030507919695</v>
      </c>
      <c r="DB35" s="201">
        <f t="shared" ca="1" si="38"/>
        <v>30785.030507919695</v>
      </c>
      <c r="DC35" s="201">
        <f t="shared" ca="1" si="38"/>
        <v>30785.030507919695</v>
      </c>
      <c r="DD35" s="201">
        <f t="shared" ca="1" si="38"/>
        <v>30785.030507919695</v>
      </c>
      <c r="DE35" s="201">
        <f t="shared" ca="1" si="38"/>
        <v>30785.030507919695</v>
      </c>
      <c r="DF35" s="201">
        <f t="shared" ca="1" si="38"/>
        <v>30785.030507919695</v>
      </c>
      <c r="DG35" s="201">
        <f t="shared" ca="1" si="38"/>
        <v>30785.030507919695</v>
      </c>
      <c r="DH35" s="201">
        <f t="shared" ca="1" si="38"/>
        <v>31708.581423157288</v>
      </c>
      <c r="DI35" s="201">
        <f t="shared" ref="DI35:EQ35" ca="1" si="39">IF(DH82=0,0,DI12*SF)</f>
        <v>31708.581423157288</v>
      </c>
      <c r="DJ35" s="201">
        <f t="shared" si="39"/>
        <v>0</v>
      </c>
      <c r="DK35" s="201">
        <f t="shared" si="39"/>
        <v>0</v>
      </c>
      <c r="DL35" s="201">
        <f t="shared" si="39"/>
        <v>0</v>
      </c>
      <c r="DM35" s="201">
        <f t="shared" si="39"/>
        <v>0</v>
      </c>
      <c r="DN35" s="201">
        <f t="shared" si="39"/>
        <v>0</v>
      </c>
      <c r="DO35" s="201">
        <f t="shared" si="39"/>
        <v>0</v>
      </c>
      <c r="DP35" s="201">
        <f t="shared" si="39"/>
        <v>0</v>
      </c>
      <c r="DQ35" s="201">
        <f t="shared" si="39"/>
        <v>0</v>
      </c>
      <c r="DR35" s="201">
        <f t="shared" si="39"/>
        <v>0</v>
      </c>
      <c r="DS35" s="201">
        <f t="shared" si="39"/>
        <v>0</v>
      </c>
      <c r="DT35" s="201">
        <f t="shared" si="39"/>
        <v>0</v>
      </c>
      <c r="DU35" s="201">
        <f t="shared" si="39"/>
        <v>0</v>
      </c>
      <c r="DV35" s="201">
        <f t="shared" si="39"/>
        <v>0</v>
      </c>
      <c r="DW35" s="201">
        <f t="shared" si="39"/>
        <v>0</v>
      </c>
      <c r="DX35" s="201">
        <f t="shared" si="39"/>
        <v>0</v>
      </c>
      <c r="DY35" s="201">
        <f t="shared" si="39"/>
        <v>0</v>
      </c>
      <c r="DZ35" s="201">
        <f t="shared" si="39"/>
        <v>0</v>
      </c>
      <c r="EA35" s="201">
        <f t="shared" si="39"/>
        <v>0</v>
      </c>
      <c r="EB35" s="201">
        <f t="shared" si="39"/>
        <v>0</v>
      </c>
      <c r="EC35" s="201">
        <f t="shared" si="39"/>
        <v>0</v>
      </c>
      <c r="ED35" s="201">
        <f t="shared" si="39"/>
        <v>0</v>
      </c>
      <c r="EE35" s="201">
        <f t="shared" si="39"/>
        <v>0</v>
      </c>
      <c r="EF35" s="201">
        <f t="shared" si="39"/>
        <v>0</v>
      </c>
      <c r="EG35" s="201">
        <f t="shared" si="39"/>
        <v>0</v>
      </c>
      <c r="EH35" s="201">
        <f t="shared" si="39"/>
        <v>0</v>
      </c>
      <c r="EI35" s="201">
        <f t="shared" si="39"/>
        <v>0</v>
      </c>
      <c r="EJ35" s="201">
        <f t="shared" si="39"/>
        <v>0</v>
      </c>
      <c r="EK35" s="201">
        <f t="shared" si="39"/>
        <v>0</v>
      </c>
      <c r="EL35" s="201">
        <f t="shared" si="39"/>
        <v>0</v>
      </c>
      <c r="EM35" s="201">
        <f t="shared" si="39"/>
        <v>0</v>
      </c>
      <c r="EN35" s="201">
        <f t="shared" si="39"/>
        <v>0</v>
      </c>
      <c r="EO35" s="201">
        <f t="shared" si="39"/>
        <v>0</v>
      </c>
      <c r="EP35" s="201">
        <f t="shared" si="39"/>
        <v>0</v>
      </c>
      <c r="EQ35" s="201">
        <f t="shared" si="39"/>
        <v>0</v>
      </c>
      <c r="ES35" s="421"/>
      <c r="ET35" s="63"/>
      <c r="EU35" s="98"/>
    </row>
    <row r="36" spans="2:151" s="189" customFormat="1" ht="15.75">
      <c r="C36" s="249" t="s">
        <v>71</v>
      </c>
      <c r="D36" s="249"/>
      <c r="E36" s="249"/>
      <c r="F36" s="249"/>
      <c r="G36" s="487"/>
      <c r="H36" s="488" t="s">
        <v>116</v>
      </c>
      <c r="I36" s="489">
        <f>SUM(P36:EQ36)</f>
        <v>30</v>
      </c>
      <c r="J36" s="490"/>
      <c r="K36" s="188"/>
      <c r="L36" s="237"/>
      <c r="M36" s="969"/>
      <c r="N36" s="970"/>
      <c r="O36" s="778"/>
      <c r="P36" s="420">
        <v>0</v>
      </c>
      <c r="Q36" s="420">
        <v>1</v>
      </c>
      <c r="R36" s="420">
        <v>4</v>
      </c>
      <c r="S36" s="420">
        <v>5</v>
      </c>
      <c r="T36" s="420">
        <v>0</v>
      </c>
      <c r="U36" s="420">
        <v>0</v>
      </c>
      <c r="V36" s="420">
        <v>0</v>
      </c>
      <c r="W36" s="420">
        <v>0</v>
      </c>
      <c r="X36" s="420">
        <v>0</v>
      </c>
      <c r="Y36" s="420">
        <v>0</v>
      </c>
      <c r="Z36" s="420">
        <v>0</v>
      </c>
      <c r="AA36" s="420">
        <v>0</v>
      </c>
      <c r="AB36" s="420">
        <v>5</v>
      </c>
      <c r="AC36" s="420">
        <v>5</v>
      </c>
      <c r="AD36" s="420">
        <v>0</v>
      </c>
      <c r="AE36" s="420">
        <v>5</v>
      </c>
      <c r="AF36" s="420">
        <v>0</v>
      </c>
      <c r="AG36" s="420">
        <v>0</v>
      </c>
      <c r="AH36" s="420">
        <v>0</v>
      </c>
      <c r="AI36" s="420">
        <v>0</v>
      </c>
      <c r="AJ36" s="420">
        <v>0</v>
      </c>
      <c r="AK36" s="420">
        <v>0</v>
      </c>
      <c r="AL36" s="420">
        <v>0</v>
      </c>
      <c r="AM36" s="420">
        <v>0</v>
      </c>
      <c r="AN36" s="420">
        <v>0</v>
      </c>
      <c r="AO36" s="420">
        <v>0</v>
      </c>
      <c r="AP36" s="420">
        <v>0</v>
      </c>
      <c r="AQ36" s="420">
        <v>4</v>
      </c>
      <c r="AR36" s="420">
        <v>0</v>
      </c>
      <c r="AS36" s="420">
        <v>1</v>
      </c>
      <c r="AT36" s="420">
        <v>0</v>
      </c>
      <c r="AU36" s="420">
        <v>0</v>
      </c>
      <c r="AV36" s="420">
        <v>0</v>
      </c>
      <c r="AW36" s="420">
        <v>0</v>
      </c>
      <c r="AX36" s="420">
        <v>0</v>
      </c>
      <c r="AY36" s="420">
        <v>0</v>
      </c>
      <c r="AZ36" s="420">
        <v>0</v>
      </c>
      <c r="BA36" s="420">
        <v>0</v>
      </c>
      <c r="BB36" s="420">
        <v>0</v>
      </c>
      <c r="BC36" s="420">
        <v>0</v>
      </c>
      <c r="BD36" s="420">
        <v>0</v>
      </c>
      <c r="BE36" s="420">
        <v>0</v>
      </c>
      <c r="BF36" s="420">
        <v>0</v>
      </c>
      <c r="BG36" s="420">
        <v>0</v>
      </c>
      <c r="BH36" s="420">
        <v>0</v>
      </c>
      <c r="BI36" s="420">
        <v>0</v>
      </c>
      <c r="BJ36" s="420">
        <v>0</v>
      </c>
      <c r="BK36" s="420">
        <v>0</v>
      </c>
      <c r="BL36" s="420">
        <v>0</v>
      </c>
      <c r="BM36" s="420">
        <v>0</v>
      </c>
      <c r="BN36" s="420">
        <v>0</v>
      </c>
      <c r="BO36" s="420">
        <v>0</v>
      </c>
      <c r="BP36" s="420">
        <v>0</v>
      </c>
      <c r="BQ36" s="420">
        <v>0</v>
      </c>
      <c r="BR36" s="420">
        <v>0</v>
      </c>
      <c r="BS36" s="420">
        <v>0</v>
      </c>
      <c r="BT36" s="420">
        <v>0</v>
      </c>
      <c r="BU36" s="420">
        <v>0</v>
      </c>
      <c r="BV36" s="420">
        <v>0</v>
      </c>
      <c r="BW36" s="420">
        <v>0</v>
      </c>
      <c r="BX36" s="420">
        <v>0</v>
      </c>
      <c r="BY36" s="420">
        <v>0</v>
      </c>
      <c r="BZ36" s="420">
        <v>0</v>
      </c>
      <c r="CA36" s="420">
        <v>0</v>
      </c>
      <c r="CB36" s="420">
        <v>0</v>
      </c>
      <c r="CC36" s="420">
        <v>0</v>
      </c>
      <c r="CD36" s="420">
        <v>0</v>
      </c>
      <c r="CE36" s="420">
        <v>0</v>
      </c>
      <c r="CF36" s="420">
        <v>0</v>
      </c>
      <c r="CG36" s="420">
        <v>0</v>
      </c>
      <c r="CH36" s="420">
        <v>0</v>
      </c>
      <c r="CI36" s="420">
        <v>0</v>
      </c>
      <c r="CJ36" s="420">
        <v>0</v>
      </c>
      <c r="CK36" s="420">
        <v>0</v>
      </c>
      <c r="CL36" s="420">
        <v>0</v>
      </c>
      <c r="CM36" s="420">
        <v>0</v>
      </c>
      <c r="CN36" s="420">
        <v>0</v>
      </c>
      <c r="CO36" s="420">
        <v>0</v>
      </c>
      <c r="CP36" s="420">
        <v>0</v>
      </c>
      <c r="CQ36" s="420">
        <v>0</v>
      </c>
      <c r="CR36" s="420">
        <v>0</v>
      </c>
      <c r="CS36" s="420">
        <v>0</v>
      </c>
      <c r="CT36" s="420">
        <v>0</v>
      </c>
      <c r="CU36" s="420">
        <v>0</v>
      </c>
      <c r="CV36" s="420">
        <v>0</v>
      </c>
      <c r="CW36" s="420">
        <v>0</v>
      </c>
      <c r="CX36" s="420">
        <v>0</v>
      </c>
      <c r="CY36" s="420">
        <v>0</v>
      </c>
      <c r="CZ36" s="420">
        <v>0</v>
      </c>
      <c r="DA36" s="420">
        <v>0</v>
      </c>
      <c r="DB36" s="420">
        <v>0</v>
      </c>
      <c r="DC36" s="420">
        <v>0</v>
      </c>
      <c r="DD36" s="420">
        <v>0</v>
      </c>
      <c r="DE36" s="420">
        <v>0</v>
      </c>
      <c r="DF36" s="420">
        <v>0</v>
      </c>
      <c r="DG36" s="420">
        <v>0</v>
      </c>
      <c r="DH36" s="420">
        <v>0</v>
      </c>
      <c r="DI36" s="420">
        <v>0</v>
      </c>
      <c r="DJ36" s="420">
        <v>0</v>
      </c>
      <c r="DK36" s="420">
        <v>0</v>
      </c>
      <c r="DL36" s="420">
        <v>0</v>
      </c>
      <c r="DM36" s="420">
        <v>0</v>
      </c>
      <c r="DN36" s="420">
        <v>0</v>
      </c>
      <c r="DO36" s="420">
        <v>0</v>
      </c>
      <c r="DP36" s="420">
        <v>0</v>
      </c>
      <c r="DQ36" s="420">
        <v>0</v>
      </c>
      <c r="DR36" s="420">
        <v>0</v>
      </c>
      <c r="DS36" s="420">
        <v>0</v>
      </c>
      <c r="DT36" s="420">
        <v>0</v>
      </c>
      <c r="DU36" s="420">
        <v>0</v>
      </c>
      <c r="DV36" s="420">
        <v>0</v>
      </c>
      <c r="DW36" s="420">
        <v>0</v>
      </c>
      <c r="DX36" s="420">
        <v>0</v>
      </c>
      <c r="DY36" s="420">
        <v>0</v>
      </c>
      <c r="DZ36" s="420">
        <v>0</v>
      </c>
      <c r="EA36" s="420">
        <v>0</v>
      </c>
      <c r="EB36" s="420">
        <v>0</v>
      </c>
      <c r="EC36" s="420">
        <v>0</v>
      </c>
      <c r="ED36" s="420">
        <v>0</v>
      </c>
      <c r="EE36" s="420">
        <v>0</v>
      </c>
      <c r="EF36" s="420">
        <v>0</v>
      </c>
      <c r="EG36" s="420">
        <v>0</v>
      </c>
      <c r="EH36" s="420">
        <v>0</v>
      </c>
      <c r="EI36" s="420">
        <v>0</v>
      </c>
      <c r="EJ36" s="420">
        <v>0</v>
      </c>
      <c r="EK36" s="420">
        <v>0</v>
      </c>
      <c r="EL36" s="420">
        <v>0</v>
      </c>
      <c r="EM36" s="420">
        <v>0</v>
      </c>
      <c r="EN36" s="420">
        <v>0</v>
      </c>
      <c r="EO36" s="420">
        <v>0</v>
      </c>
      <c r="EP36" s="420">
        <v>0</v>
      </c>
      <c r="EQ36" s="420">
        <v>0</v>
      </c>
      <c r="ES36" s="421"/>
      <c r="ET36" s="190"/>
      <c r="EU36" s="191"/>
    </row>
    <row r="37" spans="2:151" s="65" customFormat="1" ht="15.75">
      <c r="B37" s="65" t="s">
        <v>252</v>
      </c>
      <c r="C37" s="248">
        <v>3</v>
      </c>
      <c r="D37" s="248"/>
      <c r="E37" s="248"/>
      <c r="F37" s="248"/>
      <c r="G37" s="482"/>
      <c r="H37" s="482" t="s">
        <v>131</v>
      </c>
      <c r="I37" s="184"/>
      <c r="J37" s="491"/>
      <c r="K37" s="192"/>
      <c r="L37" s="193"/>
      <c r="M37" s="193"/>
      <c r="N37" s="216">
        <f>'Annual Cash Flow'!C16</f>
        <v>0</v>
      </c>
      <c r="O37" s="777"/>
      <c r="P37" s="798"/>
      <c r="Q37" s="798"/>
      <c r="R37" s="798"/>
      <c r="S37" s="798"/>
      <c r="T37" s="798"/>
      <c r="U37" s="798"/>
      <c r="V37" s="798"/>
      <c r="W37" s="798"/>
      <c r="X37" s="798"/>
      <c r="Y37" s="798"/>
      <c r="Z37" s="798"/>
      <c r="AA37" s="798"/>
      <c r="AB37" s="798"/>
      <c r="AC37" s="798"/>
      <c r="AD37" s="798"/>
      <c r="AE37" s="798"/>
      <c r="AF37" s="798"/>
      <c r="AG37" s="798"/>
      <c r="AH37" s="798"/>
      <c r="AI37" s="798"/>
      <c r="AJ37" s="798"/>
      <c r="AK37" s="798"/>
      <c r="AL37" s="798"/>
      <c r="AM37" s="798"/>
      <c r="AN37" s="798"/>
      <c r="AO37" s="798"/>
      <c r="AP37" s="798"/>
      <c r="AQ37" s="798"/>
      <c r="AR37" s="798"/>
      <c r="AS37" s="798"/>
      <c r="AT37" s="798"/>
      <c r="AU37" s="798"/>
      <c r="AV37" s="798"/>
      <c r="AW37" s="798"/>
      <c r="AX37" s="798"/>
      <c r="AY37" s="798"/>
      <c r="AZ37" s="798"/>
      <c r="BA37" s="798"/>
      <c r="BB37" s="798"/>
      <c r="BC37" s="798"/>
      <c r="BD37" s="798"/>
      <c r="BE37" s="798"/>
      <c r="BF37" s="798"/>
      <c r="BG37" s="798"/>
      <c r="BH37" s="798"/>
      <c r="BI37" s="798"/>
      <c r="BJ37" s="798"/>
      <c r="BK37" s="798"/>
      <c r="BL37" s="798"/>
      <c r="BM37" s="798"/>
      <c r="BN37" s="798"/>
      <c r="BO37" s="798"/>
      <c r="BP37" s="798"/>
      <c r="BQ37" s="798"/>
      <c r="BR37" s="798"/>
      <c r="BS37" s="798"/>
      <c r="BT37" s="798"/>
      <c r="BU37" s="798"/>
      <c r="BV37" s="798"/>
      <c r="BW37" s="798"/>
      <c r="BX37" s="798"/>
      <c r="BY37" s="798"/>
      <c r="BZ37" s="798"/>
      <c r="CA37" s="798"/>
      <c r="CB37" s="798"/>
      <c r="CC37" s="798"/>
      <c r="CD37" s="798"/>
      <c r="CE37" s="798"/>
      <c r="CF37" s="798"/>
      <c r="CG37" s="798"/>
      <c r="CH37" s="798"/>
      <c r="CI37" s="798"/>
      <c r="CJ37" s="798"/>
      <c r="CK37" s="798"/>
      <c r="CL37" s="798"/>
      <c r="CM37" s="798"/>
      <c r="CN37" s="798"/>
      <c r="CO37" s="798"/>
      <c r="CP37" s="798"/>
      <c r="CQ37" s="798"/>
      <c r="CR37" s="798"/>
      <c r="CS37" s="798"/>
      <c r="CT37" s="798"/>
      <c r="CU37" s="798"/>
      <c r="CV37" s="798"/>
      <c r="CW37" s="798"/>
      <c r="CX37" s="798"/>
      <c r="CY37" s="798"/>
      <c r="CZ37" s="798"/>
      <c r="DA37" s="798"/>
      <c r="DB37" s="798"/>
      <c r="DC37" s="798"/>
      <c r="DD37" s="798"/>
      <c r="DE37" s="798"/>
      <c r="DF37" s="798"/>
      <c r="DG37" s="798"/>
      <c r="DH37" s="798"/>
      <c r="DI37" s="798"/>
      <c r="DJ37" s="798"/>
      <c r="DK37" s="798"/>
      <c r="DL37" s="798"/>
      <c r="DM37" s="798"/>
      <c r="DN37" s="798"/>
      <c r="DO37" s="798"/>
      <c r="DP37" s="798"/>
      <c r="DQ37" s="798"/>
      <c r="DR37" s="798"/>
      <c r="DS37" s="798"/>
      <c r="DT37" s="798"/>
      <c r="DU37" s="798"/>
      <c r="DV37" s="798"/>
      <c r="DW37" s="798"/>
      <c r="DX37" s="798"/>
      <c r="DY37" s="798"/>
      <c r="DZ37" s="798"/>
      <c r="EA37" s="798"/>
      <c r="EB37" s="798"/>
      <c r="EC37" s="798"/>
      <c r="ED37" s="798"/>
      <c r="EE37" s="798"/>
      <c r="EF37" s="798"/>
      <c r="EG37" s="798"/>
      <c r="EH37" s="798"/>
      <c r="EI37" s="798"/>
      <c r="EJ37" s="798"/>
      <c r="EK37" s="798"/>
      <c r="EL37" s="798"/>
      <c r="EM37" s="798"/>
      <c r="EN37" s="798"/>
      <c r="EO37" s="798"/>
      <c r="EP37" s="798"/>
      <c r="EQ37" s="798"/>
      <c r="ER37" s="194"/>
      <c r="ES37" s="421"/>
      <c r="ET37" s="67"/>
      <c r="EU37" s="195"/>
    </row>
    <row r="38" spans="2:151" s="65" customFormat="1" ht="15.75">
      <c r="B38" s="65" t="s">
        <v>249</v>
      </c>
      <c r="C38" s="248">
        <v>1</v>
      </c>
      <c r="D38" s="248"/>
      <c r="E38" s="248"/>
      <c r="F38" s="248"/>
      <c r="G38" s="482"/>
      <c r="H38" s="482" t="s">
        <v>56</v>
      </c>
      <c r="I38" s="184"/>
      <c r="J38" s="491"/>
      <c r="K38" s="192"/>
      <c r="L38" s="193"/>
      <c r="M38" s="193"/>
      <c r="N38" s="216">
        <f>'Annual Cash Flow'!C17</f>
        <v>0</v>
      </c>
      <c r="O38" s="777"/>
      <c r="P38" s="202">
        <f ca="1">IF(N82=0,0,1)*IF(P11=1,(SUM($P$36:OFFSET(P36,0,-$C$37))*Assumptions!$P$8),(SUM($P$36:OFFSET(P36,0,-$C$37))*Assumptions!$P$8)*(1+P33))</f>
        <v>0</v>
      </c>
      <c r="Q38" s="202">
        <f ca="1">IF(P82=0,0,1)*IF(Q11=1,(SUM($P$36:OFFSET(Q36,0,-$C$37))*Assumptions!$P$8),(SUM($P$36:OFFSET(Q36,0,-$C$37))*Assumptions!$P$8)*(1+Q33))</f>
        <v>0</v>
      </c>
      <c r="R38" s="202">
        <f ca="1">IF(Q82=0,0,1)*IF(R11=1,(SUM($P$36:OFFSET(R36,0,-$C$37))*Assumptions!$P$8),(SUM($P$36:OFFSET(R36,0,-$C$37))*Assumptions!$P$8)*(1+R33))</f>
        <v>0</v>
      </c>
      <c r="S38" s="202">
        <f ca="1">IF(R82=0,0,1)*IF(S11=1,(SUM($P$36:OFFSET(S36,0,-$C$37))*Assumptions!$P$8),(SUM($P$36:OFFSET(S36,0,-$C$37))*Assumptions!$P$8)*(1+S33))</f>
        <v>0</v>
      </c>
      <c r="T38" s="202">
        <f ca="1">IF(S82=0,0,1)*IF(T11=1,(SUM($P$36:OFFSET(T36,0,-$C$37))*Assumptions!$P$8),(SUM($P$36:OFFSET(T36,0,-$C$37))*Assumptions!$P$8)*(1+T33))</f>
        <v>100</v>
      </c>
      <c r="U38" s="202">
        <f ca="1">IF(T82=0,0,1)*IF(U11=1,(SUM($P$36:OFFSET(U36,0,-$C$37))*Assumptions!$P$8),(SUM($P$36:OFFSET(U36,0,-$C$37))*Assumptions!$P$8)*(1+U33))</f>
        <v>500</v>
      </c>
      <c r="V38" s="202">
        <f ca="1">IF(U82=0,0,1)*IF(V11=1,(SUM($P$36:OFFSET(V36,0,-$C$37))*Assumptions!$P$8),(SUM($P$36:OFFSET(V36,0,-$C$37))*Assumptions!$P$8)*(1+V33))</f>
        <v>1000</v>
      </c>
      <c r="W38" s="202">
        <f ca="1">IF(V82=0,0,1)*IF(W11=1,(SUM($P$36:OFFSET(W36,0,-$C$37))*Assumptions!$P$8),(SUM($P$36:OFFSET(W36,0,-$C$37))*Assumptions!$P$8)*(1+W33))</f>
        <v>1000</v>
      </c>
      <c r="X38" s="202">
        <f ca="1">IF(W82=0,0,1)*IF(X11=1,(SUM($P$36:OFFSET(X36,0,-$C$37))*Assumptions!$P$8),(SUM($P$36:OFFSET(X36,0,-$C$37))*Assumptions!$P$8)*(1+X33))</f>
        <v>1000</v>
      </c>
      <c r="Y38" s="202">
        <f ca="1">IF(X82=0,0,1)*IF(Y11=1,(SUM($P$36:OFFSET(Y36,0,-$C$37))*Assumptions!$P$8),(SUM($P$36:OFFSET(Y36,0,-$C$37))*Assumptions!$P$8)*(1+Y33))</f>
        <v>1000</v>
      </c>
      <c r="Z38" s="202">
        <f ca="1">IF(Y82=0,0,1)*IF(Z11=1,(SUM($P$36:OFFSET(Z36,0,-$C$37))*Assumptions!$P$8),(SUM($P$36:OFFSET(Z36,0,-$C$37))*Assumptions!$P$8)*(1+Z33))</f>
        <v>1000</v>
      </c>
      <c r="AA38" s="202">
        <f ca="1">IF(Z82=0,0,1)*IF(AA11=1,(SUM($P$36:OFFSET(AA36,0,-$C$37))*Assumptions!$P$8),(SUM($P$36:OFFSET(AA36,0,-$C$37))*Assumptions!$P$8)*(1+AA33))</f>
        <v>1000</v>
      </c>
      <c r="AB38" s="202">
        <f ca="1">IF(AA82=0,0,1)*IF(AB11=1,(SUM($P$36:OFFSET(AB36,0,-$C$37))*Assumptions!$P$8),(SUM($P$36:OFFSET(AB36,0,-$C$37))*Assumptions!$P$8)*(1+AB33))</f>
        <v>1082.598</v>
      </c>
      <c r="AC38" s="202">
        <f ca="1">IF(AB82=0,0,1)*IF(AC11=1,(SUM($P$36:OFFSET(AC36,0,-$C$37))*Assumptions!$P$8),(SUM($P$36:OFFSET(AC36,0,-$C$37))*Assumptions!$P$8)*(1+AC33))</f>
        <v>1082.598</v>
      </c>
      <c r="AD38" s="202">
        <f ca="1">IF(AC82=0,0,1)*IF(AD11=1,(SUM($P$36:OFFSET(AD36,0,-$C$37))*Assumptions!$P$8),(SUM($P$36:OFFSET(AD36,0,-$C$37))*Assumptions!$P$8)*(1+AD33))</f>
        <v>1082.598</v>
      </c>
      <c r="AE38" s="202">
        <f ca="1">IF(AD82=0,0,1)*IF(AE11=1,(SUM($P$36:OFFSET(AE36,0,-$C$37))*Assumptions!$P$8),(SUM($P$36:OFFSET(AE36,0,-$C$37))*Assumptions!$P$8)*(1+AE33))</f>
        <v>1623.8969999999999</v>
      </c>
      <c r="AF38" s="202">
        <f ca="1">IF(AE82=0,0,1)*IF(AF11=1,(SUM($P$36:OFFSET(AF36,0,-$C$37))*Assumptions!$P$8),(SUM($P$36:OFFSET(AF36,0,-$C$37))*Assumptions!$P$8)*(1+AF33))</f>
        <v>2165.1959999999999</v>
      </c>
      <c r="AG38" s="202">
        <f ca="1">IF(AF82=0,0,1)*IF(AG11=1,(SUM($P$36:OFFSET(AG36,0,-$C$37))*Assumptions!$P$8),(SUM($P$36:OFFSET(AG36,0,-$C$37))*Assumptions!$P$8)*(1+AG33))</f>
        <v>2165.1959999999999</v>
      </c>
      <c r="AH38" s="202">
        <f ca="1">IF(AG82=0,0,1)*IF(AH11=1,(SUM($P$36:OFFSET(AH36,0,-$C$37))*Assumptions!$P$8),(SUM($P$36:OFFSET(AH36,0,-$C$37))*Assumptions!$P$8)*(1+AH33))</f>
        <v>2706.4949999999999</v>
      </c>
      <c r="AI38" s="202">
        <f ca="1">IF(AH82=0,0,1)*IF(AI11=1,(SUM($P$36:OFFSET(AI36,0,-$C$37))*Assumptions!$P$8),(SUM($P$36:OFFSET(AI36,0,-$C$37))*Assumptions!$P$8)*(1+AI33))</f>
        <v>2706.4949999999999</v>
      </c>
      <c r="AJ38" s="202">
        <f ca="1">IF(AI82=0,0,1)*IF(AJ11=1,(SUM($P$36:OFFSET(AJ36,0,-$C$37))*Assumptions!$P$8),(SUM($P$36:OFFSET(AJ36,0,-$C$37))*Assumptions!$P$8)*(1+AJ33))</f>
        <v>2706.4949999999999</v>
      </c>
      <c r="AK38" s="202">
        <f ca="1">IF(AJ82=0,0,1)*IF(AK11=1,(SUM($P$36:OFFSET(AK36,0,-$C$37))*Assumptions!$P$8),(SUM($P$36:OFFSET(AK36,0,-$C$37))*Assumptions!$P$8)*(1+AK33))</f>
        <v>2706.4949999999999</v>
      </c>
      <c r="AL38" s="202">
        <f ca="1">IF(AK82=0,0,1)*IF(AL11=1,(SUM($P$36:OFFSET(AL36,0,-$C$37))*Assumptions!$P$8),(SUM($P$36:OFFSET(AL36,0,-$C$37))*Assumptions!$P$8)*(1+AL33))</f>
        <v>2706.4949999999999</v>
      </c>
      <c r="AM38" s="202">
        <f ca="1">IF(AL82=0,0,1)*IF(AM11=1,(SUM($P$36:OFFSET(AM36,0,-$C$37))*Assumptions!$P$8),(SUM($P$36:OFFSET(AM36,0,-$C$37))*Assumptions!$P$8)*(1+AM33))</f>
        <v>2706.4949999999999</v>
      </c>
      <c r="AN38" s="202">
        <f ca="1">IF(AM82=0,0,1)*IF(AN11=1,(SUM($P$36:OFFSET(AN36,0,-$C$37))*Assumptions!$P$8),(SUM($P$36:OFFSET(AN36,0,-$C$37))*Assumptions!$P$8)*(1+AN33))</f>
        <v>2833.7002649999999</v>
      </c>
      <c r="AO38" s="202">
        <f ca="1">IF(AN82=0,0,1)*IF(AO11=1,(SUM($P$36:OFFSET(AO36,0,-$C$37))*Assumptions!$P$8),(SUM($P$36:OFFSET(AO36,0,-$C$37))*Assumptions!$P$8)*(1+AO33))</f>
        <v>2833.7002649999999</v>
      </c>
      <c r="AP38" s="202">
        <f ca="1">IF(AO82=0,0,1)*IF(AP11=1,(SUM($P$36:OFFSET(AP36,0,-$C$37))*Assumptions!$P$8),(SUM($P$36:OFFSET(AP36,0,-$C$37))*Assumptions!$P$8)*(1+AP33))</f>
        <v>2833.7002649999999</v>
      </c>
      <c r="AQ38" s="202">
        <f ca="1">IF(AP82=0,0,1)*IF(AQ11=1,(SUM($P$36:OFFSET(AQ36,0,-$C$37))*Assumptions!$P$8),(SUM($P$36:OFFSET(AQ36,0,-$C$37))*Assumptions!$P$8)*(1+AQ33))</f>
        <v>2833.7002649999999</v>
      </c>
      <c r="AR38" s="202">
        <f ca="1">IF(AQ82=0,0,1)*IF(AR11=1,(SUM($P$36:OFFSET(AR36,0,-$C$37))*Assumptions!$P$8),(SUM($P$36:OFFSET(AR36,0,-$C$37))*Assumptions!$P$8)*(1+AR33))</f>
        <v>2833.7002649999999</v>
      </c>
      <c r="AS38" s="202">
        <f ca="1">IF(AR82=0,0,1)*IF(AS11=1,(SUM($P$36:OFFSET(AS36,0,-$C$37))*Assumptions!$P$8),(SUM($P$36:OFFSET(AS36,0,-$C$37))*Assumptions!$P$8)*(1+AS33))</f>
        <v>2833.7002649999999</v>
      </c>
      <c r="AT38" s="202">
        <f ca="1">IF(AS82=0,0,1)*IF(AT11=1,(SUM($P$36:OFFSET(AT36,0,-$C$37))*Assumptions!$P$8),(SUM($P$36:OFFSET(AT36,0,-$C$37))*Assumptions!$P$8)*(1+AT33))</f>
        <v>3287.0923073999998</v>
      </c>
      <c r="AU38" s="202">
        <f ca="1">IF(AT82=0,0,1)*IF(AU11=1,(SUM($P$36:OFFSET(AU36,0,-$C$37))*Assumptions!$P$8),(SUM($P$36:OFFSET(AU36,0,-$C$37))*Assumptions!$P$8)*(1+AU33))</f>
        <v>3287.0923073999998</v>
      </c>
      <c r="AV38" s="202">
        <f ca="1">IF(AU82=0,0,1)*IF(AV11=1,(SUM($P$36:OFFSET(AV36,0,-$C$37))*Assumptions!$P$8),(SUM($P$36:OFFSET(AV36,0,-$C$37))*Assumptions!$P$8)*(1+AV33))</f>
        <v>3400.4403179999999</v>
      </c>
      <c r="AW38" s="202">
        <f ca="1">IF(AV82=0,0,1)*IF(AW11=1,(SUM($P$36:OFFSET(AW36,0,-$C$37))*Assumptions!$P$8),(SUM($P$36:OFFSET(AW36,0,-$C$37))*Assumptions!$P$8)*(1+AW33))</f>
        <v>3400.4403179999999</v>
      </c>
      <c r="AX38" s="202">
        <f ca="1">IF(AW82=0,0,1)*IF(AX11=1,(SUM($P$36:OFFSET(AX36,0,-$C$37))*Assumptions!$P$8),(SUM($P$36:OFFSET(AX36,0,-$C$37))*Assumptions!$P$8)*(1+AX33))</f>
        <v>3400.4403179999999</v>
      </c>
      <c r="AY38" s="202">
        <f ca="1">IF(AX82=0,0,1)*IF(AY11=1,(SUM($P$36:OFFSET(AY36,0,-$C$37))*Assumptions!$P$8),(SUM($P$36:OFFSET(AY36,0,-$C$37))*Assumptions!$P$8)*(1+AY33))</f>
        <v>3400.4403179999999</v>
      </c>
      <c r="AZ38" s="202">
        <f ca="1">IF(AY82=0,0,1)*IF(AZ11=1,(SUM($P$36:OFFSET(AZ36,0,-$C$37))*Assumptions!$P$8),(SUM($P$36:OFFSET(AZ36,0,-$C$37))*Assumptions!$P$8)*(1+AZ33))</f>
        <v>3512.6548484939995</v>
      </c>
      <c r="BA38" s="202">
        <f ca="1">IF(AZ82=0,0,1)*IF(BA11=1,(SUM($P$36:OFFSET(BA36,0,-$C$37))*Assumptions!$P$8),(SUM($P$36:OFFSET(BA36,0,-$C$37))*Assumptions!$P$8)*(1+BA33))</f>
        <v>3512.6548484939995</v>
      </c>
      <c r="BB38" s="202">
        <f ca="1">IF(BA82=0,0,1)*IF(BB11=1,(SUM($P$36:OFFSET(BB36,0,-$C$37))*Assumptions!$P$8),(SUM($P$36:OFFSET(BB36,0,-$C$37))*Assumptions!$P$8)*(1+BB33))</f>
        <v>3512.6548484939995</v>
      </c>
      <c r="BC38" s="202">
        <f ca="1">IF(BB82=0,0,1)*IF(BC11=1,(SUM($P$36:OFFSET(BC36,0,-$C$37))*Assumptions!$P$8),(SUM($P$36:OFFSET(BC36,0,-$C$37))*Assumptions!$P$8)*(1+BC33))</f>
        <v>3512.6548484939995</v>
      </c>
      <c r="BD38" s="202">
        <f ca="1">IF(BC82=0,0,1)*IF(BD11=1,(SUM($P$36:OFFSET(BD36,0,-$C$37))*Assumptions!$P$8),(SUM($P$36:OFFSET(BD36,0,-$C$37))*Assumptions!$P$8)*(1+BD33))</f>
        <v>3512.6548484939995</v>
      </c>
      <c r="BE38" s="202">
        <f ca="1">IF(BD82=0,0,1)*IF(BE11=1,(SUM($P$36:OFFSET(BE36,0,-$C$37))*Assumptions!$P$8),(SUM($P$36:OFFSET(BE36,0,-$C$37))*Assumptions!$P$8)*(1+BE33))</f>
        <v>3512.6548484939995</v>
      </c>
      <c r="BF38" s="202">
        <f ca="1">IF(BE82=0,0,1)*IF(BF11=1,(SUM($P$36:OFFSET(BF36,0,-$C$37))*Assumptions!$P$8),(SUM($P$36:OFFSET(BF36,0,-$C$37))*Assumptions!$P$8)*(1+BF33))</f>
        <v>3512.6548484939995</v>
      </c>
      <c r="BG38" s="202">
        <f ca="1">IF(BF82=0,0,1)*IF(BG11=1,(SUM($P$36:OFFSET(BG36,0,-$C$37))*Assumptions!$P$8),(SUM($P$36:OFFSET(BG36,0,-$C$37))*Assumptions!$P$8)*(1+BG33))</f>
        <v>3512.6548484939995</v>
      </c>
      <c r="BH38" s="202">
        <f ca="1">IF(BG82=0,0,1)*IF(BH11=1,(SUM($P$36:OFFSET(BH36,0,-$C$37))*Assumptions!$P$8),(SUM($P$36:OFFSET(BH36,0,-$C$37))*Assumptions!$P$8)*(1+BH33))</f>
        <v>3512.6548484939995</v>
      </c>
      <c r="BI38" s="202">
        <f ca="1">IF(BH82=0,0,1)*IF(BI11=1,(SUM($P$36:OFFSET(BI36,0,-$C$37))*Assumptions!$P$8),(SUM($P$36:OFFSET(BI36,0,-$C$37))*Assumptions!$P$8)*(1+BI33))</f>
        <v>3512.6548484939995</v>
      </c>
      <c r="BJ38" s="202">
        <f ca="1">IF(BI82=0,0,1)*IF(BJ11=1,(SUM($P$36:OFFSET(BJ36,0,-$C$37))*Assumptions!$P$8),(SUM($P$36:OFFSET(BJ36,0,-$C$37))*Assumptions!$P$8)*(1+BJ33))</f>
        <v>3512.6548484939995</v>
      </c>
      <c r="BK38" s="202">
        <f ca="1">IF(BJ82=0,0,1)*IF(BK11=1,(SUM($P$36:OFFSET(BK36,0,-$C$37))*Assumptions!$P$8),(SUM($P$36:OFFSET(BK36,0,-$C$37))*Assumptions!$P$8)*(1+BK33))</f>
        <v>3512.6548484939995</v>
      </c>
      <c r="BL38" s="202">
        <f ca="1">IF(BK82=0,0,1)*IF(BL11=1,(SUM($P$36:OFFSET(BL36,0,-$C$37))*Assumptions!$P$8),(SUM($P$36:OFFSET(BL36,0,-$C$37))*Assumptions!$P$8)*(1+BL33))</f>
        <v>3607.4965294033368</v>
      </c>
      <c r="BM38" s="202">
        <f ca="1">IF(BL82=0,0,1)*IF(BM11=1,(SUM($P$36:OFFSET(BM36,0,-$C$37))*Assumptions!$P$8),(SUM($P$36:OFFSET(BM36,0,-$C$37))*Assumptions!$P$8)*(1+BM33))</f>
        <v>3607.4965294033368</v>
      </c>
      <c r="BN38" s="202">
        <f ca="1">IF(BM82=0,0,1)*IF(BN11=1,(SUM($P$36:OFFSET(BN36,0,-$C$37))*Assumptions!$P$8),(SUM($P$36:OFFSET(BN36,0,-$C$37))*Assumptions!$P$8)*(1+BN33))</f>
        <v>3607.4965294033368</v>
      </c>
      <c r="BO38" s="202">
        <f ca="1">IF(BN82=0,0,1)*IF(BO11=1,(SUM($P$36:OFFSET(BO36,0,-$C$37))*Assumptions!$P$8),(SUM($P$36:OFFSET(BO36,0,-$C$37))*Assumptions!$P$8)*(1+BO33))</f>
        <v>3607.4965294033368</v>
      </c>
      <c r="BP38" s="202">
        <f ca="1">IF(BO82=0,0,1)*IF(BP11=1,(SUM($P$36:OFFSET(BP36,0,-$C$37))*Assumptions!$P$8),(SUM($P$36:OFFSET(BP36,0,-$C$37))*Assumptions!$P$8)*(1+BP33))</f>
        <v>3607.4965294033368</v>
      </c>
      <c r="BQ38" s="202">
        <f ca="1">IF(BP82=0,0,1)*IF(BQ11=1,(SUM($P$36:OFFSET(BQ36,0,-$C$37))*Assumptions!$P$8),(SUM($P$36:OFFSET(BQ36,0,-$C$37))*Assumptions!$P$8)*(1+BQ33))</f>
        <v>3607.4965294033368</v>
      </c>
      <c r="BR38" s="202">
        <f ca="1">IF(BQ82=0,0,1)*IF(BR11=1,(SUM($P$36:OFFSET(BR36,0,-$C$37))*Assumptions!$P$8),(SUM($P$36:OFFSET(BR36,0,-$C$37))*Assumptions!$P$8)*(1+BR33))</f>
        <v>3607.4965294033368</v>
      </c>
      <c r="BS38" s="202">
        <f ca="1">IF(BR82=0,0,1)*IF(BS11=1,(SUM($P$36:OFFSET(BS36,0,-$C$37))*Assumptions!$P$8),(SUM($P$36:OFFSET(BS36,0,-$C$37))*Assumptions!$P$8)*(1+BS33))</f>
        <v>3607.4965294033368</v>
      </c>
      <c r="BT38" s="202">
        <f ca="1">IF(BS82=0,0,1)*IF(BT11=1,(SUM($P$36:OFFSET(BT36,0,-$C$37))*Assumptions!$P$8),(SUM($P$36:OFFSET(BT36,0,-$C$37))*Assumptions!$P$8)*(1+BT33))</f>
        <v>3607.4965294033368</v>
      </c>
      <c r="BU38" s="202">
        <f ca="1">IF(BT82=0,0,1)*IF(BU11=1,(SUM($P$36:OFFSET(BU36,0,-$C$37))*Assumptions!$P$8),(SUM($P$36:OFFSET(BU36,0,-$C$37))*Assumptions!$P$8)*(1+BU33))</f>
        <v>3607.4965294033368</v>
      </c>
      <c r="BV38" s="202">
        <f ca="1">IF(BU82=0,0,1)*IF(BV11=1,(SUM($P$36:OFFSET(BV36,0,-$C$37))*Assumptions!$P$8),(SUM($P$36:OFFSET(BV36,0,-$C$37))*Assumptions!$P$8)*(1+BV33))</f>
        <v>3607.4965294033368</v>
      </c>
      <c r="BW38" s="202">
        <f ca="1">IF(BV82=0,0,1)*IF(BW11=1,(SUM($P$36:OFFSET(BW36,0,-$C$37))*Assumptions!$P$8),(SUM($P$36:OFFSET(BW36,0,-$C$37))*Assumptions!$P$8)*(1+BW33))</f>
        <v>3607.4965294033368</v>
      </c>
      <c r="BX38" s="202">
        <f ca="1">IF(BW82=0,0,1)*IF(BX11=1,(SUM($P$36:OFFSET(BX36,0,-$C$37))*Assumptions!$P$8),(SUM($P$36:OFFSET(BX36,0,-$C$37))*Assumptions!$P$8)*(1+BX33))</f>
        <v>3715.7214252854369</v>
      </c>
      <c r="BY38" s="202">
        <f ca="1">IF(BX82=0,0,1)*IF(BY11=1,(SUM($P$36:OFFSET(BY36,0,-$C$37))*Assumptions!$P$8),(SUM($P$36:OFFSET(BY36,0,-$C$37))*Assumptions!$P$8)*(1+BY33))</f>
        <v>3715.7214252854369</v>
      </c>
      <c r="BZ38" s="202">
        <f ca="1">IF(BY82=0,0,1)*IF(BZ11=1,(SUM($P$36:OFFSET(BZ36,0,-$C$37))*Assumptions!$P$8),(SUM($P$36:OFFSET(BZ36,0,-$C$37))*Assumptions!$P$8)*(1+BZ33))</f>
        <v>3715.7214252854369</v>
      </c>
      <c r="CA38" s="202">
        <f ca="1">IF(BZ82=0,0,1)*IF(CA11=1,(SUM($P$36:OFFSET(CA36,0,-$C$37))*Assumptions!$P$8),(SUM($P$36:OFFSET(CA36,0,-$C$37))*Assumptions!$P$8)*(1+CA33))</f>
        <v>3715.7214252854369</v>
      </c>
      <c r="CB38" s="202">
        <f ca="1">IF(CA82=0,0,1)*IF(CB11=1,(SUM($P$36:OFFSET(CB36,0,-$C$37))*Assumptions!$P$8),(SUM($P$36:OFFSET(CB36,0,-$C$37))*Assumptions!$P$8)*(1+CB33))</f>
        <v>3715.7214252854369</v>
      </c>
      <c r="CC38" s="202">
        <f ca="1">IF(CB82=0,0,1)*IF(CC11=1,(SUM($P$36:OFFSET(CC36,0,-$C$37))*Assumptions!$P$8),(SUM($P$36:OFFSET(CC36,0,-$C$37))*Assumptions!$P$8)*(1+CC33))</f>
        <v>3715.7214252854369</v>
      </c>
      <c r="CD38" s="202">
        <f ca="1">IF(CC82=0,0,1)*IF(CD11=1,(SUM($P$36:OFFSET(CD36,0,-$C$37))*Assumptions!$P$8),(SUM($P$36:OFFSET(CD36,0,-$C$37))*Assumptions!$P$8)*(1+CD33))</f>
        <v>3715.7214252854369</v>
      </c>
      <c r="CE38" s="202">
        <f ca="1">IF(CD82=0,0,1)*IF(CE11=1,(SUM($P$36:OFFSET(CE36,0,-$C$37))*Assumptions!$P$8),(SUM($P$36:OFFSET(CE36,0,-$C$37))*Assumptions!$P$8)*(1+CE33))</f>
        <v>3715.7214252854369</v>
      </c>
      <c r="CF38" s="202">
        <f ca="1">IF(CE82=0,0,1)*IF(CF11=1,(SUM($P$36:OFFSET(CF36,0,-$C$37))*Assumptions!$P$8),(SUM($P$36:OFFSET(CF36,0,-$C$37))*Assumptions!$P$8)*(1+CF33))</f>
        <v>3715.7214252854369</v>
      </c>
      <c r="CG38" s="202">
        <f ca="1">IF(CF82=0,0,1)*IF(CG11=1,(SUM($P$36:OFFSET(CG36,0,-$C$37))*Assumptions!$P$8),(SUM($P$36:OFFSET(CG36,0,-$C$37))*Assumptions!$P$8)*(1+CG33))</f>
        <v>3715.7214252854369</v>
      </c>
      <c r="CH38" s="202">
        <f ca="1">IF(CG82=0,0,1)*IF(CH11=1,(SUM($P$36:OFFSET(CH36,0,-$C$37))*Assumptions!$P$8),(SUM($P$36:OFFSET(CH36,0,-$C$37))*Assumptions!$P$8)*(1+CH33))</f>
        <v>3715.7214252854369</v>
      </c>
      <c r="CI38" s="202">
        <f ca="1">IF(CH82=0,0,1)*IF(CI11=1,(SUM($P$36:OFFSET(CI36,0,-$C$37))*Assumptions!$P$8),(SUM($P$36:OFFSET(CI36,0,-$C$37))*Assumptions!$P$8)*(1+CI33))</f>
        <v>3715.7214252854369</v>
      </c>
      <c r="CJ38" s="202">
        <f ca="1">IF(CI82=0,0,1)*IF(CJ11=1,(SUM($P$36:OFFSET(CJ36,0,-$C$37))*Assumptions!$P$8),(SUM($P$36:OFFSET(CJ36,0,-$C$37))*Assumptions!$P$8)*(1+CJ33))</f>
        <v>3827.1930680440005</v>
      </c>
      <c r="CK38" s="202">
        <f ca="1">IF(CJ82=0,0,1)*IF(CK11=1,(SUM($P$36:OFFSET(CK36,0,-$C$37))*Assumptions!$P$8),(SUM($P$36:OFFSET(CK36,0,-$C$37))*Assumptions!$P$8)*(1+CK33))</f>
        <v>3827.1930680440005</v>
      </c>
      <c r="CL38" s="202">
        <f ca="1">IF(CK82=0,0,1)*IF(CL11=1,(SUM($P$36:OFFSET(CL36,0,-$C$37))*Assumptions!$P$8),(SUM($P$36:OFFSET(CL36,0,-$C$37))*Assumptions!$P$8)*(1+CL33))</f>
        <v>3827.1930680440005</v>
      </c>
      <c r="CM38" s="202">
        <f ca="1">IF(CL82=0,0,1)*IF(CM11=1,(SUM($P$36:OFFSET(CM36,0,-$C$37))*Assumptions!$P$8),(SUM($P$36:OFFSET(CM36,0,-$C$37))*Assumptions!$P$8)*(1+CM33))</f>
        <v>3827.1930680440005</v>
      </c>
      <c r="CN38" s="202">
        <f ca="1">IF(CM82=0,0,1)*IF(CN11=1,(SUM($P$36:OFFSET(CN36,0,-$C$37))*Assumptions!$P$8),(SUM($P$36:OFFSET(CN36,0,-$C$37))*Assumptions!$P$8)*(1+CN33))</f>
        <v>3827.1930680440005</v>
      </c>
      <c r="CO38" s="202">
        <f ca="1">IF(CN82=0,0,1)*IF(CO11=1,(SUM($P$36:OFFSET(CO36,0,-$C$37))*Assumptions!$P$8),(SUM($P$36:OFFSET(CO36,0,-$C$37))*Assumptions!$P$8)*(1+CO33))</f>
        <v>3827.1930680440005</v>
      </c>
      <c r="CP38" s="202">
        <f ca="1">IF(CO82=0,0,1)*IF(CP11=1,(SUM($P$36:OFFSET(CP36,0,-$C$37))*Assumptions!$P$8),(SUM($P$36:OFFSET(CP36,0,-$C$37))*Assumptions!$P$8)*(1+CP33))</f>
        <v>3827.1930680440005</v>
      </c>
      <c r="CQ38" s="202">
        <f ca="1">IF(CP82=0,0,1)*IF(CQ11=1,(SUM($P$36:OFFSET(CQ36,0,-$C$37))*Assumptions!$P$8),(SUM($P$36:OFFSET(CQ36,0,-$C$37))*Assumptions!$P$8)*(1+CQ33))</f>
        <v>3827.1930680440005</v>
      </c>
      <c r="CR38" s="202">
        <f ca="1">IF(CQ82=0,0,1)*IF(CR11=1,(SUM($P$36:OFFSET(CR36,0,-$C$37))*Assumptions!$P$8),(SUM($P$36:OFFSET(CR36,0,-$C$37))*Assumptions!$P$8)*(1+CR33))</f>
        <v>3827.1930680440005</v>
      </c>
      <c r="CS38" s="202">
        <f ca="1">IF(CR82=0,0,1)*IF(CS11=1,(SUM($P$36:OFFSET(CS36,0,-$C$37))*Assumptions!$P$8),(SUM($P$36:OFFSET(CS36,0,-$C$37))*Assumptions!$P$8)*(1+CS33))</f>
        <v>3827.1930680440005</v>
      </c>
      <c r="CT38" s="202">
        <f ca="1">IF(CS82=0,0,1)*IF(CT11=1,(SUM($P$36:OFFSET(CT36,0,-$C$37))*Assumptions!$P$8),(SUM($P$36:OFFSET(CT36,0,-$C$37))*Assumptions!$P$8)*(1+CT33))</f>
        <v>3827.1930680440005</v>
      </c>
      <c r="CU38" s="202">
        <f ca="1">IF(CT82=0,0,1)*IF(CU11=1,(SUM($P$36:OFFSET(CU36,0,-$C$37))*Assumptions!$P$8),(SUM($P$36:OFFSET(CU36,0,-$C$37))*Assumptions!$P$8)*(1+CU33))</f>
        <v>3827.1930680440005</v>
      </c>
      <c r="CV38" s="202">
        <f ca="1">IF(CU82=0,0,1)*IF(CV11=1,(SUM($P$36:OFFSET(CV36,0,-$C$37))*Assumptions!$P$8),(SUM($P$36:OFFSET(CV36,0,-$C$37))*Assumptions!$P$8)*(1+CV33))</f>
        <v>3942.0088600853201</v>
      </c>
      <c r="CW38" s="202">
        <f ca="1">IF(CV82=0,0,1)*IF(CW11=1,(SUM($P$36:OFFSET(CW36,0,-$C$37))*Assumptions!$P$8),(SUM($P$36:OFFSET(CW36,0,-$C$37))*Assumptions!$P$8)*(1+CW33))</f>
        <v>3942.0088600853201</v>
      </c>
      <c r="CX38" s="202">
        <f ca="1">IF(CW82=0,0,1)*IF(CX11=1,(SUM($P$36:OFFSET(CX36,0,-$C$37))*Assumptions!$P$8),(SUM($P$36:OFFSET(CX36,0,-$C$37))*Assumptions!$P$8)*(1+CX33))</f>
        <v>3942.0088600853201</v>
      </c>
      <c r="CY38" s="202">
        <f ca="1">IF(CX82=0,0,1)*IF(CY11=1,(SUM($P$36:OFFSET(CY36,0,-$C$37))*Assumptions!$P$8),(SUM($P$36:OFFSET(CY36,0,-$C$37))*Assumptions!$P$8)*(1+CY33))</f>
        <v>3942.0088600853201</v>
      </c>
      <c r="CZ38" s="202">
        <f ca="1">IF(CY82=0,0,1)*IF(CZ11=1,(SUM($P$36:OFFSET(CZ36,0,-$C$37))*Assumptions!$P$8),(SUM($P$36:OFFSET(CZ36,0,-$C$37))*Assumptions!$P$8)*(1+CZ33))</f>
        <v>3942.0088600853201</v>
      </c>
      <c r="DA38" s="202">
        <f ca="1">IF(CZ82=0,0,1)*IF(DA11=1,(SUM($P$36:OFFSET(DA36,0,-$C$37))*Assumptions!$P$8),(SUM($P$36:OFFSET(DA36,0,-$C$37))*Assumptions!$P$8)*(1+DA33))</f>
        <v>3942.0088600853201</v>
      </c>
      <c r="DB38" s="202">
        <f ca="1">IF(DA82=0,0,1)*IF(DB11=1,(SUM($P$36:OFFSET(DB36,0,-$C$37))*Assumptions!$P$8),(SUM($P$36:OFFSET(DB36,0,-$C$37))*Assumptions!$P$8)*(1+DB33))</f>
        <v>3942.0088600853201</v>
      </c>
      <c r="DC38" s="202">
        <f ca="1">IF(DB82=0,0,1)*IF(DC11=1,(SUM($P$36:OFFSET(DC36,0,-$C$37))*Assumptions!$P$8),(SUM($P$36:OFFSET(DC36,0,-$C$37))*Assumptions!$P$8)*(1+DC33))</f>
        <v>3942.0088600853201</v>
      </c>
      <c r="DD38" s="202">
        <f ca="1">IF(DC82=0,0,1)*IF(DD11=1,(SUM($P$36:OFFSET(DD36,0,-$C$37))*Assumptions!$P$8),(SUM($P$36:OFFSET(DD36,0,-$C$37))*Assumptions!$P$8)*(1+DD33))</f>
        <v>3942.0088600853201</v>
      </c>
      <c r="DE38" s="202">
        <f ca="1">IF(DD82=0,0,1)*IF(DE11=1,(SUM($P$36:OFFSET(DE36,0,-$C$37))*Assumptions!$P$8),(SUM($P$36:OFFSET(DE36,0,-$C$37))*Assumptions!$P$8)*(1+DE33))</f>
        <v>3942.0088600853201</v>
      </c>
      <c r="DF38" s="202">
        <f ca="1">IF(DE82=0,0,1)*IF(DF11=1,(SUM($P$36:OFFSET(DF36,0,-$C$37))*Assumptions!$P$8),(SUM($P$36:OFFSET(DF36,0,-$C$37))*Assumptions!$P$8)*(1+DF33))</f>
        <v>3942.0088600853201</v>
      </c>
      <c r="DG38" s="202">
        <f ca="1">IF(DF82=0,0,1)*IF(DG11=1,(SUM($P$36:OFFSET(DG36,0,-$C$37))*Assumptions!$P$8),(SUM($P$36:OFFSET(DG36,0,-$C$37))*Assumptions!$P$8)*(1+DG33))</f>
        <v>3942.0088600853201</v>
      </c>
      <c r="DH38" s="202">
        <f ca="1">IF(DG82=0,0,1)*IF(DH11=1,(SUM($P$36:OFFSET(DH36,0,-$C$37))*Assumptions!$P$8),(SUM($P$36:OFFSET(DH36,0,-$C$37))*Assumptions!$P$8)*(1+DH33))</f>
        <v>4060.2691258878804</v>
      </c>
      <c r="DI38" s="202">
        <f ca="1">IF(DH82=0,0,1)*IF(DI11=1,(SUM($P$36:OFFSET(DI36,0,-$C$37))*Assumptions!$P$8),(SUM($P$36:OFFSET(DI36,0,-$C$37))*Assumptions!$P$8)*(1+DI33))</f>
        <v>4060.2691258878804</v>
      </c>
      <c r="DJ38" s="202">
        <f ca="1">IF(DI82=0,0,1)*IF(DJ11=1,(SUM($P$36:OFFSET(DJ36,0,-$C$37))*Assumptions!$P$8),(SUM($P$36:OFFSET(DJ36,0,-$C$37))*Assumptions!$P$8)*(1+DJ33))</f>
        <v>0</v>
      </c>
      <c r="DK38" s="202">
        <f ca="1">IF(DJ82=0,0,1)*IF(DK11=1,(SUM($P$36:OFFSET(DK36,0,-$C$37))*Assumptions!$P$8),(SUM($P$36:OFFSET(DK36,0,-$C$37))*Assumptions!$P$8)*(1+DK33))</f>
        <v>0</v>
      </c>
      <c r="DL38" s="202">
        <f ca="1">IF(DK82=0,0,1)*IF(DL11=1,(SUM($P$36:OFFSET(DL36,0,-$C$37))*Assumptions!$P$8),(SUM($P$36:OFFSET(DL36,0,-$C$37))*Assumptions!$P$8)*(1+DL33))</f>
        <v>0</v>
      </c>
      <c r="DM38" s="202">
        <f ca="1">IF(DL82=0,0,1)*IF(DM11=1,(SUM($P$36:OFFSET(DM36,0,-$C$37))*Assumptions!$P$8),(SUM($P$36:OFFSET(DM36,0,-$C$37))*Assumptions!$P$8)*(1+DM33))</f>
        <v>0</v>
      </c>
      <c r="DN38" s="202">
        <f ca="1">IF(DM82=0,0,1)*IF(DN11=1,(SUM($P$36:OFFSET(DN36,0,-$C$37))*Assumptions!$P$8),(SUM($P$36:OFFSET(DN36,0,-$C$37))*Assumptions!$P$8)*(1+DN33))</f>
        <v>0</v>
      </c>
      <c r="DO38" s="202">
        <f ca="1">IF(DN82=0,0,1)*IF(DO11=1,(SUM($P$36:OFFSET(DO36,0,-$C$37))*Assumptions!$P$8),(SUM($P$36:OFFSET(DO36,0,-$C$37))*Assumptions!$P$8)*(1+DO33))</f>
        <v>0</v>
      </c>
      <c r="DP38" s="202">
        <f ca="1">IF(DO82=0,0,1)*IF(DP11=1,(SUM($P$36:OFFSET(DP36,0,-$C$37))*Assumptions!$P$8),(SUM($P$36:OFFSET(DP36,0,-$C$37))*Assumptions!$P$8)*(1+DP33))</f>
        <v>0</v>
      </c>
      <c r="DQ38" s="202">
        <f ca="1">IF(DP82=0,0,1)*IF(DQ11=1,(SUM($P$36:OFFSET(DQ36,0,-$C$37))*Assumptions!$P$8),(SUM($P$36:OFFSET(DQ36,0,-$C$37))*Assumptions!$P$8)*(1+DQ33))</f>
        <v>0</v>
      </c>
      <c r="DR38" s="202">
        <f ca="1">IF(DQ82=0,0,1)*IF(DR11=1,(SUM($P$36:OFFSET(DR36,0,-$C$37))*Assumptions!$P$8),(SUM($P$36:OFFSET(DR36,0,-$C$37))*Assumptions!$P$8)*(1+DR33))</f>
        <v>0</v>
      </c>
      <c r="DS38" s="202">
        <f ca="1">IF(DR82=0,0,1)*IF(DS11=1,(SUM($P$36:OFFSET(DS36,0,-$C$37))*Assumptions!$P$8),(SUM($P$36:OFFSET(DS36,0,-$C$37))*Assumptions!$P$8)*(1+DS33))</f>
        <v>0</v>
      </c>
      <c r="DT38" s="202">
        <f ca="1">IF(DS82=0,0,1)*IF(DT11=1,(SUM($P$36:OFFSET(DT36,0,-$C$37))*Assumptions!$P$8),(SUM($P$36:OFFSET(DT36,0,-$C$37))*Assumptions!$P$8)*(1+DT33))</f>
        <v>0</v>
      </c>
      <c r="DU38" s="202">
        <f ca="1">IF(DT82=0,0,1)*IF(DU11=1,(SUM($P$36:OFFSET(DU36,0,-$C$37))*Assumptions!$P$8),(SUM($P$36:OFFSET(DU36,0,-$C$37))*Assumptions!$P$8)*(1+DU33))</f>
        <v>0</v>
      </c>
      <c r="DV38" s="202">
        <f ca="1">IF(DU82=0,0,1)*IF(DV11=1,(SUM($P$36:OFFSET(DV36,0,-$C$37))*Assumptions!$P$8),(SUM($P$36:OFFSET(DV36,0,-$C$37))*Assumptions!$P$8)*(1+DV33))</f>
        <v>0</v>
      </c>
      <c r="DW38" s="202">
        <f ca="1">IF(DV82=0,0,1)*IF(DW11=1,(SUM($P$36:OFFSET(DW36,0,-$C$37))*Assumptions!$P$8),(SUM($P$36:OFFSET(DW36,0,-$C$37))*Assumptions!$P$8)*(1+DW33))</f>
        <v>0</v>
      </c>
      <c r="DX38" s="202">
        <f ca="1">IF(DW82=0,0,1)*IF(DX11=1,(SUM($P$36:OFFSET(DX36,0,-$C$37))*Assumptions!$P$8),(SUM($P$36:OFFSET(DX36,0,-$C$37))*Assumptions!$P$8)*(1+DX33))</f>
        <v>0</v>
      </c>
      <c r="DY38" s="202">
        <f ca="1">IF(DX82=0,0,1)*IF(DY11=1,(SUM($P$36:OFFSET(DY36,0,-$C$37))*Assumptions!$P$8),(SUM($P$36:OFFSET(DY36,0,-$C$37))*Assumptions!$P$8)*(1+DY33))</f>
        <v>0</v>
      </c>
      <c r="DZ38" s="202">
        <f ca="1">IF(DY82=0,0,1)*IF(DZ11=1,(SUM($P$36:OFFSET(DZ36,0,-$C$37))*Assumptions!$P$8),(SUM($P$36:OFFSET(DZ36,0,-$C$37))*Assumptions!$P$8)*(1+DZ33))</f>
        <v>0</v>
      </c>
      <c r="EA38" s="202">
        <f ca="1">IF(DZ82=0,0,1)*IF(EA11=1,(SUM($P$36:OFFSET(EA36,0,-$C$37))*Assumptions!$P$8),(SUM($P$36:OFFSET(EA36,0,-$C$37))*Assumptions!$P$8)*(1+EA33))</f>
        <v>0</v>
      </c>
      <c r="EB38" s="202">
        <f ca="1">IF(EA82=0,0,1)*IF(EB11=1,(SUM($P$36:OFFSET(EB36,0,-$C$37))*Assumptions!$P$8),(SUM($P$36:OFFSET(EB36,0,-$C$37))*Assumptions!$P$8)*(1+EB33))</f>
        <v>0</v>
      </c>
      <c r="EC38" s="202">
        <f ca="1">IF(EB82=0,0,1)*IF(EC11=1,(SUM($P$36:OFFSET(EC36,0,-$C$37))*Assumptions!$P$8),(SUM($P$36:OFFSET(EC36,0,-$C$37))*Assumptions!$P$8)*(1+EC33))</f>
        <v>0</v>
      </c>
      <c r="ED38" s="202">
        <f ca="1">IF(EC82=0,0,1)*IF(ED11=1,(SUM($P$36:OFFSET(ED36,0,-$C$37))*Assumptions!$P$8),(SUM($P$36:OFFSET(ED36,0,-$C$37))*Assumptions!$P$8)*(1+ED33))</f>
        <v>0</v>
      </c>
      <c r="EE38" s="202">
        <f ca="1">IF(ED82=0,0,1)*IF(EE11=1,(SUM($P$36:OFFSET(EE36,0,-$C$37))*Assumptions!$P$8),(SUM($P$36:OFFSET(EE36,0,-$C$37))*Assumptions!$P$8)*(1+EE33))</f>
        <v>0</v>
      </c>
      <c r="EF38" s="202">
        <f ca="1">IF(EE82=0,0,1)*IF(EF11=1,(SUM($P$36:OFFSET(EF36,0,-$C$37))*Assumptions!$P$8),(SUM($P$36:OFFSET(EF36,0,-$C$37))*Assumptions!$P$8)*(1+EF33))</f>
        <v>0</v>
      </c>
      <c r="EG38" s="202">
        <f ca="1">IF(EF82=0,0,1)*IF(EG11=1,(SUM($P$36:OFFSET(EG36,0,-$C$37))*Assumptions!$P$8),(SUM($P$36:OFFSET(EG36,0,-$C$37))*Assumptions!$P$8)*(1+EG33))</f>
        <v>0</v>
      </c>
      <c r="EH38" s="202">
        <f ca="1">IF(EG82=0,0,1)*IF(EH11=1,(SUM($P$36:OFFSET(EH36,0,-$C$37))*Assumptions!$P$8),(SUM($P$36:OFFSET(EH36,0,-$C$37))*Assumptions!$P$8)*(1+EH33))</f>
        <v>0</v>
      </c>
      <c r="EI38" s="202">
        <f ca="1">IF(EH82=0,0,1)*IF(EI11=1,(SUM($P$36:OFFSET(EI36,0,-$C$37))*Assumptions!$P$8),(SUM($P$36:OFFSET(EI36,0,-$C$37))*Assumptions!$P$8)*(1+EI33))</f>
        <v>0</v>
      </c>
      <c r="EJ38" s="202">
        <f ca="1">IF(EI82=0,0,1)*IF(EJ11=1,(SUM($P$36:OFFSET(EJ36,0,-$C$37))*Assumptions!$P$8),(SUM($P$36:OFFSET(EJ36,0,-$C$37))*Assumptions!$P$8)*(1+EJ33))</f>
        <v>0</v>
      </c>
      <c r="EK38" s="202">
        <f ca="1">IF(EJ82=0,0,1)*IF(EK11=1,(SUM($P$36:OFFSET(EK36,0,-$C$37))*Assumptions!$P$8),(SUM($P$36:OFFSET(EK36,0,-$C$37))*Assumptions!$P$8)*(1+EK33))</f>
        <v>0</v>
      </c>
      <c r="EL38" s="202">
        <f ca="1">IF(EK82=0,0,1)*IF(EL11=1,(SUM($P$36:OFFSET(EL36,0,-$C$37))*Assumptions!$P$8),(SUM($P$36:OFFSET(EL36,0,-$C$37))*Assumptions!$P$8)*(1+EL33))</f>
        <v>0</v>
      </c>
      <c r="EM38" s="202">
        <f ca="1">IF(EL82=0,0,1)*IF(EM11=1,(SUM($P$36:OFFSET(EM36,0,-$C$37))*Assumptions!$P$8),(SUM($P$36:OFFSET(EM36,0,-$C$37))*Assumptions!$P$8)*(1+EM33))</f>
        <v>0</v>
      </c>
      <c r="EN38" s="202">
        <f ca="1">IF(EM82=0,0,1)*IF(EN11=1,(SUM($P$36:OFFSET(EN36,0,-$C$37))*Assumptions!$P$8),(SUM($P$36:OFFSET(EN36,0,-$C$37))*Assumptions!$P$8)*(1+EN33))</f>
        <v>0</v>
      </c>
      <c r="EO38" s="202">
        <f ca="1">IF(EN82=0,0,1)*IF(EO11=1,(SUM($P$36:OFFSET(EO36,0,-$C$37))*Assumptions!$P$8),(SUM($P$36:OFFSET(EO36,0,-$C$37))*Assumptions!$P$8)*(1+EO33))</f>
        <v>0</v>
      </c>
      <c r="EP38" s="202">
        <f ca="1">IF(EO82=0,0,1)*IF(EP11=1,(SUM($P$36:OFFSET(EP36,0,-$C$37))*Assumptions!$P$8),(SUM($P$36:OFFSET(EP36,0,-$C$37))*Assumptions!$P$8)*(1+EP33))</f>
        <v>0</v>
      </c>
      <c r="EQ38" s="202">
        <f ca="1">IF(EP82=0,0,1)*IF(EQ11=1,(SUM($P$36:OFFSET(EQ36,0,-$C$37))*Assumptions!$P$8),(SUM($P$36:OFFSET(EQ36,0,-$C$37))*Assumptions!$P$8)*(1+EQ33))</f>
        <v>0</v>
      </c>
      <c r="ER38" s="194"/>
      <c r="ES38" s="421"/>
      <c r="ET38" s="67"/>
      <c r="EU38" s="195"/>
    </row>
    <row r="39" spans="2:151" s="65" customFormat="1" ht="15.75">
      <c r="G39" s="482"/>
      <c r="H39" s="492" t="s">
        <v>49</v>
      </c>
      <c r="I39" s="184"/>
      <c r="J39" s="491"/>
      <c r="K39" s="192"/>
      <c r="L39" s="193"/>
      <c r="M39" s="193"/>
      <c r="N39" s="216">
        <f>SUM(N38:N38)</f>
        <v>0</v>
      </c>
      <c r="O39" s="777"/>
      <c r="P39" s="140">
        <f t="shared" ref="P39:AU39" ca="1" si="40">SUM(P38:P38)</f>
        <v>0</v>
      </c>
      <c r="Q39" s="140">
        <f t="shared" ca="1" si="40"/>
        <v>0</v>
      </c>
      <c r="R39" s="140">
        <f t="shared" ca="1" si="40"/>
        <v>0</v>
      </c>
      <c r="S39" s="140">
        <f t="shared" ca="1" si="40"/>
        <v>0</v>
      </c>
      <c r="T39" s="140">
        <f t="shared" ca="1" si="40"/>
        <v>100</v>
      </c>
      <c r="U39" s="140">
        <f t="shared" ca="1" si="40"/>
        <v>500</v>
      </c>
      <c r="V39" s="140">
        <f t="shared" ca="1" si="40"/>
        <v>1000</v>
      </c>
      <c r="W39" s="140">
        <f t="shared" ca="1" si="40"/>
        <v>1000</v>
      </c>
      <c r="X39" s="140">
        <f t="shared" ca="1" si="40"/>
        <v>1000</v>
      </c>
      <c r="Y39" s="140">
        <f t="shared" ca="1" si="40"/>
        <v>1000</v>
      </c>
      <c r="Z39" s="140">
        <f t="shared" ca="1" si="40"/>
        <v>1000</v>
      </c>
      <c r="AA39" s="140">
        <f t="shared" ca="1" si="40"/>
        <v>1000</v>
      </c>
      <c r="AB39" s="140">
        <f t="shared" ca="1" si="40"/>
        <v>1082.598</v>
      </c>
      <c r="AC39" s="140">
        <f t="shared" ca="1" si="40"/>
        <v>1082.598</v>
      </c>
      <c r="AD39" s="140">
        <f t="shared" ca="1" si="40"/>
        <v>1082.598</v>
      </c>
      <c r="AE39" s="140">
        <f t="shared" ca="1" si="40"/>
        <v>1623.8969999999999</v>
      </c>
      <c r="AF39" s="140">
        <f t="shared" ca="1" si="40"/>
        <v>2165.1959999999999</v>
      </c>
      <c r="AG39" s="140">
        <f t="shared" ca="1" si="40"/>
        <v>2165.1959999999999</v>
      </c>
      <c r="AH39" s="140">
        <f t="shared" ca="1" si="40"/>
        <v>2706.4949999999999</v>
      </c>
      <c r="AI39" s="140">
        <f t="shared" ca="1" si="40"/>
        <v>2706.4949999999999</v>
      </c>
      <c r="AJ39" s="140">
        <f t="shared" ca="1" si="40"/>
        <v>2706.4949999999999</v>
      </c>
      <c r="AK39" s="140">
        <f t="shared" ca="1" si="40"/>
        <v>2706.4949999999999</v>
      </c>
      <c r="AL39" s="140">
        <f t="shared" ca="1" si="40"/>
        <v>2706.4949999999999</v>
      </c>
      <c r="AM39" s="140">
        <f t="shared" ca="1" si="40"/>
        <v>2706.4949999999999</v>
      </c>
      <c r="AN39" s="140">
        <f t="shared" ca="1" si="40"/>
        <v>2833.7002649999999</v>
      </c>
      <c r="AO39" s="140">
        <f t="shared" ca="1" si="40"/>
        <v>2833.7002649999999</v>
      </c>
      <c r="AP39" s="140">
        <f t="shared" ca="1" si="40"/>
        <v>2833.7002649999999</v>
      </c>
      <c r="AQ39" s="140">
        <f t="shared" ca="1" si="40"/>
        <v>2833.7002649999999</v>
      </c>
      <c r="AR39" s="140">
        <f t="shared" ca="1" si="40"/>
        <v>2833.7002649999999</v>
      </c>
      <c r="AS39" s="140">
        <f t="shared" ca="1" si="40"/>
        <v>2833.7002649999999</v>
      </c>
      <c r="AT39" s="140">
        <f t="shared" ca="1" si="40"/>
        <v>3287.0923073999998</v>
      </c>
      <c r="AU39" s="140">
        <f t="shared" ca="1" si="40"/>
        <v>3287.0923073999998</v>
      </c>
      <c r="AV39" s="140">
        <f t="shared" ref="AV39:CA39" ca="1" si="41">SUM(AV38:AV38)</f>
        <v>3400.4403179999999</v>
      </c>
      <c r="AW39" s="140">
        <f t="shared" ca="1" si="41"/>
        <v>3400.4403179999999</v>
      </c>
      <c r="AX39" s="140">
        <f t="shared" ca="1" si="41"/>
        <v>3400.4403179999999</v>
      </c>
      <c r="AY39" s="140">
        <f t="shared" ca="1" si="41"/>
        <v>3400.4403179999999</v>
      </c>
      <c r="AZ39" s="140">
        <f t="shared" ca="1" si="41"/>
        <v>3512.6548484939995</v>
      </c>
      <c r="BA39" s="140">
        <f t="shared" ca="1" si="41"/>
        <v>3512.6548484939995</v>
      </c>
      <c r="BB39" s="140">
        <f t="shared" ca="1" si="41"/>
        <v>3512.6548484939995</v>
      </c>
      <c r="BC39" s="140">
        <f t="shared" ca="1" si="41"/>
        <v>3512.6548484939995</v>
      </c>
      <c r="BD39" s="140">
        <f t="shared" ca="1" si="41"/>
        <v>3512.6548484939995</v>
      </c>
      <c r="BE39" s="140">
        <f t="shared" ca="1" si="41"/>
        <v>3512.6548484939995</v>
      </c>
      <c r="BF39" s="140">
        <f t="shared" ca="1" si="41"/>
        <v>3512.6548484939995</v>
      </c>
      <c r="BG39" s="140">
        <f t="shared" ca="1" si="41"/>
        <v>3512.6548484939995</v>
      </c>
      <c r="BH39" s="140">
        <f t="shared" ca="1" si="41"/>
        <v>3512.6548484939995</v>
      </c>
      <c r="BI39" s="140">
        <f t="shared" ca="1" si="41"/>
        <v>3512.6548484939995</v>
      </c>
      <c r="BJ39" s="140">
        <f t="shared" ca="1" si="41"/>
        <v>3512.6548484939995</v>
      </c>
      <c r="BK39" s="140">
        <f t="shared" ca="1" si="41"/>
        <v>3512.6548484939995</v>
      </c>
      <c r="BL39" s="140">
        <f t="shared" ca="1" si="41"/>
        <v>3607.4965294033368</v>
      </c>
      <c r="BM39" s="140">
        <f t="shared" ca="1" si="41"/>
        <v>3607.4965294033368</v>
      </c>
      <c r="BN39" s="140">
        <f t="shared" ca="1" si="41"/>
        <v>3607.4965294033368</v>
      </c>
      <c r="BO39" s="140">
        <f t="shared" ca="1" si="41"/>
        <v>3607.4965294033368</v>
      </c>
      <c r="BP39" s="140">
        <f t="shared" ca="1" si="41"/>
        <v>3607.4965294033368</v>
      </c>
      <c r="BQ39" s="140">
        <f t="shared" ca="1" si="41"/>
        <v>3607.4965294033368</v>
      </c>
      <c r="BR39" s="140">
        <f t="shared" ca="1" si="41"/>
        <v>3607.4965294033368</v>
      </c>
      <c r="BS39" s="140">
        <f t="shared" ca="1" si="41"/>
        <v>3607.4965294033368</v>
      </c>
      <c r="BT39" s="140">
        <f t="shared" ca="1" si="41"/>
        <v>3607.4965294033368</v>
      </c>
      <c r="BU39" s="140">
        <f t="shared" ca="1" si="41"/>
        <v>3607.4965294033368</v>
      </c>
      <c r="BV39" s="140">
        <f t="shared" ca="1" si="41"/>
        <v>3607.4965294033368</v>
      </c>
      <c r="BW39" s="140">
        <f t="shared" ca="1" si="41"/>
        <v>3607.4965294033368</v>
      </c>
      <c r="BX39" s="140">
        <f t="shared" ca="1" si="41"/>
        <v>3715.7214252854369</v>
      </c>
      <c r="BY39" s="140">
        <f t="shared" ca="1" si="41"/>
        <v>3715.7214252854369</v>
      </c>
      <c r="BZ39" s="140">
        <f t="shared" ca="1" si="41"/>
        <v>3715.7214252854369</v>
      </c>
      <c r="CA39" s="140">
        <f t="shared" ca="1" si="41"/>
        <v>3715.7214252854369</v>
      </c>
      <c r="CB39" s="140">
        <f t="shared" ref="CB39:DG39" ca="1" si="42">SUM(CB38:CB38)</f>
        <v>3715.7214252854369</v>
      </c>
      <c r="CC39" s="140">
        <f t="shared" ca="1" si="42"/>
        <v>3715.7214252854369</v>
      </c>
      <c r="CD39" s="140">
        <f t="shared" ca="1" si="42"/>
        <v>3715.7214252854369</v>
      </c>
      <c r="CE39" s="140">
        <f t="shared" ca="1" si="42"/>
        <v>3715.7214252854369</v>
      </c>
      <c r="CF39" s="140">
        <f t="shared" ca="1" si="42"/>
        <v>3715.7214252854369</v>
      </c>
      <c r="CG39" s="140">
        <f t="shared" ca="1" si="42"/>
        <v>3715.7214252854369</v>
      </c>
      <c r="CH39" s="140">
        <f t="shared" ca="1" si="42"/>
        <v>3715.7214252854369</v>
      </c>
      <c r="CI39" s="140">
        <f t="shared" ca="1" si="42"/>
        <v>3715.7214252854369</v>
      </c>
      <c r="CJ39" s="140">
        <f t="shared" ca="1" si="42"/>
        <v>3827.1930680440005</v>
      </c>
      <c r="CK39" s="140">
        <f t="shared" ca="1" si="42"/>
        <v>3827.1930680440005</v>
      </c>
      <c r="CL39" s="140">
        <f t="shared" ca="1" si="42"/>
        <v>3827.1930680440005</v>
      </c>
      <c r="CM39" s="140">
        <f t="shared" ca="1" si="42"/>
        <v>3827.1930680440005</v>
      </c>
      <c r="CN39" s="140">
        <f t="shared" ca="1" si="42"/>
        <v>3827.1930680440005</v>
      </c>
      <c r="CO39" s="140">
        <f t="shared" ca="1" si="42"/>
        <v>3827.1930680440005</v>
      </c>
      <c r="CP39" s="140">
        <f t="shared" ca="1" si="42"/>
        <v>3827.1930680440005</v>
      </c>
      <c r="CQ39" s="140">
        <f t="shared" ca="1" si="42"/>
        <v>3827.1930680440005</v>
      </c>
      <c r="CR39" s="140">
        <f t="shared" ca="1" si="42"/>
        <v>3827.1930680440005</v>
      </c>
      <c r="CS39" s="140">
        <f t="shared" ca="1" si="42"/>
        <v>3827.1930680440005</v>
      </c>
      <c r="CT39" s="140">
        <f t="shared" ca="1" si="42"/>
        <v>3827.1930680440005</v>
      </c>
      <c r="CU39" s="140">
        <f t="shared" ca="1" si="42"/>
        <v>3827.1930680440005</v>
      </c>
      <c r="CV39" s="140">
        <f t="shared" ca="1" si="42"/>
        <v>3942.0088600853201</v>
      </c>
      <c r="CW39" s="140">
        <f t="shared" ca="1" si="42"/>
        <v>3942.0088600853201</v>
      </c>
      <c r="CX39" s="140">
        <f t="shared" ca="1" si="42"/>
        <v>3942.0088600853201</v>
      </c>
      <c r="CY39" s="140">
        <f t="shared" ca="1" si="42"/>
        <v>3942.0088600853201</v>
      </c>
      <c r="CZ39" s="140">
        <f t="shared" ca="1" si="42"/>
        <v>3942.0088600853201</v>
      </c>
      <c r="DA39" s="140">
        <f t="shared" ca="1" si="42"/>
        <v>3942.0088600853201</v>
      </c>
      <c r="DB39" s="140">
        <f t="shared" ca="1" si="42"/>
        <v>3942.0088600853201</v>
      </c>
      <c r="DC39" s="140">
        <f t="shared" ca="1" si="42"/>
        <v>3942.0088600853201</v>
      </c>
      <c r="DD39" s="140">
        <f t="shared" ca="1" si="42"/>
        <v>3942.0088600853201</v>
      </c>
      <c r="DE39" s="140">
        <f t="shared" ca="1" si="42"/>
        <v>3942.0088600853201</v>
      </c>
      <c r="DF39" s="140">
        <f t="shared" ca="1" si="42"/>
        <v>3942.0088600853201</v>
      </c>
      <c r="DG39" s="140">
        <f t="shared" ca="1" si="42"/>
        <v>3942.0088600853201</v>
      </c>
      <c r="DH39" s="140">
        <f t="shared" ref="DH39:EM39" ca="1" si="43">SUM(DH38:DH38)</f>
        <v>4060.2691258878804</v>
      </c>
      <c r="DI39" s="140">
        <f t="shared" ca="1" si="43"/>
        <v>4060.2691258878804</v>
      </c>
      <c r="DJ39" s="140">
        <f t="shared" ca="1" si="43"/>
        <v>0</v>
      </c>
      <c r="DK39" s="140">
        <f t="shared" ca="1" si="43"/>
        <v>0</v>
      </c>
      <c r="DL39" s="140">
        <f t="shared" ca="1" si="43"/>
        <v>0</v>
      </c>
      <c r="DM39" s="140">
        <f t="shared" ca="1" si="43"/>
        <v>0</v>
      </c>
      <c r="DN39" s="140">
        <f t="shared" ca="1" si="43"/>
        <v>0</v>
      </c>
      <c r="DO39" s="140">
        <f t="shared" ca="1" si="43"/>
        <v>0</v>
      </c>
      <c r="DP39" s="140">
        <f t="shared" ca="1" si="43"/>
        <v>0</v>
      </c>
      <c r="DQ39" s="140">
        <f t="shared" ca="1" si="43"/>
        <v>0</v>
      </c>
      <c r="DR39" s="140">
        <f t="shared" ca="1" si="43"/>
        <v>0</v>
      </c>
      <c r="DS39" s="140">
        <f t="shared" ca="1" si="43"/>
        <v>0</v>
      </c>
      <c r="DT39" s="140">
        <f t="shared" ca="1" si="43"/>
        <v>0</v>
      </c>
      <c r="DU39" s="140">
        <f t="shared" ca="1" si="43"/>
        <v>0</v>
      </c>
      <c r="DV39" s="140">
        <f t="shared" ca="1" si="43"/>
        <v>0</v>
      </c>
      <c r="DW39" s="140">
        <f t="shared" ca="1" si="43"/>
        <v>0</v>
      </c>
      <c r="DX39" s="140">
        <f t="shared" ca="1" si="43"/>
        <v>0</v>
      </c>
      <c r="DY39" s="140">
        <f t="shared" ca="1" si="43"/>
        <v>0</v>
      </c>
      <c r="DZ39" s="140">
        <f t="shared" ca="1" si="43"/>
        <v>0</v>
      </c>
      <c r="EA39" s="140">
        <f t="shared" ca="1" si="43"/>
        <v>0</v>
      </c>
      <c r="EB39" s="140">
        <f t="shared" ca="1" si="43"/>
        <v>0</v>
      </c>
      <c r="EC39" s="140">
        <f t="shared" ca="1" si="43"/>
        <v>0</v>
      </c>
      <c r="ED39" s="140">
        <f t="shared" ca="1" si="43"/>
        <v>0</v>
      </c>
      <c r="EE39" s="140">
        <f t="shared" ca="1" si="43"/>
        <v>0</v>
      </c>
      <c r="EF39" s="140">
        <f t="shared" ca="1" si="43"/>
        <v>0</v>
      </c>
      <c r="EG39" s="140">
        <f t="shared" ca="1" si="43"/>
        <v>0</v>
      </c>
      <c r="EH39" s="140">
        <f t="shared" ca="1" si="43"/>
        <v>0</v>
      </c>
      <c r="EI39" s="140">
        <f t="shared" ca="1" si="43"/>
        <v>0</v>
      </c>
      <c r="EJ39" s="140">
        <f t="shared" ca="1" si="43"/>
        <v>0</v>
      </c>
      <c r="EK39" s="140">
        <f t="shared" ca="1" si="43"/>
        <v>0</v>
      </c>
      <c r="EL39" s="140">
        <f t="shared" ca="1" si="43"/>
        <v>0</v>
      </c>
      <c r="EM39" s="140">
        <f t="shared" ca="1" si="43"/>
        <v>0</v>
      </c>
      <c r="EN39" s="140">
        <f t="shared" ref="EN39:EQ39" ca="1" si="44">SUM(EN38:EN38)</f>
        <v>0</v>
      </c>
      <c r="EO39" s="140">
        <f t="shared" ca="1" si="44"/>
        <v>0</v>
      </c>
      <c r="EP39" s="140">
        <f t="shared" ca="1" si="44"/>
        <v>0</v>
      </c>
      <c r="EQ39" s="140">
        <f t="shared" ca="1" si="44"/>
        <v>0</v>
      </c>
      <c r="ES39" s="421"/>
      <c r="ET39" s="67"/>
      <c r="EU39" s="195"/>
    </row>
    <row r="40" spans="2:151" s="65" customFormat="1" ht="15.75">
      <c r="G40" s="482"/>
      <c r="H40" s="492" t="s">
        <v>130</v>
      </c>
      <c r="I40" s="184"/>
      <c r="J40" s="491"/>
      <c r="K40" s="192"/>
      <c r="L40" s="193"/>
      <c r="M40" s="193"/>
      <c r="N40" s="216">
        <f>'Annual Cash Flow'!C18</f>
        <v>0</v>
      </c>
      <c r="O40" s="777"/>
      <c r="P40" s="140">
        <f>N40/12</f>
        <v>0</v>
      </c>
      <c r="Q40" s="115">
        <f t="shared" ref="Q40:AV40" ca="1" si="45">IF(P82=0,0,1)*IF(Q11=1,$P$40,($P$40*(1+Q33)))</f>
        <v>0</v>
      </c>
      <c r="R40" s="115">
        <f t="shared" ca="1" si="45"/>
        <v>0</v>
      </c>
      <c r="S40" s="115">
        <f t="shared" ca="1" si="45"/>
        <v>0</v>
      </c>
      <c r="T40" s="115">
        <f t="shared" ca="1" si="45"/>
        <v>0</v>
      </c>
      <c r="U40" s="115">
        <f t="shared" ca="1" si="45"/>
        <v>0</v>
      </c>
      <c r="V40" s="115">
        <f t="shared" ca="1" si="45"/>
        <v>0</v>
      </c>
      <c r="W40" s="115">
        <f t="shared" ca="1" si="45"/>
        <v>0</v>
      </c>
      <c r="X40" s="115">
        <f t="shared" ca="1" si="45"/>
        <v>0</v>
      </c>
      <c r="Y40" s="115">
        <f t="shared" ca="1" si="45"/>
        <v>0</v>
      </c>
      <c r="Z40" s="115">
        <f t="shared" ca="1" si="45"/>
        <v>0</v>
      </c>
      <c r="AA40" s="115">
        <f t="shared" ca="1" si="45"/>
        <v>0</v>
      </c>
      <c r="AB40" s="115">
        <f t="shared" ca="1" si="45"/>
        <v>0</v>
      </c>
      <c r="AC40" s="115">
        <f t="shared" ca="1" si="45"/>
        <v>0</v>
      </c>
      <c r="AD40" s="115">
        <f t="shared" ca="1" si="45"/>
        <v>0</v>
      </c>
      <c r="AE40" s="115">
        <f t="shared" ca="1" si="45"/>
        <v>0</v>
      </c>
      <c r="AF40" s="115">
        <f t="shared" ca="1" si="45"/>
        <v>0</v>
      </c>
      <c r="AG40" s="115">
        <f t="shared" ca="1" si="45"/>
        <v>0</v>
      </c>
      <c r="AH40" s="115">
        <f t="shared" ca="1" si="45"/>
        <v>0</v>
      </c>
      <c r="AI40" s="115">
        <f t="shared" ca="1" si="45"/>
        <v>0</v>
      </c>
      <c r="AJ40" s="115">
        <f t="shared" ca="1" si="45"/>
        <v>0</v>
      </c>
      <c r="AK40" s="115">
        <f t="shared" ca="1" si="45"/>
        <v>0</v>
      </c>
      <c r="AL40" s="115">
        <f t="shared" ca="1" si="45"/>
        <v>0</v>
      </c>
      <c r="AM40" s="115">
        <f t="shared" ca="1" si="45"/>
        <v>0</v>
      </c>
      <c r="AN40" s="115">
        <f t="shared" ca="1" si="45"/>
        <v>0</v>
      </c>
      <c r="AO40" s="115">
        <f t="shared" ca="1" si="45"/>
        <v>0</v>
      </c>
      <c r="AP40" s="115">
        <f t="shared" ca="1" si="45"/>
        <v>0</v>
      </c>
      <c r="AQ40" s="115">
        <f t="shared" ca="1" si="45"/>
        <v>0</v>
      </c>
      <c r="AR40" s="115">
        <f t="shared" ca="1" si="45"/>
        <v>0</v>
      </c>
      <c r="AS40" s="115">
        <f t="shared" ca="1" si="45"/>
        <v>0</v>
      </c>
      <c r="AT40" s="115">
        <f t="shared" ca="1" si="45"/>
        <v>0</v>
      </c>
      <c r="AU40" s="115">
        <f t="shared" ca="1" si="45"/>
        <v>0</v>
      </c>
      <c r="AV40" s="115">
        <f t="shared" ca="1" si="45"/>
        <v>0</v>
      </c>
      <c r="AW40" s="115">
        <f t="shared" ref="AW40:CB40" ca="1" si="46">IF(AV82=0,0,1)*IF(AW11=1,$P$40,($P$40*(1+AW33)))</f>
        <v>0</v>
      </c>
      <c r="AX40" s="115">
        <f t="shared" ca="1" si="46"/>
        <v>0</v>
      </c>
      <c r="AY40" s="115">
        <f t="shared" ca="1" si="46"/>
        <v>0</v>
      </c>
      <c r="AZ40" s="115">
        <f t="shared" ca="1" si="46"/>
        <v>0</v>
      </c>
      <c r="BA40" s="115">
        <f t="shared" ca="1" si="46"/>
        <v>0</v>
      </c>
      <c r="BB40" s="115">
        <f t="shared" ca="1" si="46"/>
        <v>0</v>
      </c>
      <c r="BC40" s="115">
        <f t="shared" ca="1" si="46"/>
        <v>0</v>
      </c>
      <c r="BD40" s="115">
        <f t="shared" ca="1" si="46"/>
        <v>0</v>
      </c>
      <c r="BE40" s="115">
        <f t="shared" ca="1" si="46"/>
        <v>0</v>
      </c>
      <c r="BF40" s="115">
        <f t="shared" ca="1" si="46"/>
        <v>0</v>
      </c>
      <c r="BG40" s="115">
        <f t="shared" ca="1" si="46"/>
        <v>0</v>
      </c>
      <c r="BH40" s="115">
        <f t="shared" ca="1" si="46"/>
        <v>0</v>
      </c>
      <c r="BI40" s="115">
        <f t="shared" ca="1" si="46"/>
        <v>0</v>
      </c>
      <c r="BJ40" s="115">
        <f t="shared" ca="1" si="46"/>
        <v>0</v>
      </c>
      <c r="BK40" s="115">
        <f t="shared" ca="1" si="46"/>
        <v>0</v>
      </c>
      <c r="BL40" s="115">
        <f t="shared" ca="1" si="46"/>
        <v>0</v>
      </c>
      <c r="BM40" s="115">
        <f t="shared" ca="1" si="46"/>
        <v>0</v>
      </c>
      <c r="BN40" s="115">
        <f t="shared" ca="1" si="46"/>
        <v>0</v>
      </c>
      <c r="BO40" s="115">
        <f t="shared" ca="1" si="46"/>
        <v>0</v>
      </c>
      <c r="BP40" s="115">
        <f t="shared" ca="1" si="46"/>
        <v>0</v>
      </c>
      <c r="BQ40" s="115">
        <f t="shared" ca="1" si="46"/>
        <v>0</v>
      </c>
      <c r="BR40" s="115">
        <f t="shared" ca="1" si="46"/>
        <v>0</v>
      </c>
      <c r="BS40" s="115">
        <f t="shared" ca="1" si="46"/>
        <v>0</v>
      </c>
      <c r="BT40" s="115">
        <f t="shared" ca="1" si="46"/>
        <v>0</v>
      </c>
      <c r="BU40" s="115">
        <f t="shared" ca="1" si="46"/>
        <v>0</v>
      </c>
      <c r="BV40" s="115">
        <f t="shared" ca="1" si="46"/>
        <v>0</v>
      </c>
      <c r="BW40" s="115">
        <f t="shared" ca="1" si="46"/>
        <v>0</v>
      </c>
      <c r="BX40" s="115">
        <f t="shared" ca="1" si="46"/>
        <v>0</v>
      </c>
      <c r="BY40" s="115">
        <f t="shared" ca="1" si="46"/>
        <v>0</v>
      </c>
      <c r="BZ40" s="115">
        <f t="shared" ca="1" si="46"/>
        <v>0</v>
      </c>
      <c r="CA40" s="115">
        <f t="shared" ca="1" si="46"/>
        <v>0</v>
      </c>
      <c r="CB40" s="115">
        <f t="shared" ca="1" si="46"/>
        <v>0</v>
      </c>
      <c r="CC40" s="115">
        <f t="shared" ref="CC40:DH40" ca="1" si="47">IF(CB82=0,0,1)*IF(CC11=1,$P$40,($P$40*(1+CC33)))</f>
        <v>0</v>
      </c>
      <c r="CD40" s="115">
        <f t="shared" ca="1" si="47"/>
        <v>0</v>
      </c>
      <c r="CE40" s="115">
        <f t="shared" ca="1" si="47"/>
        <v>0</v>
      </c>
      <c r="CF40" s="115">
        <f t="shared" ca="1" si="47"/>
        <v>0</v>
      </c>
      <c r="CG40" s="115">
        <f t="shared" ca="1" si="47"/>
        <v>0</v>
      </c>
      <c r="CH40" s="115">
        <f t="shared" ca="1" si="47"/>
        <v>0</v>
      </c>
      <c r="CI40" s="115">
        <f t="shared" ca="1" si="47"/>
        <v>0</v>
      </c>
      <c r="CJ40" s="115">
        <f t="shared" ca="1" si="47"/>
        <v>0</v>
      </c>
      <c r="CK40" s="115">
        <f t="shared" ca="1" si="47"/>
        <v>0</v>
      </c>
      <c r="CL40" s="115">
        <f t="shared" ca="1" si="47"/>
        <v>0</v>
      </c>
      <c r="CM40" s="115">
        <f t="shared" ca="1" si="47"/>
        <v>0</v>
      </c>
      <c r="CN40" s="115">
        <f t="shared" ca="1" si="47"/>
        <v>0</v>
      </c>
      <c r="CO40" s="115">
        <f t="shared" ca="1" si="47"/>
        <v>0</v>
      </c>
      <c r="CP40" s="115">
        <f t="shared" ca="1" si="47"/>
        <v>0</v>
      </c>
      <c r="CQ40" s="115">
        <f t="shared" ca="1" si="47"/>
        <v>0</v>
      </c>
      <c r="CR40" s="115">
        <f t="shared" ca="1" si="47"/>
        <v>0</v>
      </c>
      <c r="CS40" s="115">
        <f t="shared" ca="1" si="47"/>
        <v>0</v>
      </c>
      <c r="CT40" s="115">
        <f t="shared" ca="1" si="47"/>
        <v>0</v>
      </c>
      <c r="CU40" s="115">
        <f t="shared" ca="1" si="47"/>
        <v>0</v>
      </c>
      <c r="CV40" s="115">
        <f t="shared" ca="1" si="47"/>
        <v>0</v>
      </c>
      <c r="CW40" s="115">
        <f t="shared" ca="1" si="47"/>
        <v>0</v>
      </c>
      <c r="CX40" s="115">
        <f t="shared" ca="1" si="47"/>
        <v>0</v>
      </c>
      <c r="CY40" s="115">
        <f t="shared" ca="1" si="47"/>
        <v>0</v>
      </c>
      <c r="CZ40" s="115">
        <f t="shared" ca="1" si="47"/>
        <v>0</v>
      </c>
      <c r="DA40" s="115">
        <f t="shared" ca="1" si="47"/>
        <v>0</v>
      </c>
      <c r="DB40" s="115">
        <f t="shared" ca="1" si="47"/>
        <v>0</v>
      </c>
      <c r="DC40" s="115">
        <f t="shared" ca="1" si="47"/>
        <v>0</v>
      </c>
      <c r="DD40" s="115">
        <f t="shared" ca="1" si="47"/>
        <v>0</v>
      </c>
      <c r="DE40" s="115">
        <f t="shared" ca="1" si="47"/>
        <v>0</v>
      </c>
      <c r="DF40" s="115">
        <f t="shared" ca="1" si="47"/>
        <v>0</v>
      </c>
      <c r="DG40" s="115">
        <f t="shared" ca="1" si="47"/>
        <v>0</v>
      </c>
      <c r="DH40" s="115">
        <f t="shared" ca="1" si="47"/>
        <v>0</v>
      </c>
      <c r="DI40" s="115">
        <f t="shared" ref="DI40:EQ40" ca="1" si="48">IF(DH82=0,0,1)*IF(DI11=1,$P$40,($P$40*(1+DI33)))</f>
        <v>0</v>
      </c>
      <c r="DJ40" s="115">
        <f t="shared" si="48"/>
        <v>0</v>
      </c>
      <c r="DK40" s="115">
        <f t="shared" si="48"/>
        <v>0</v>
      </c>
      <c r="DL40" s="115">
        <f t="shared" si="48"/>
        <v>0</v>
      </c>
      <c r="DM40" s="115">
        <f t="shared" si="48"/>
        <v>0</v>
      </c>
      <c r="DN40" s="115">
        <f t="shared" si="48"/>
        <v>0</v>
      </c>
      <c r="DO40" s="115">
        <f t="shared" si="48"/>
        <v>0</v>
      </c>
      <c r="DP40" s="115">
        <f t="shared" si="48"/>
        <v>0</v>
      </c>
      <c r="DQ40" s="115">
        <f t="shared" si="48"/>
        <v>0</v>
      </c>
      <c r="DR40" s="115">
        <f t="shared" si="48"/>
        <v>0</v>
      </c>
      <c r="DS40" s="115">
        <f t="shared" si="48"/>
        <v>0</v>
      </c>
      <c r="DT40" s="115">
        <f t="shared" si="48"/>
        <v>0</v>
      </c>
      <c r="DU40" s="115">
        <f t="shared" si="48"/>
        <v>0</v>
      </c>
      <c r="DV40" s="115">
        <f t="shared" si="48"/>
        <v>0</v>
      </c>
      <c r="DW40" s="115">
        <f t="shared" si="48"/>
        <v>0</v>
      </c>
      <c r="DX40" s="115">
        <f t="shared" si="48"/>
        <v>0</v>
      </c>
      <c r="DY40" s="115">
        <f t="shared" si="48"/>
        <v>0</v>
      </c>
      <c r="DZ40" s="115">
        <f t="shared" si="48"/>
        <v>0</v>
      </c>
      <c r="EA40" s="115">
        <f t="shared" si="48"/>
        <v>0</v>
      </c>
      <c r="EB40" s="115">
        <f t="shared" si="48"/>
        <v>0</v>
      </c>
      <c r="EC40" s="115">
        <f t="shared" si="48"/>
        <v>0</v>
      </c>
      <c r="ED40" s="115">
        <f t="shared" si="48"/>
        <v>0</v>
      </c>
      <c r="EE40" s="115">
        <f t="shared" si="48"/>
        <v>0</v>
      </c>
      <c r="EF40" s="115">
        <f t="shared" si="48"/>
        <v>0</v>
      </c>
      <c r="EG40" s="115">
        <f t="shared" si="48"/>
        <v>0</v>
      </c>
      <c r="EH40" s="115">
        <f t="shared" si="48"/>
        <v>0</v>
      </c>
      <c r="EI40" s="115">
        <f t="shared" si="48"/>
        <v>0</v>
      </c>
      <c r="EJ40" s="115">
        <f t="shared" si="48"/>
        <v>0</v>
      </c>
      <c r="EK40" s="115">
        <f t="shared" si="48"/>
        <v>0</v>
      </c>
      <c r="EL40" s="115">
        <f t="shared" si="48"/>
        <v>0</v>
      </c>
      <c r="EM40" s="115">
        <f t="shared" si="48"/>
        <v>0</v>
      </c>
      <c r="EN40" s="115">
        <f t="shared" si="48"/>
        <v>0</v>
      </c>
      <c r="EO40" s="115">
        <f t="shared" si="48"/>
        <v>0</v>
      </c>
      <c r="EP40" s="115">
        <f t="shared" si="48"/>
        <v>0</v>
      </c>
      <c r="EQ40" s="115">
        <f t="shared" si="48"/>
        <v>0</v>
      </c>
      <c r="ES40" s="421"/>
      <c r="ET40" s="67"/>
      <c r="EU40" s="195"/>
    </row>
    <row r="41" spans="2:151" s="65" customFormat="1" ht="15.75">
      <c r="G41" s="482"/>
      <c r="H41" s="482" t="s">
        <v>132</v>
      </c>
      <c r="I41" s="184"/>
      <c r="J41" s="491"/>
      <c r="K41" s="192"/>
      <c r="L41" s="193"/>
      <c r="M41" s="193"/>
      <c r="N41" s="216">
        <f>'Annual Cash Flow'!C19</f>
        <v>0</v>
      </c>
      <c r="O41" s="777"/>
      <c r="P41" s="140">
        <f>N41/12</f>
        <v>0</v>
      </c>
      <c r="Q41" s="115">
        <f t="shared" ref="Q41:AV41" ca="1" si="49">IF(P82=0,0,1)*IF(Q11=1,$P$41,($P$41*(1+Q33)))</f>
        <v>0</v>
      </c>
      <c r="R41" s="115">
        <f t="shared" ca="1" si="49"/>
        <v>0</v>
      </c>
      <c r="S41" s="115">
        <f t="shared" ca="1" si="49"/>
        <v>0</v>
      </c>
      <c r="T41" s="115">
        <f t="shared" ca="1" si="49"/>
        <v>0</v>
      </c>
      <c r="U41" s="115">
        <f t="shared" ca="1" si="49"/>
        <v>0</v>
      </c>
      <c r="V41" s="115">
        <f t="shared" ca="1" si="49"/>
        <v>0</v>
      </c>
      <c r="W41" s="115">
        <f t="shared" ca="1" si="49"/>
        <v>0</v>
      </c>
      <c r="X41" s="115">
        <f t="shared" ca="1" si="49"/>
        <v>0</v>
      </c>
      <c r="Y41" s="115">
        <f t="shared" ca="1" si="49"/>
        <v>0</v>
      </c>
      <c r="Z41" s="115">
        <f t="shared" ca="1" si="49"/>
        <v>0</v>
      </c>
      <c r="AA41" s="115">
        <f t="shared" ca="1" si="49"/>
        <v>0</v>
      </c>
      <c r="AB41" s="115">
        <f t="shared" ca="1" si="49"/>
        <v>0</v>
      </c>
      <c r="AC41" s="115">
        <f t="shared" ca="1" si="49"/>
        <v>0</v>
      </c>
      <c r="AD41" s="115">
        <f t="shared" ca="1" si="49"/>
        <v>0</v>
      </c>
      <c r="AE41" s="115">
        <f t="shared" ca="1" si="49"/>
        <v>0</v>
      </c>
      <c r="AF41" s="115">
        <f t="shared" ca="1" si="49"/>
        <v>0</v>
      </c>
      <c r="AG41" s="115">
        <f t="shared" ca="1" si="49"/>
        <v>0</v>
      </c>
      <c r="AH41" s="115">
        <f t="shared" ca="1" si="49"/>
        <v>0</v>
      </c>
      <c r="AI41" s="115">
        <f t="shared" ca="1" si="49"/>
        <v>0</v>
      </c>
      <c r="AJ41" s="115">
        <f t="shared" ca="1" si="49"/>
        <v>0</v>
      </c>
      <c r="AK41" s="115">
        <f t="shared" ca="1" si="49"/>
        <v>0</v>
      </c>
      <c r="AL41" s="115">
        <f t="shared" ca="1" si="49"/>
        <v>0</v>
      </c>
      <c r="AM41" s="115">
        <f t="shared" ca="1" si="49"/>
        <v>0</v>
      </c>
      <c r="AN41" s="115">
        <f t="shared" ca="1" si="49"/>
        <v>0</v>
      </c>
      <c r="AO41" s="115">
        <f t="shared" ca="1" si="49"/>
        <v>0</v>
      </c>
      <c r="AP41" s="115">
        <f t="shared" ca="1" si="49"/>
        <v>0</v>
      </c>
      <c r="AQ41" s="115">
        <f t="shared" ca="1" si="49"/>
        <v>0</v>
      </c>
      <c r="AR41" s="115">
        <f t="shared" ca="1" si="49"/>
        <v>0</v>
      </c>
      <c r="AS41" s="115">
        <f t="shared" ca="1" si="49"/>
        <v>0</v>
      </c>
      <c r="AT41" s="115">
        <f t="shared" ca="1" si="49"/>
        <v>0</v>
      </c>
      <c r="AU41" s="115">
        <f t="shared" ca="1" si="49"/>
        <v>0</v>
      </c>
      <c r="AV41" s="115">
        <f t="shared" ca="1" si="49"/>
        <v>0</v>
      </c>
      <c r="AW41" s="115">
        <f t="shared" ref="AW41:CB41" ca="1" si="50">IF(AV82=0,0,1)*IF(AW11=1,$P$41,($P$41*(1+AW33)))</f>
        <v>0</v>
      </c>
      <c r="AX41" s="115">
        <f t="shared" ca="1" si="50"/>
        <v>0</v>
      </c>
      <c r="AY41" s="115">
        <f t="shared" ca="1" si="50"/>
        <v>0</v>
      </c>
      <c r="AZ41" s="115">
        <f t="shared" ca="1" si="50"/>
        <v>0</v>
      </c>
      <c r="BA41" s="115">
        <f t="shared" ca="1" si="50"/>
        <v>0</v>
      </c>
      <c r="BB41" s="115">
        <f t="shared" ca="1" si="50"/>
        <v>0</v>
      </c>
      <c r="BC41" s="115">
        <f t="shared" ca="1" si="50"/>
        <v>0</v>
      </c>
      <c r="BD41" s="115">
        <f t="shared" ca="1" si="50"/>
        <v>0</v>
      </c>
      <c r="BE41" s="115">
        <f t="shared" ca="1" si="50"/>
        <v>0</v>
      </c>
      <c r="BF41" s="115">
        <f t="shared" ca="1" si="50"/>
        <v>0</v>
      </c>
      <c r="BG41" s="115">
        <f t="shared" ca="1" si="50"/>
        <v>0</v>
      </c>
      <c r="BH41" s="115">
        <f t="shared" ca="1" si="50"/>
        <v>0</v>
      </c>
      <c r="BI41" s="115">
        <f t="shared" ca="1" si="50"/>
        <v>0</v>
      </c>
      <c r="BJ41" s="115">
        <f t="shared" ca="1" si="50"/>
        <v>0</v>
      </c>
      <c r="BK41" s="115">
        <f t="shared" ca="1" si="50"/>
        <v>0</v>
      </c>
      <c r="BL41" s="115">
        <f t="shared" ca="1" si="50"/>
        <v>0</v>
      </c>
      <c r="BM41" s="115">
        <f t="shared" ca="1" si="50"/>
        <v>0</v>
      </c>
      <c r="BN41" s="115">
        <f t="shared" ca="1" si="50"/>
        <v>0</v>
      </c>
      <c r="BO41" s="115">
        <f t="shared" ca="1" si="50"/>
        <v>0</v>
      </c>
      <c r="BP41" s="115">
        <f t="shared" ca="1" si="50"/>
        <v>0</v>
      </c>
      <c r="BQ41" s="115">
        <f t="shared" ca="1" si="50"/>
        <v>0</v>
      </c>
      <c r="BR41" s="115">
        <f t="shared" ca="1" si="50"/>
        <v>0</v>
      </c>
      <c r="BS41" s="115">
        <f t="shared" ca="1" si="50"/>
        <v>0</v>
      </c>
      <c r="BT41" s="115">
        <f t="shared" ca="1" si="50"/>
        <v>0</v>
      </c>
      <c r="BU41" s="115">
        <f t="shared" ca="1" si="50"/>
        <v>0</v>
      </c>
      <c r="BV41" s="115">
        <f t="shared" ca="1" si="50"/>
        <v>0</v>
      </c>
      <c r="BW41" s="115">
        <f t="shared" ca="1" si="50"/>
        <v>0</v>
      </c>
      <c r="BX41" s="115">
        <f t="shared" ca="1" si="50"/>
        <v>0</v>
      </c>
      <c r="BY41" s="115">
        <f t="shared" ca="1" si="50"/>
        <v>0</v>
      </c>
      <c r="BZ41" s="115">
        <f t="shared" ca="1" si="50"/>
        <v>0</v>
      </c>
      <c r="CA41" s="115">
        <f t="shared" ca="1" si="50"/>
        <v>0</v>
      </c>
      <c r="CB41" s="115">
        <f t="shared" ca="1" si="50"/>
        <v>0</v>
      </c>
      <c r="CC41" s="115">
        <f t="shared" ref="CC41:DH41" ca="1" si="51">IF(CB82=0,0,1)*IF(CC11=1,$P$41,($P$41*(1+CC33)))</f>
        <v>0</v>
      </c>
      <c r="CD41" s="115">
        <f t="shared" ca="1" si="51"/>
        <v>0</v>
      </c>
      <c r="CE41" s="115">
        <f t="shared" ca="1" si="51"/>
        <v>0</v>
      </c>
      <c r="CF41" s="115">
        <f t="shared" ca="1" si="51"/>
        <v>0</v>
      </c>
      <c r="CG41" s="115">
        <f t="shared" ca="1" si="51"/>
        <v>0</v>
      </c>
      <c r="CH41" s="115">
        <f t="shared" ca="1" si="51"/>
        <v>0</v>
      </c>
      <c r="CI41" s="115">
        <f t="shared" ca="1" si="51"/>
        <v>0</v>
      </c>
      <c r="CJ41" s="115">
        <f t="shared" ca="1" si="51"/>
        <v>0</v>
      </c>
      <c r="CK41" s="115">
        <f t="shared" ca="1" si="51"/>
        <v>0</v>
      </c>
      <c r="CL41" s="115">
        <f t="shared" ca="1" si="51"/>
        <v>0</v>
      </c>
      <c r="CM41" s="115">
        <f t="shared" ca="1" si="51"/>
        <v>0</v>
      </c>
      <c r="CN41" s="115">
        <f t="shared" ca="1" si="51"/>
        <v>0</v>
      </c>
      <c r="CO41" s="115">
        <f t="shared" ca="1" si="51"/>
        <v>0</v>
      </c>
      <c r="CP41" s="115">
        <f t="shared" ca="1" si="51"/>
        <v>0</v>
      </c>
      <c r="CQ41" s="115">
        <f t="shared" ca="1" si="51"/>
        <v>0</v>
      </c>
      <c r="CR41" s="115">
        <f t="shared" ca="1" si="51"/>
        <v>0</v>
      </c>
      <c r="CS41" s="115">
        <f t="shared" ca="1" si="51"/>
        <v>0</v>
      </c>
      <c r="CT41" s="115">
        <f t="shared" ca="1" si="51"/>
        <v>0</v>
      </c>
      <c r="CU41" s="115">
        <f t="shared" ca="1" si="51"/>
        <v>0</v>
      </c>
      <c r="CV41" s="115">
        <f t="shared" ca="1" si="51"/>
        <v>0</v>
      </c>
      <c r="CW41" s="115">
        <f t="shared" ca="1" si="51"/>
        <v>0</v>
      </c>
      <c r="CX41" s="115">
        <f t="shared" ca="1" si="51"/>
        <v>0</v>
      </c>
      <c r="CY41" s="115">
        <f t="shared" ca="1" si="51"/>
        <v>0</v>
      </c>
      <c r="CZ41" s="115">
        <f t="shared" ca="1" si="51"/>
        <v>0</v>
      </c>
      <c r="DA41" s="115">
        <f t="shared" ca="1" si="51"/>
        <v>0</v>
      </c>
      <c r="DB41" s="115">
        <f t="shared" ca="1" si="51"/>
        <v>0</v>
      </c>
      <c r="DC41" s="115">
        <f t="shared" ca="1" si="51"/>
        <v>0</v>
      </c>
      <c r="DD41" s="115">
        <f t="shared" ca="1" si="51"/>
        <v>0</v>
      </c>
      <c r="DE41" s="115">
        <f t="shared" ca="1" si="51"/>
        <v>0</v>
      </c>
      <c r="DF41" s="115">
        <f t="shared" ca="1" si="51"/>
        <v>0</v>
      </c>
      <c r="DG41" s="115">
        <f t="shared" ca="1" si="51"/>
        <v>0</v>
      </c>
      <c r="DH41" s="115">
        <f t="shared" ca="1" si="51"/>
        <v>0</v>
      </c>
      <c r="DI41" s="115">
        <f t="shared" ref="DI41:EQ41" ca="1" si="52">IF(DH82=0,0,1)*IF(DI11=1,$P$41,($P$41*(1+DI33)))</f>
        <v>0</v>
      </c>
      <c r="DJ41" s="115">
        <f t="shared" si="52"/>
        <v>0</v>
      </c>
      <c r="DK41" s="115">
        <f t="shared" si="52"/>
        <v>0</v>
      </c>
      <c r="DL41" s="115">
        <f t="shared" si="52"/>
        <v>0</v>
      </c>
      <c r="DM41" s="115">
        <f t="shared" si="52"/>
        <v>0</v>
      </c>
      <c r="DN41" s="115">
        <f t="shared" si="52"/>
        <v>0</v>
      </c>
      <c r="DO41" s="115">
        <f t="shared" si="52"/>
        <v>0</v>
      </c>
      <c r="DP41" s="115">
        <f t="shared" si="52"/>
        <v>0</v>
      </c>
      <c r="DQ41" s="115">
        <f t="shared" si="52"/>
        <v>0</v>
      </c>
      <c r="DR41" s="115">
        <f t="shared" si="52"/>
        <v>0</v>
      </c>
      <c r="DS41" s="115">
        <f t="shared" si="52"/>
        <v>0</v>
      </c>
      <c r="DT41" s="115">
        <f t="shared" si="52"/>
        <v>0</v>
      </c>
      <c r="DU41" s="115">
        <f t="shared" si="52"/>
        <v>0</v>
      </c>
      <c r="DV41" s="115">
        <f t="shared" si="52"/>
        <v>0</v>
      </c>
      <c r="DW41" s="115">
        <f t="shared" si="52"/>
        <v>0</v>
      </c>
      <c r="DX41" s="115">
        <f t="shared" si="52"/>
        <v>0</v>
      </c>
      <c r="DY41" s="115">
        <f t="shared" si="52"/>
        <v>0</v>
      </c>
      <c r="DZ41" s="115">
        <f t="shared" si="52"/>
        <v>0</v>
      </c>
      <c r="EA41" s="115">
        <f t="shared" si="52"/>
        <v>0</v>
      </c>
      <c r="EB41" s="115">
        <f t="shared" si="52"/>
        <v>0</v>
      </c>
      <c r="EC41" s="115">
        <f t="shared" si="52"/>
        <v>0</v>
      </c>
      <c r="ED41" s="115">
        <f t="shared" si="52"/>
        <v>0</v>
      </c>
      <c r="EE41" s="115">
        <f t="shared" si="52"/>
        <v>0</v>
      </c>
      <c r="EF41" s="115">
        <f t="shared" si="52"/>
        <v>0</v>
      </c>
      <c r="EG41" s="115">
        <f t="shared" si="52"/>
        <v>0</v>
      </c>
      <c r="EH41" s="115">
        <f t="shared" si="52"/>
        <v>0</v>
      </c>
      <c r="EI41" s="115">
        <f t="shared" si="52"/>
        <v>0</v>
      </c>
      <c r="EJ41" s="115">
        <f t="shared" si="52"/>
        <v>0</v>
      </c>
      <c r="EK41" s="115">
        <f t="shared" si="52"/>
        <v>0</v>
      </c>
      <c r="EL41" s="115">
        <f t="shared" si="52"/>
        <v>0</v>
      </c>
      <c r="EM41" s="115">
        <f t="shared" si="52"/>
        <v>0</v>
      </c>
      <c r="EN41" s="115">
        <f t="shared" si="52"/>
        <v>0</v>
      </c>
      <c r="EO41" s="115">
        <f t="shared" si="52"/>
        <v>0</v>
      </c>
      <c r="EP41" s="115">
        <f t="shared" si="52"/>
        <v>0</v>
      </c>
      <c r="EQ41" s="115">
        <f t="shared" si="52"/>
        <v>0</v>
      </c>
      <c r="ES41" s="421"/>
      <c r="ET41" s="67"/>
      <c r="EU41" s="195"/>
    </row>
    <row r="42" spans="2:151" s="65" customFormat="1" ht="15.75">
      <c r="G42" s="493"/>
      <c r="H42" s="482" t="s">
        <v>38</v>
      </c>
      <c r="I42" s="184"/>
      <c r="J42" s="239"/>
      <c r="K42" s="196"/>
      <c r="L42" s="140"/>
      <c r="M42" s="140"/>
      <c r="N42" s="239">
        <f>'Annual Cash Flow'!C20</f>
        <v>0</v>
      </c>
      <c r="O42" s="779"/>
      <c r="P42" s="197">
        <f ca="1">IF(P10&lt;=Assumptions!$G$10+1,('Monthly Cash Flow Exercise'!P35+P38)*-HLOOKUP(P11,Assumptions!$D$72:$O$74,3,FALSE),0)</f>
        <v>0</v>
      </c>
      <c r="Q42" s="197">
        <f ca="1">IF(Q10&lt;=Assumptions!$G$10+1,('Monthly Cash Flow Exercise'!Q35+Q38)*-HLOOKUP(Q11,Assumptions!$D$72:$O$74,3,FALSE),0)</f>
        <v>0</v>
      </c>
      <c r="R42" s="197">
        <f ca="1">IF(R10&lt;=Assumptions!$G$10+1,('Monthly Cash Flow Exercise'!R35+R38)*-HLOOKUP(R11,Assumptions!$D$72:$O$74,3,FALSE),0)</f>
        <v>0</v>
      </c>
      <c r="S42" s="197">
        <f ca="1">IF(S10&lt;=Assumptions!$G$10+1,('Monthly Cash Flow Exercise'!S35+S38)*-HLOOKUP(S11,Assumptions!$D$72:$O$74,3,FALSE),0)</f>
        <v>0</v>
      </c>
      <c r="T42" s="197">
        <f ca="1">IF(T10&lt;=Assumptions!$G$10+1,('Monthly Cash Flow Exercise'!T35+T38)*-HLOOKUP(T11,Assumptions!$D$72:$O$74,3,FALSE),0)</f>
        <v>0</v>
      </c>
      <c r="U42" s="197">
        <f ca="1">IF(U10&lt;=Assumptions!$G$10+1,('Monthly Cash Flow Exercise'!U35+U38)*-HLOOKUP(U11,Assumptions!$D$72:$O$74,3,FALSE),0)</f>
        <v>0</v>
      </c>
      <c r="V42" s="197">
        <f ca="1">IF(V10&lt;=Assumptions!$G$10+1,('Monthly Cash Flow Exercise'!V35+V38)*-HLOOKUP(V11,Assumptions!$D$72:$O$74,3,FALSE),0)</f>
        <v>0</v>
      </c>
      <c r="W42" s="197">
        <f ca="1">IF(W10&lt;=Assumptions!$G$10+1,('Monthly Cash Flow Exercise'!W35+W38)*-HLOOKUP(W11,Assumptions!$D$72:$O$74,3,FALSE),0)</f>
        <v>0</v>
      </c>
      <c r="X42" s="197">
        <f ca="1">IF(X10&lt;=Assumptions!$G$10+1,('Monthly Cash Flow Exercise'!X35+X38)*-HLOOKUP(X11,Assumptions!$D$72:$O$74,3,FALSE),0)</f>
        <v>0</v>
      </c>
      <c r="Y42" s="197">
        <f ca="1">IF(Y10&lt;=Assumptions!$G$10+1,('Monthly Cash Flow Exercise'!Y35+Y38)*-HLOOKUP(Y11,Assumptions!$D$72:$O$74,3,FALSE),0)</f>
        <v>0</v>
      </c>
      <c r="Z42" s="197">
        <f ca="1">IF(Z10&lt;=Assumptions!$G$10+1,('Monthly Cash Flow Exercise'!Z35+Z38)*-HLOOKUP(Z11,Assumptions!$D$72:$O$74,3,FALSE),0)</f>
        <v>0</v>
      </c>
      <c r="AA42" s="197">
        <f ca="1">IF(AA10&lt;=Assumptions!$G$10+1,('Monthly Cash Flow Exercise'!AA35+AA38)*-HLOOKUP(AA11,Assumptions!$D$72:$O$74,3,FALSE),0)</f>
        <v>0</v>
      </c>
      <c r="AB42" s="197">
        <f ca="1">IF(AB10&lt;=Assumptions!$G$10+1,('Monthly Cash Flow Exercise'!AB35+AB38)*-HLOOKUP(AB11,Assumptions!$D$72:$O$74,3,FALSE),0)</f>
        <v>0</v>
      </c>
      <c r="AC42" s="197">
        <f ca="1">IF(AC10&lt;=Assumptions!$G$10+1,('Monthly Cash Flow Exercise'!AC35+AC38)*-HLOOKUP(AC11,Assumptions!$D$72:$O$74,3,FALSE),0)</f>
        <v>0</v>
      </c>
      <c r="AD42" s="197">
        <f ca="1">IF(AD10&lt;=Assumptions!$G$10+1,('Monthly Cash Flow Exercise'!AD35+AD38)*-HLOOKUP(AD11,Assumptions!$D$72:$O$74,3,FALSE),0)</f>
        <v>0</v>
      </c>
      <c r="AE42" s="197">
        <f ca="1">IF(AE10&lt;=Assumptions!$G$10+1,('Monthly Cash Flow Exercise'!AE35+AE38)*-HLOOKUP(AE11,Assumptions!$D$72:$O$74,3,FALSE),0)</f>
        <v>0</v>
      </c>
      <c r="AF42" s="197">
        <f ca="1">IF(AF10&lt;=Assumptions!$G$10+1,('Monthly Cash Flow Exercise'!AF35+AF38)*-HLOOKUP(AF11,Assumptions!$D$72:$O$74,3,FALSE),0)</f>
        <v>0</v>
      </c>
      <c r="AG42" s="197">
        <f ca="1">IF(AG10&lt;=Assumptions!$G$10+1,('Monthly Cash Flow Exercise'!AG35+AG38)*-HLOOKUP(AG11,Assumptions!$D$72:$O$74,3,FALSE),0)</f>
        <v>0</v>
      </c>
      <c r="AH42" s="197">
        <f ca="1">IF(AH10&lt;=Assumptions!$G$10+1,('Monthly Cash Flow Exercise'!AH35+AH38)*-HLOOKUP(AH11,Assumptions!$D$72:$O$74,3,FALSE),0)</f>
        <v>0</v>
      </c>
      <c r="AI42" s="197">
        <f ca="1">IF(AI10&lt;=Assumptions!$G$10+1,('Monthly Cash Flow Exercise'!AI35+AI38)*-HLOOKUP(AI11,Assumptions!$D$72:$O$74,3,FALSE),0)</f>
        <v>0</v>
      </c>
      <c r="AJ42" s="197">
        <f ca="1">IF(AJ10&lt;=Assumptions!$G$10+1,('Monthly Cash Flow Exercise'!AJ35+AJ38)*-HLOOKUP(AJ11,Assumptions!$D$72:$O$74,3,FALSE),0)</f>
        <v>0</v>
      </c>
      <c r="AK42" s="197">
        <f ca="1">IF(AK10&lt;=Assumptions!$G$10+1,('Monthly Cash Flow Exercise'!AK35+AK38)*-HLOOKUP(AK11,Assumptions!$D$72:$O$74,3,FALSE),0)</f>
        <v>0</v>
      </c>
      <c r="AL42" s="197">
        <f ca="1">IF(AL10&lt;=Assumptions!$G$10+1,('Monthly Cash Flow Exercise'!AL35+AL38)*-HLOOKUP(AL11,Assumptions!$D$72:$O$74,3,FALSE),0)</f>
        <v>0</v>
      </c>
      <c r="AM42" s="197">
        <f ca="1">IF(AM10&lt;=Assumptions!$G$10+1,('Monthly Cash Flow Exercise'!AM35+AM38)*-HLOOKUP(AM11,Assumptions!$D$72:$O$74,3,FALSE),0)</f>
        <v>0</v>
      </c>
      <c r="AN42" s="197">
        <f ca="1">IF(AN10&lt;=Assumptions!$G$10+1,('Monthly Cash Flow Exercise'!AN35+AN38)*-HLOOKUP(AN11,Assumptions!$D$72:$O$74,3,FALSE),0)</f>
        <v>0</v>
      </c>
      <c r="AO42" s="197">
        <f ca="1">IF(AO10&lt;=Assumptions!$G$10+1,('Monthly Cash Flow Exercise'!AO35+AO38)*-HLOOKUP(AO11,Assumptions!$D$72:$O$74,3,FALSE),0)</f>
        <v>0</v>
      </c>
      <c r="AP42" s="197">
        <f ca="1">IF(AP10&lt;=Assumptions!$G$10+1,('Monthly Cash Flow Exercise'!AP35+AP38)*-HLOOKUP(AP11,Assumptions!$D$72:$O$74,3,FALSE),0)</f>
        <v>0</v>
      </c>
      <c r="AQ42" s="197">
        <f ca="1">IF(AQ10&lt;=Assumptions!$G$10+1,('Monthly Cash Flow Exercise'!AQ35+AQ38)*-HLOOKUP(AQ11,Assumptions!$D$72:$O$74,3,FALSE),0)</f>
        <v>0</v>
      </c>
      <c r="AR42" s="197">
        <f ca="1">IF(AR10&lt;=Assumptions!$G$10+1,('Monthly Cash Flow Exercise'!AR35+AR38)*-HLOOKUP(AR11,Assumptions!$D$72:$O$74,3,FALSE),0)</f>
        <v>0</v>
      </c>
      <c r="AS42" s="197">
        <f ca="1">IF(AS10&lt;=Assumptions!$G$10+1,('Monthly Cash Flow Exercise'!AS35+AS38)*-HLOOKUP(AS11,Assumptions!$D$72:$O$74,3,FALSE),0)</f>
        <v>0</v>
      </c>
      <c r="AT42" s="197">
        <f ca="1">IF(AT10&lt;=Assumptions!$G$10+1,('Monthly Cash Flow Exercise'!AT35+AT38)*-HLOOKUP(AT11,Assumptions!$D$72:$O$74,3,FALSE),0)</f>
        <v>0</v>
      </c>
      <c r="AU42" s="197">
        <f ca="1">IF(AU10&lt;=Assumptions!$G$10+1,('Monthly Cash Flow Exercise'!AU35+AU38)*-HLOOKUP(AU11,Assumptions!$D$72:$O$74,3,FALSE),0)</f>
        <v>0</v>
      </c>
      <c r="AV42" s="197">
        <f ca="1">IF(AV10&lt;=Assumptions!$G$10+1,('Monthly Cash Flow Exercise'!AV35+AV38)*-HLOOKUP(AV11,Assumptions!$D$72:$O$74,3,FALSE),0)</f>
        <v>0</v>
      </c>
      <c r="AW42" s="197">
        <f ca="1">IF(AW10&lt;=Assumptions!$G$10+1,('Monthly Cash Flow Exercise'!AW35+AW38)*-HLOOKUP(AW11,Assumptions!$D$72:$O$74,3,FALSE),0)</f>
        <v>0</v>
      </c>
      <c r="AX42" s="197">
        <f ca="1">IF(AX10&lt;=Assumptions!$G$10+1,('Monthly Cash Flow Exercise'!AX35+AX38)*-HLOOKUP(AX11,Assumptions!$D$72:$O$74,3,FALSE),0)</f>
        <v>0</v>
      </c>
      <c r="AY42" s="197">
        <f ca="1">IF(AY10&lt;=Assumptions!$G$10+1,('Monthly Cash Flow Exercise'!AY35+AY38)*-HLOOKUP(AY11,Assumptions!$D$72:$O$74,3,FALSE),0)</f>
        <v>0</v>
      </c>
      <c r="AZ42" s="197">
        <f ca="1">IF(AZ10&lt;=Assumptions!$G$10+1,('Monthly Cash Flow Exercise'!AZ35+AZ38)*-HLOOKUP(AZ11,Assumptions!$D$72:$O$74,3,FALSE),0)</f>
        <v>0</v>
      </c>
      <c r="BA42" s="197">
        <f ca="1">IF(BA10&lt;=Assumptions!$G$10+1,('Monthly Cash Flow Exercise'!BA35+BA38)*-HLOOKUP(BA11,Assumptions!$D$72:$O$74,3,FALSE),0)</f>
        <v>0</v>
      </c>
      <c r="BB42" s="197">
        <f ca="1">IF(BB10&lt;=Assumptions!$G$10+1,('Monthly Cash Flow Exercise'!BB35+BB38)*-HLOOKUP(BB11,Assumptions!$D$72:$O$74,3,FALSE),0)</f>
        <v>0</v>
      </c>
      <c r="BC42" s="197">
        <f ca="1">IF(BC10&lt;=Assumptions!$G$10+1,('Monthly Cash Flow Exercise'!BC35+BC38)*-HLOOKUP(BC11,Assumptions!$D$72:$O$74,3,FALSE),0)</f>
        <v>0</v>
      </c>
      <c r="BD42" s="197">
        <f ca="1">IF(BD10&lt;=Assumptions!$G$10+1,('Monthly Cash Flow Exercise'!BD35+BD38)*-HLOOKUP(BD11,Assumptions!$D$72:$O$74,3,FALSE),0)</f>
        <v>0</v>
      </c>
      <c r="BE42" s="197">
        <f ca="1">IF(BE10&lt;=Assumptions!$G$10+1,('Monthly Cash Flow Exercise'!BE35+BE38)*-HLOOKUP(BE11,Assumptions!$D$72:$O$74,3,FALSE),0)</f>
        <v>0</v>
      </c>
      <c r="BF42" s="197">
        <f ca="1">IF(BF10&lt;=Assumptions!$G$10+1,('Monthly Cash Flow Exercise'!BF35+BF38)*-HLOOKUP(BF11,Assumptions!$D$72:$O$74,3,FALSE),0)</f>
        <v>0</v>
      </c>
      <c r="BG42" s="197">
        <f ca="1">IF(BG10&lt;=Assumptions!$G$10+1,('Monthly Cash Flow Exercise'!BG35+BG38)*-HLOOKUP(BG11,Assumptions!$D$72:$O$74,3,FALSE),0)</f>
        <v>0</v>
      </c>
      <c r="BH42" s="197">
        <f ca="1">IF(BH10&lt;=Assumptions!$G$10+1,('Monthly Cash Flow Exercise'!BH35+BH38)*-HLOOKUP(BH11,Assumptions!$D$72:$O$74,3,FALSE),0)</f>
        <v>0</v>
      </c>
      <c r="BI42" s="197">
        <f ca="1">IF(BI10&lt;=Assumptions!$G$10+1,('Monthly Cash Flow Exercise'!BI35+BI38)*-HLOOKUP(BI11,Assumptions!$D$72:$O$74,3,FALSE),0)</f>
        <v>0</v>
      </c>
      <c r="BJ42" s="197">
        <f ca="1">IF(BJ10&lt;=Assumptions!$G$10+1,('Monthly Cash Flow Exercise'!BJ35+BJ38)*-HLOOKUP(BJ11,Assumptions!$D$72:$O$74,3,FALSE),0)</f>
        <v>0</v>
      </c>
      <c r="BK42" s="197">
        <f ca="1">IF(BK10&lt;=Assumptions!$G$10+1,('Monthly Cash Flow Exercise'!BK35+BK38)*-HLOOKUP(BK11,Assumptions!$D$72:$O$74,3,FALSE),0)</f>
        <v>0</v>
      </c>
      <c r="BL42" s="197">
        <f ca="1">IF(BL10&lt;=Assumptions!$G$10+1,('Monthly Cash Flow Exercise'!BL35+BL38)*-HLOOKUP(BL11,Assumptions!$D$72:$O$74,3,FALSE),0)</f>
        <v>0</v>
      </c>
      <c r="BM42" s="197">
        <f ca="1">IF(BM10&lt;=Assumptions!$G$10+1,('Monthly Cash Flow Exercise'!BM35+BM38)*-HLOOKUP(BM11,Assumptions!$D$72:$O$74,3,FALSE),0)</f>
        <v>0</v>
      </c>
      <c r="BN42" s="197">
        <f ca="1">IF(BN10&lt;=Assumptions!$G$10+1,('Monthly Cash Flow Exercise'!BN35+BN38)*-HLOOKUP(BN11,Assumptions!$D$72:$O$74,3,FALSE),0)</f>
        <v>0</v>
      </c>
      <c r="BO42" s="197">
        <f ca="1">IF(BO10&lt;=Assumptions!$G$10+1,('Monthly Cash Flow Exercise'!BO35+BO38)*-HLOOKUP(BO11,Assumptions!$D$72:$O$74,3,FALSE),0)</f>
        <v>0</v>
      </c>
      <c r="BP42" s="197">
        <f ca="1">IF(BP10&lt;=Assumptions!$G$10+1,('Monthly Cash Flow Exercise'!BP35+BP38)*-HLOOKUP(BP11,Assumptions!$D$72:$O$74,3,FALSE),0)</f>
        <v>0</v>
      </c>
      <c r="BQ42" s="197">
        <f ca="1">IF(BQ10&lt;=Assumptions!$G$10+1,('Monthly Cash Flow Exercise'!BQ35+BQ38)*-HLOOKUP(BQ11,Assumptions!$D$72:$O$74,3,FALSE),0)</f>
        <v>0</v>
      </c>
      <c r="BR42" s="197">
        <f ca="1">IF(BR10&lt;=Assumptions!$G$10+1,('Monthly Cash Flow Exercise'!BR35+BR38)*-HLOOKUP(BR11,Assumptions!$D$72:$O$74,3,FALSE),0)</f>
        <v>0</v>
      </c>
      <c r="BS42" s="197">
        <f ca="1">IF(BS10&lt;=Assumptions!$G$10+1,('Monthly Cash Flow Exercise'!BS35+BS38)*-HLOOKUP(BS11,Assumptions!$D$72:$O$74,3,FALSE),0)</f>
        <v>0</v>
      </c>
      <c r="BT42" s="197">
        <f ca="1">IF(BT10&lt;=Assumptions!$G$10+1,('Monthly Cash Flow Exercise'!BT35+BT38)*-HLOOKUP(BT11,Assumptions!$D$72:$O$74,3,FALSE),0)</f>
        <v>0</v>
      </c>
      <c r="BU42" s="197">
        <f ca="1">IF(BU10&lt;=Assumptions!$G$10+1,('Monthly Cash Flow Exercise'!BU35+BU38)*-HLOOKUP(BU11,Assumptions!$D$72:$O$74,3,FALSE),0)</f>
        <v>0</v>
      </c>
      <c r="BV42" s="197">
        <f ca="1">IF(BV10&lt;=Assumptions!$G$10+1,('Monthly Cash Flow Exercise'!BV35+BV38)*-HLOOKUP(BV11,Assumptions!$D$72:$O$74,3,FALSE),0)</f>
        <v>0</v>
      </c>
      <c r="BW42" s="197">
        <f ca="1">IF(BW10&lt;=Assumptions!$G$10+1,('Monthly Cash Flow Exercise'!BW35+BW38)*-HLOOKUP(BW11,Assumptions!$D$72:$O$74,3,FALSE),0)</f>
        <v>0</v>
      </c>
      <c r="BX42" s="197">
        <f ca="1">IF(BX10&lt;=Assumptions!$G$10+1,('Monthly Cash Flow Exercise'!BX35+BX38)*-HLOOKUP(BX11,Assumptions!$D$72:$O$74,3,FALSE),0)</f>
        <v>0</v>
      </c>
      <c r="BY42" s="197">
        <f ca="1">IF(BY10&lt;=Assumptions!$G$10+1,('Monthly Cash Flow Exercise'!BY35+BY38)*-HLOOKUP(BY11,Assumptions!$D$72:$O$74,3,FALSE),0)</f>
        <v>0</v>
      </c>
      <c r="BZ42" s="197">
        <f ca="1">IF(BZ10&lt;=Assumptions!$G$10+1,('Monthly Cash Flow Exercise'!BZ35+BZ38)*-HLOOKUP(BZ11,Assumptions!$D$72:$O$74,3,FALSE),0)</f>
        <v>0</v>
      </c>
      <c r="CA42" s="197">
        <f ca="1">IF(CA10&lt;=Assumptions!$G$10+1,('Monthly Cash Flow Exercise'!CA35+CA38)*-HLOOKUP(CA11,Assumptions!$D$72:$O$74,3,FALSE),0)</f>
        <v>0</v>
      </c>
      <c r="CB42" s="197">
        <f ca="1">IF(CB10&lt;=Assumptions!$G$10+1,('Monthly Cash Flow Exercise'!CB35+CB38)*-HLOOKUP(CB11,Assumptions!$D$72:$O$74,3,FALSE),0)</f>
        <v>0</v>
      </c>
      <c r="CC42" s="197">
        <f ca="1">IF(CC10&lt;=Assumptions!$G$10+1,('Monthly Cash Flow Exercise'!CC35+CC38)*-HLOOKUP(CC11,Assumptions!$D$72:$O$74,3,FALSE),0)</f>
        <v>0</v>
      </c>
      <c r="CD42" s="197">
        <f ca="1">IF(CD10&lt;=Assumptions!$G$10+1,('Monthly Cash Flow Exercise'!CD35+CD38)*-HLOOKUP(CD11,Assumptions!$D$72:$O$74,3,FALSE),0)</f>
        <v>0</v>
      </c>
      <c r="CE42" s="197">
        <f ca="1">IF(CE10&lt;=Assumptions!$G$10+1,('Monthly Cash Flow Exercise'!CE35+CE38)*-HLOOKUP(CE11,Assumptions!$D$72:$O$74,3,FALSE),0)</f>
        <v>0</v>
      </c>
      <c r="CF42" s="197">
        <f ca="1">IF(CF10&lt;=Assumptions!$G$10+1,('Monthly Cash Flow Exercise'!CF35+CF38)*-HLOOKUP(CF11,Assumptions!$D$72:$O$74,3,FALSE),0)</f>
        <v>0</v>
      </c>
      <c r="CG42" s="197">
        <f ca="1">IF(CG10&lt;=Assumptions!$G$10+1,('Monthly Cash Flow Exercise'!CG35+CG38)*-HLOOKUP(CG11,Assumptions!$D$72:$O$74,3,FALSE),0)</f>
        <v>0</v>
      </c>
      <c r="CH42" s="197">
        <f ca="1">IF(CH10&lt;=Assumptions!$G$10+1,('Monthly Cash Flow Exercise'!CH35+CH38)*-HLOOKUP(CH11,Assumptions!$D$72:$O$74,3,FALSE),0)</f>
        <v>0</v>
      </c>
      <c r="CI42" s="197">
        <f ca="1">IF(CI10&lt;=Assumptions!$G$10+1,('Monthly Cash Flow Exercise'!CI35+CI38)*-HLOOKUP(CI11,Assumptions!$D$72:$O$74,3,FALSE),0)</f>
        <v>0</v>
      </c>
      <c r="CJ42" s="197">
        <f ca="1">IF(CJ10&lt;=Assumptions!$G$10+1,('Monthly Cash Flow Exercise'!CJ35+CJ38)*-HLOOKUP(CJ11,Assumptions!$D$72:$O$74,3,FALSE),0)</f>
        <v>0</v>
      </c>
      <c r="CK42" s="197">
        <f ca="1">IF(CK10&lt;=Assumptions!$G$10+1,('Monthly Cash Flow Exercise'!CK35+CK38)*-HLOOKUP(CK11,Assumptions!$D$72:$O$74,3,FALSE),0)</f>
        <v>0</v>
      </c>
      <c r="CL42" s="197">
        <f ca="1">IF(CL10&lt;=Assumptions!$G$10+1,('Monthly Cash Flow Exercise'!CL35+CL38)*-HLOOKUP(CL11,Assumptions!$D$72:$O$74,3,FALSE),0)</f>
        <v>0</v>
      </c>
      <c r="CM42" s="197">
        <f ca="1">IF(CM10&lt;=Assumptions!$G$10+1,('Monthly Cash Flow Exercise'!CM35+CM38)*-HLOOKUP(CM11,Assumptions!$D$72:$O$74,3,FALSE),0)</f>
        <v>0</v>
      </c>
      <c r="CN42" s="197">
        <f ca="1">IF(CN10&lt;=Assumptions!$G$10+1,('Monthly Cash Flow Exercise'!CN35+CN38)*-HLOOKUP(CN11,Assumptions!$D$72:$O$74,3,FALSE),0)</f>
        <v>0</v>
      </c>
      <c r="CO42" s="197">
        <f ca="1">IF(CO10&lt;=Assumptions!$G$10+1,('Monthly Cash Flow Exercise'!CO35+CO38)*-HLOOKUP(CO11,Assumptions!$D$72:$O$74,3,FALSE),0)</f>
        <v>0</v>
      </c>
      <c r="CP42" s="197">
        <f ca="1">IF(CP10&lt;=Assumptions!$G$10+1,('Monthly Cash Flow Exercise'!CP35+CP38)*-HLOOKUP(CP11,Assumptions!$D$72:$O$74,3,FALSE),0)</f>
        <v>0</v>
      </c>
      <c r="CQ42" s="197">
        <f ca="1">IF(CQ10&lt;=Assumptions!$G$10+1,('Monthly Cash Flow Exercise'!CQ35+CQ38)*-HLOOKUP(CQ11,Assumptions!$D$72:$O$74,3,FALSE),0)</f>
        <v>0</v>
      </c>
      <c r="CR42" s="197">
        <f ca="1">IF(CR10&lt;=Assumptions!$G$10+1,('Monthly Cash Flow Exercise'!CR35+CR38)*-HLOOKUP(CR11,Assumptions!$D$72:$O$74,3,FALSE),0)</f>
        <v>0</v>
      </c>
      <c r="CS42" s="197">
        <f ca="1">IF(CS10&lt;=Assumptions!$G$10+1,('Monthly Cash Flow Exercise'!CS35+CS38)*-HLOOKUP(CS11,Assumptions!$D$72:$O$74,3,FALSE),0)</f>
        <v>0</v>
      </c>
      <c r="CT42" s="197">
        <f ca="1">IF(CT10&lt;=Assumptions!$G$10+1,('Monthly Cash Flow Exercise'!CT35+CT38)*-HLOOKUP(CT11,Assumptions!$D$72:$O$74,3,FALSE),0)</f>
        <v>0</v>
      </c>
      <c r="CU42" s="197">
        <f ca="1">IF(CU10&lt;=Assumptions!$G$10+1,('Monthly Cash Flow Exercise'!CU35+CU38)*-HLOOKUP(CU11,Assumptions!$D$72:$O$74,3,FALSE),0)</f>
        <v>0</v>
      </c>
      <c r="CV42" s="197">
        <f ca="1">IF(CV10&lt;=Assumptions!$G$10+1,('Monthly Cash Flow Exercise'!CV35+CV38)*-HLOOKUP(CV11,Assumptions!$D$72:$O$74,3,FALSE),0)</f>
        <v>0</v>
      </c>
      <c r="CW42" s="197">
        <f ca="1">IF(CW10&lt;=Assumptions!$G$10+1,('Monthly Cash Flow Exercise'!CW35+CW38)*-HLOOKUP(CW11,Assumptions!$D$72:$O$74,3,FALSE),0)</f>
        <v>0</v>
      </c>
      <c r="CX42" s="197">
        <f ca="1">IF(CX10&lt;=Assumptions!$G$10+1,('Monthly Cash Flow Exercise'!CX35+CX38)*-HLOOKUP(CX11,Assumptions!$D$72:$O$74,3,FALSE),0)</f>
        <v>0</v>
      </c>
      <c r="CY42" s="197">
        <f ca="1">IF(CY10&lt;=Assumptions!$G$10+1,('Monthly Cash Flow Exercise'!CY35+CY38)*-HLOOKUP(CY11,Assumptions!$D$72:$O$74,3,FALSE),0)</f>
        <v>0</v>
      </c>
      <c r="CZ42" s="197">
        <f ca="1">IF(CZ10&lt;=Assumptions!$G$10+1,('Monthly Cash Flow Exercise'!CZ35+CZ38)*-HLOOKUP(CZ11,Assumptions!$D$72:$O$74,3,FALSE),0)</f>
        <v>0</v>
      </c>
      <c r="DA42" s="197">
        <f ca="1">IF(DA10&lt;=Assumptions!$G$10+1,('Monthly Cash Flow Exercise'!DA35+DA38)*-HLOOKUP(DA11,Assumptions!$D$72:$O$74,3,FALSE),0)</f>
        <v>0</v>
      </c>
      <c r="DB42" s="197">
        <f ca="1">IF(DB10&lt;=Assumptions!$G$10+1,('Monthly Cash Flow Exercise'!DB35+DB38)*-HLOOKUP(DB11,Assumptions!$D$72:$O$74,3,FALSE),0)</f>
        <v>0</v>
      </c>
      <c r="DC42" s="197">
        <f ca="1">IF(DC10&lt;=Assumptions!$G$10+1,('Monthly Cash Flow Exercise'!DC35+DC38)*-HLOOKUP(DC11,Assumptions!$D$72:$O$74,3,FALSE),0)</f>
        <v>0</v>
      </c>
      <c r="DD42" s="197">
        <f ca="1">IF(DD10&lt;=Assumptions!$G$10+1,('Monthly Cash Flow Exercise'!DD35+DD38)*-HLOOKUP(DD11,Assumptions!$D$72:$O$74,3,FALSE),0)</f>
        <v>0</v>
      </c>
      <c r="DE42" s="197">
        <f ca="1">IF(DE10&lt;=Assumptions!$G$10+1,('Monthly Cash Flow Exercise'!DE35+DE38)*-HLOOKUP(DE11,Assumptions!$D$72:$O$74,3,FALSE),0)</f>
        <v>0</v>
      </c>
      <c r="DF42" s="197">
        <f ca="1">IF(DF10&lt;=Assumptions!$G$10+1,('Monthly Cash Flow Exercise'!DF35+DF38)*-HLOOKUP(DF11,Assumptions!$D$72:$O$74,3,FALSE),0)</f>
        <v>0</v>
      </c>
      <c r="DG42" s="197">
        <f ca="1">IF(DG10&lt;=Assumptions!$G$10+1,('Monthly Cash Flow Exercise'!DG35+DG38)*-HLOOKUP(DG11,Assumptions!$D$72:$O$74,3,FALSE),0)</f>
        <v>0</v>
      </c>
      <c r="DH42" s="197">
        <f ca="1">IF(DH10&lt;=Assumptions!$G$10+1,('Monthly Cash Flow Exercise'!DH35+DH38)*-HLOOKUP(DH11,Assumptions!$D$72:$O$74,3,FALSE),0)</f>
        <v>0</v>
      </c>
      <c r="DI42" s="197">
        <f>IF(DI10&lt;=Assumptions!$G$10+1,('Monthly Cash Flow Exercise'!DI35+DI38)*-HLOOKUP(DI11,Assumptions!$D$72:$O$74,3,FALSE),0)</f>
        <v>0</v>
      </c>
      <c r="DJ42" s="197">
        <f>IF(DJ10&lt;=Assumptions!$G$10+1,('Monthly Cash Flow Exercise'!DJ35+DJ38)*-HLOOKUP(DJ11,Assumptions!$D$72:$O$74,3,FALSE),0)</f>
        <v>0</v>
      </c>
      <c r="DK42" s="197">
        <f>IF(DK10&lt;=Assumptions!$G$10+1,('Monthly Cash Flow Exercise'!DK35+DK38)*-HLOOKUP(DK11,Assumptions!$D$72:$O$74,3,FALSE),0)</f>
        <v>0</v>
      </c>
      <c r="DL42" s="197">
        <f>IF(DL10&lt;=Assumptions!$G$10+1,('Monthly Cash Flow Exercise'!DL35+DL38)*-HLOOKUP(DL11,Assumptions!$D$72:$O$74,3,FALSE),0)</f>
        <v>0</v>
      </c>
      <c r="DM42" s="197">
        <f>IF(DM10&lt;=Assumptions!$G$10+1,('Monthly Cash Flow Exercise'!DM35+DM38)*-HLOOKUP(DM11,Assumptions!$D$72:$O$74,3,FALSE),0)</f>
        <v>0</v>
      </c>
      <c r="DN42" s="197">
        <f>IF(DN10&lt;=Assumptions!$G$10+1,('Monthly Cash Flow Exercise'!DN35+DN38)*-HLOOKUP(DN11,Assumptions!$D$72:$O$74,3,FALSE),0)</f>
        <v>0</v>
      </c>
      <c r="DO42" s="197">
        <f>IF(DO10&lt;=Assumptions!$G$10+1,('Monthly Cash Flow Exercise'!DO35+DO38)*-HLOOKUP(DO11,Assumptions!$D$72:$O$74,3,FALSE),0)</f>
        <v>0</v>
      </c>
      <c r="DP42" s="197">
        <f>IF(DP10&lt;=Assumptions!$G$10+1,('Monthly Cash Flow Exercise'!DP35+DP38)*-HLOOKUP(DP11,Assumptions!$D$72:$O$74,3,FALSE),0)</f>
        <v>0</v>
      </c>
      <c r="DQ42" s="197">
        <f>IF(DQ10&lt;=Assumptions!$G$10+1,('Monthly Cash Flow Exercise'!DQ35+DQ38)*-HLOOKUP(DQ11,Assumptions!$D$72:$O$74,3,FALSE),0)</f>
        <v>0</v>
      </c>
      <c r="DR42" s="197">
        <f>IF(DR10&lt;=Assumptions!$G$10+1,('Monthly Cash Flow Exercise'!DR35+DR38)*-HLOOKUP(DR11,Assumptions!$D$72:$O$74,3,FALSE),0)</f>
        <v>0</v>
      </c>
      <c r="DS42" s="197">
        <f>IF(DS10&lt;=Assumptions!$G$10+1,('Monthly Cash Flow Exercise'!DS35+DS38)*-HLOOKUP(DS11,Assumptions!$D$72:$O$74,3,FALSE),0)</f>
        <v>0</v>
      </c>
      <c r="DT42" s="197">
        <f>IF(DT10&lt;=Assumptions!$G$10+1,('Monthly Cash Flow Exercise'!DT35+DT38)*-HLOOKUP(DT11,Assumptions!$D$72:$O$74,3,FALSE),0)</f>
        <v>0</v>
      </c>
      <c r="DU42" s="197">
        <f>IF(DU10&lt;=Assumptions!$G$10+1,('Monthly Cash Flow Exercise'!DU35+DU38)*-HLOOKUP(DU11,Assumptions!$D$72:$O$74,3,FALSE),0)</f>
        <v>0</v>
      </c>
      <c r="DV42" s="197">
        <f>IF(DV10&lt;=Assumptions!$G$10+1,('Monthly Cash Flow Exercise'!DV35+DV38)*-HLOOKUP(DV11,Assumptions!$D$72:$O$74,3,FALSE),0)</f>
        <v>0</v>
      </c>
      <c r="DW42" s="197">
        <f>IF(DW10&lt;=Assumptions!$G$10+1,('Monthly Cash Flow Exercise'!DW35+DW38)*-HLOOKUP(DW11,Assumptions!$D$72:$O$74,3,FALSE),0)</f>
        <v>0</v>
      </c>
      <c r="DX42" s="197">
        <f>IF(DX10&lt;=Assumptions!$G$10+1,('Monthly Cash Flow Exercise'!DX35+DX38)*-HLOOKUP(DX11,Assumptions!$D$72:$O$74,3,FALSE),0)</f>
        <v>0</v>
      </c>
      <c r="DY42" s="197">
        <f>IF(DY10&lt;=Assumptions!$G$10+1,('Monthly Cash Flow Exercise'!DY35+DY38)*-HLOOKUP(DY11,Assumptions!$D$72:$O$74,3,FALSE),0)</f>
        <v>0</v>
      </c>
      <c r="DZ42" s="197">
        <f>IF(DZ10&lt;=Assumptions!$G$10+1,('Monthly Cash Flow Exercise'!DZ35+DZ38)*-HLOOKUP(DZ11,Assumptions!$D$72:$O$74,3,FALSE),0)</f>
        <v>0</v>
      </c>
      <c r="EA42" s="197">
        <f>IF(EA10&lt;=Assumptions!$G$10+1,('Monthly Cash Flow Exercise'!EA35+EA38)*-HLOOKUP(EA11,Assumptions!$D$72:$O$74,3,FALSE),0)</f>
        <v>0</v>
      </c>
      <c r="EB42" s="197">
        <f>IF(EB10&lt;=Assumptions!$G$10+1,('Monthly Cash Flow Exercise'!EB35+EB38)*-HLOOKUP(EB11,Assumptions!$D$72:$O$74,3,FALSE),0)</f>
        <v>0</v>
      </c>
      <c r="EC42" s="197">
        <f>IF(EC10&lt;=Assumptions!$G$10+1,('Monthly Cash Flow Exercise'!EC35+EC38)*-HLOOKUP(EC11,Assumptions!$D$72:$O$74,3,FALSE),0)</f>
        <v>0</v>
      </c>
      <c r="ED42" s="197">
        <f>IF(ED10&lt;=Assumptions!$G$10+1,('Monthly Cash Flow Exercise'!ED35+ED38)*-HLOOKUP(ED11,Assumptions!$D$72:$O$74,3,FALSE),0)</f>
        <v>0</v>
      </c>
      <c r="EE42" s="197">
        <f>IF(EE10&lt;=Assumptions!$G$10+1,('Monthly Cash Flow Exercise'!EE35+EE38)*-HLOOKUP(EE11,Assumptions!$D$72:$O$74,3,FALSE),0)</f>
        <v>0</v>
      </c>
      <c r="EF42" s="197">
        <f>IF(EF10&lt;=Assumptions!$G$10+1,('Monthly Cash Flow Exercise'!EF35+EF38)*-HLOOKUP(EF11,Assumptions!$D$72:$O$74,3,FALSE),0)</f>
        <v>0</v>
      </c>
      <c r="EG42" s="197">
        <f>IF(EG10&lt;=Assumptions!$G$10+1,('Monthly Cash Flow Exercise'!EG35+EG38)*-HLOOKUP(EG11,Assumptions!$D$72:$O$74,3,FALSE),0)</f>
        <v>0</v>
      </c>
      <c r="EH42" s="197">
        <f>IF(EH10&lt;=Assumptions!$G$10+1,('Monthly Cash Flow Exercise'!EH35+EH38)*-HLOOKUP(EH11,Assumptions!$D$72:$O$74,3,FALSE),0)</f>
        <v>0</v>
      </c>
      <c r="EI42" s="197">
        <f>IF(EI10&lt;=Assumptions!$G$10+1,('Monthly Cash Flow Exercise'!EI35+EI38)*-HLOOKUP(EI11,Assumptions!$D$72:$O$74,3,FALSE),0)</f>
        <v>0</v>
      </c>
      <c r="EJ42" s="197">
        <f>IF(EJ10&lt;=Assumptions!$G$10+1,('Monthly Cash Flow Exercise'!EJ35+EJ38)*-HLOOKUP(EJ11,Assumptions!$D$72:$O$74,3,FALSE),0)</f>
        <v>0</v>
      </c>
      <c r="EK42" s="197">
        <f>IF(EK10&lt;=Assumptions!$G$10+1,('Monthly Cash Flow Exercise'!EK35+EK38)*-HLOOKUP(EK11,Assumptions!$D$72:$O$74,3,FALSE),0)</f>
        <v>0</v>
      </c>
      <c r="EL42" s="197">
        <f>IF(EL10&lt;=Assumptions!$G$10+1,('Monthly Cash Flow Exercise'!EL35+EL38)*-HLOOKUP(EL11,Assumptions!$D$72:$O$74,3,FALSE),0)</f>
        <v>0</v>
      </c>
      <c r="EM42" s="197">
        <f>IF(EM10&lt;=Assumptions!$G$10+1,('Monthly Cash Flow Exercise'!EM35+EM38)*-HLOOKUP(EM11,Assumptions!$D$72:$O$74,3,FALSE),0)</f>
        <v>0</v>
      </c>
      <c r="EN42" s="197">
        <f>IF(EN10&lt;=Assumptions!$G$10+1,('Monthly Cash Flow Exercise'!EN35+EN38)*-HLOOKUP(EN11,Assumptions!$D$72:$O$74,3,FALSE),0)</f>
        <v>0</v>
      </c>
      <c r="EO42" s="197">
        <f>IF(EO10&lt;=Assumptions!$G$10+1,('Monthly Cash Flow Exercise'!EO35+EO38)*-HLOOKUP(EO11,Assumptions!$D$72:$O$74,3,FALSE),0)</f>
        <v>0</v>
      </c>
      <c r="EP42" s="197">
        <f>IF(EP10&lt;=Assumptions!$G$10+1,('Monthly Cash Flow Exercise'!EP35+EP38)*-HLOOKUP(EP11,Assumptions!$D$72:$O$74,3,FALSE),0)</f>
        <v>0</v>
      </c>
      <c r="EQ42" s="197">
        <f>IF(EQ10&lt;=Assumptions!$G$10+1,('Monthly Cash Flow Exercise'!EQ35+EQ38)*-HLOOKUP(EQ11,Assumptions!$D$72:$O$74,3,FALSE),0)</f>
        <v>0</v>
      </c>
      <c r="ES42" s="421"/>
      <c r="ET42" s="67"/>
      <c r="EU42" s="195"/>
    </row>
    <row r="43" spans="2:151" ht="6" customHeight="1">
      <c r="G43" s="485"/>
      <c r="H43" s="482"/>
      <c r="I43" s="97"/>
      <c r="J43" s="220"/>
      <c r="K43" s="116"/>
      <c r="L43" s="102"/>
      <c r="M43" s="102"/>
      <c r="N43" s="220"/>
      <c r="O43" s="780"/>
      <c r="P43" s="103"/>
      <c r="Q43" s="104"/>
      <c r="R43" s="104"/>
      <c r="S43" s="105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  <c r="DW43" s="104"/>
      <c r="DX43" s="104"/>
      <c r="DY43" s="104"/>
      <c r="DZ43" s="104"/>
      <c r="EA43" s="104"/>
      <c r="EB43" s="104"/>
      <c r="EC43" s="104"/>
      <c r="ED43" s="104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S43" s="421"/>
      <c r="ET43" s="63"/>
      <c r="EU43" s="98"/>
    </row>
    <row r="44" spans="2:151" ht="15.75">
      <c r="G44" s="494" t="s">
        <v>12</v>
      </c>
      <c r="H44" s="482"/>
      <c r="I44" s="108"/>
      <c r="J44" s="217"/>
      <c r="K44" s="107"/>
      <c r="L44" s="106"/>
      <c r="M44" s="106"/>
      <c r="N44" s="217">
        <f>N35+N39+N40+N41+N42+N37</f>
        <v>285240</v>
      </c>
      <c r="O44" s="781"/>
      <c r="P44" s="106">
        <f t="shared" ref="P44:AU44" ca="1" si="53">P35+P39+P42+P37+P40+P41</f>
        <v>24225</v>
      </c>
      <c r="Q44" s="106">
        <f t="shared" ca="1" si="53"/>
        <v>24225.000000000004</v>
      </c>
      <c r="R44" s="106">
        <f t="shared" ca="1" si="53"/>
        <v>24225.000000000004</v>
      </c>
      <c r="S44" s="106">
        <f t="shared" ca="1" si="53"/>
        <v>24225.000000000004</v>
      </c>
      <c r="T44" s="106">
        <f t="shared" ca="1" si="53"/>
        <v>24325.000000000004</v>
      </c>
      <c r="U44" s="106">
        <f t="shared" ca="1" si="53"/>
        <v>24725.000000000004</v>
      </c>
      <c r="V44" s="106">
        <f t="shared" ca="1" si="53"/>
        <v>25225.000000000004</v>
      </c>
      <c r="W44" s="106">
        <f t="shared" ca="1" si="53"/>
        <v>25225.000000000004</v>
      </c>
      <c r="X44" s="106">
        <f t="shared" ca="1" si="53"/>
        <v>25225.000000000004</v>
      </c>
      <c r="Y44" s="106">
        <f t="shared" ca="1" si="53"/>
        <v>25225.000000000004</v>
      </c>
      <c r="Z44" s="106">
        <f t="shared" ca="1" si="53"/>
        <v>25225.000000000004</v>
      </c>
      <c r="AA44" s="106">
        <f t="shared" ca="1" si="53"/>
        <v>25225.000000000004</v>
      </c>
      <c r="AB44" s="106">
        <f t="shared" ca="1" si="53"/>
        <v>26446.173000000003</v>
      </c>
      <c r="AC44" s="106">
        <f t="shared" ca="1" si="53"/>
        <v>26446.173000000003</v>
      </c>
      <c r="AD44" s="106">
        <f t="shared" ca="1" si="53"/>
        <v>26446.173000000003</v>
      </c>
      <c r="AE44" s="106">
        <f t="shared" ca="1" si="53"/>
        <v>26987.472000000002</v>
      </c>
      <c r="AF44" s="106">
        <f t="shared" ca="1" si="53"/>
        <v>27528.771000000001</v>
      </c>
      <c r="AG44" s="106">
        <f t="shared" ca="1" si="53"/>
        <v>27528.771000000001</v>
      </c>
      <c r="AH44" s="106">
        <f t="shared" ca="1" si="53"/>
        <v>28070.07</v>
      </c>
      <c r="AI44" s="106">
        <f t="shared" ca="1" si="53"/>
        <v>28070.07</v>
      </c>
      <c r="AJ44" s="106">
        <f t="shared" ca="1" si="53"/>
        <v>28070.07</v>
      </c>
      <c r="AK44" s="106">
        <f t="shared" ca="1" si="53"/>
        <v>28070.07</v>
      </c>
      <c r="AL44" s="106">
        <f t="shared" ca="1" si="53"/>
        <v>28070.07</v>
      </c>
      <c r="AM44" s="106">
        <f t="shared" ca="1" si="53"/>
        <v>28070.07</v>
      </c>
      <c r="AN44" s="106">
        <f t="shared" ca="1" si="53"/>
        <v>29389.363290000001</v>
      </c>
      <c r="AO44" s="106">
        <f t="shared" ca="1" si="53"/>
        <v>29389.363290000001</v>
      </c>
      <c r="AP44" s="106">
        <f t="shared" ca="1" si="53"/>
        <v>29389.363290000001</v>
      </c>
      <c r="AQ44" s="106">
        <f t="shared" ca="1" si="53"/>
        <v>29389.363290000001</v>
      </c>
      <c r="AR44" s="106">
        <f t="shared" ca="1" si="53"/>
        <v>29389.363290000001</v>
      </c>
      <c r="AS44" s="106">
        <f t="shared" ca="1" si="53"/>
        <v>29389.363290000001</v>
      </c>
      <c r="AT44" s="106">
        <f t="shared" ca="1" si="53"/>
        <v>29842.7553324</v>
      </c>
      <c r="AU44" s="106">
        <f t="shared" ca="1" si="53"/>
        <v>29842.7553324</v>
      </c>
      <c r="AV44" s="106">
        <f t="shared" ref="AV44:CA44" ca="1" si="54">AV35+AV39+AV42+AV37+AV40+AV41</f>
        <v>29956.103343000002</v>
      </c>
      <c r="AW44" s="106">
        <f t="shared" ca="1" si="54"/>
        <v>29956.103343000002</v>
      </c>
      <c r="AX44" s="106">
        <f t="shared" ca="1" si="54"/>
        <v>29956.103343000002</v>
      </c>
      <c r="AY44" s="106">
        <f t="shared" ca="1" si="54"/>
        <v>29956.103343000002</v>
      </c>
      <c r="AZ44" s="106">
        <f t="shared" ca="1" si="54"/>
        <v>30944.654753318995</v>
      </c>
      <c r="BA44" s="106">
        <f t="shared" ca="1" si="54"/>
        <v>30944.654753318995</v>
      </c>
      <c r="BB44" s="106">
        <f t="shared" ca="1" si="54"/>
        <v>30944.654753318995</v>
      </c>
      <c r="BC44" s="106">
        <f t="shared" ca="1" si="54"/>
        <v>30944.654753318995</v>
      </c>
      <c r="BD44" s="106">
        <f t="shared" ca="1" si="54"/>
        <v>30944.654753318995</v>
      </c>
      <c r="BE44" s="106">
        <f t="shared" ca="1" si="54"/>
        <v>30944.654753318995</v>
      </c>
      <c r="BF44" s="106">
        <f t="shared" ca="1" si="54"/>
        <v>30944.654753318995</v>
      </c>
      <c r="BG44" s="106">
        <f t="shared" ca="1" si="54"/>
        <v>30944.654753318995</v>
      </c>
      <c r="BH44" s="106">
        <f t="shared" ca="1" si="54"/>
        <v>30944.654753318995</v>
      </c>
      <c r="BI44" s="106">
        <f t="shared" ca="1" si="54"/>
        <v>30944.654753318995</v>
      </c>
      <c r="BJ44" s="106">
        <f t="shared" ca="1" si="54"/>
        <v>30944.654753318995</v>
      </c>
      <c r="BK44" s="106">
        <f t="shared" ca="1" si="54"/>
        <v>30944.654753318995</v>
      </c>
      <c r="BL44" s="106">
        <f t="shared" ca="1" si="54"/>
        <v>31780.160431658605</v>
      </c>
      <c r="BM44" s="106">
        <f t="shared" ca="1" si="54"/>
        <v>31780.160431658605</v>
      </c>
      <c r="BN44" s="106">
        <f t="shared" ca="1" si="54"/>
        <v>31780.160431658605</v>
      </c>
      <c r="BO44" s="106">
        <f t="shared" ca="1" si="54"/>
        <v>31780.160431658605</v>
      </c>
      <c r="BP44" s="106">
        <f t="shared" ca="1" si="54"/>
        <v>31780.160431658605</v>
      </c>
      <c r="BQ44" s="106">
        <f t="shared" ca="1" si="54"/>
        <v>31780.160431658605</v>
      </c>
      <c r="BR44" s="106">
        <f t="shared" ca="1" si="54"/>
        <v>31780.160431658605</v>
      </c>
      <c r="BS44" s="106">
        <f t="shared" ca="1" si="54"/>
        <v>31780.160431658605</v>
      </c>
      <c r="BT44" s="106">
        <f t="shared" ca="1" si="54"/>
        <v>31780.160431658605</v>
      </c>
      <c r="BU44" s="106">
        <f t="shared" ca="1" si="54"/>
        <v>31780.160431658605</v>
      </c>
      <c r="BV44" s="106">
        <f t="shared" ca="1" si="54"/>
        <v>31780.160431658605</v>
      </c>
      <c r="BW44" s="106">
        <f t="shared" ca="1" si="54"/>
        <v>31780.160431658605</v>
      </c>
      <c r="BX44" s="106">
        <f t="shared" ca="1" si="54"/>
        <v>32733.565244608362</v>
      </c>
      <c r="BY44" s="106">
        <f t="shared" ca="1" si="54"/>
        <v>32733.565244608362</v>
      </c>
      <c r="BZ44" s="106">
        <f t="shared" ca="1" si="54"/>
        <v>32733.565244608362</v>
      </c>
      <c r="CA44" s="106">
        <f t="shared" ca="1" si="54"/>
        <v>32733.565244608362</v>
      </c>
      <c r="CB44" s="106">
        <f t="shared" ref="CB44:DG44" ca="1" si="55">CB35+CB39+CB42+CB37+CB40+CB41</f>
        <v>32733.565244608362</v>
      </c>
      <c r="CC44" s="106">
        <f t="shared" ca="1" si="55"/>
        <v>32733.565244608362</v>
      </c>
      <c r="CD44" s="106">
        <f t="shared" ca="1" si="55"/>
        <v>32733.565244608362</v>
      </c>
      <c r="CE44" s="106">
        <f t="shared" ca="1" si="55"/>
        <v>32733.565244608362</v>
      </c>
      <c r="CF44" s="106">
        <f t="shared" ca="1" si="55"/>
        <v>32733.565244608362</v>
      </c>
      <c r="CG44" s="106">
        <f t="shared" ca="1" si="55"/>
        <v>32733.565244608362</v>
      </c>
      <c r="CH44" s="106">
        <f t="shared" ca="1" si="55"/>
        <v>32733.565244608362</v>
      </c>
      <c r="CI44" s="106">
        <f t="shared" ca="1" si="55"/>
        <v>32733.565244608362</v>
      </c>
      <c r="CJ44" s="106">
        <f t="shared" ca="1" si="55"/>
        <v>33715.572201946619</v>
      </c>
      <c r="CK44" s="106">
        <f t="shared" ca="1" si="55"/>
        <v>33715.572201946619</v>
      </c>
      <c r="CL44" s="106">
        <f t="shared" ca="1" si="55"/>
        <v>33715.572201946619</v>
      </c>
      <c r="CM44" s="106">
        <f t="shared" ca="1" si="55"/>
        <v>33715.572201946619</v>
      </c>
      <c r="CN44" s="106">
        <f t="shared" ca="1" si="55"/>
        <v>33715.572201946619</v>
      </c>
      <c r="CO44" s="106">
        <f t="shared" ca="1" si="55"/>
        <v>33715.572201946619</v>
      </c>
      <c r="CP44" s="106">
        <f t="shared" ca="1" si="55"/>
        <v>33715.572201946619</v>
      </c>
      <c r="CQ44" s="106">
        <f t="shared" ca="1" si="55"/>
        <v>33715.572201946619</v>
      </c>
      <c r="CR44" s="106">
        <f t="shared" ca="1" si="55"/>
        <v>33715.572201946619</v>
      </c>
      <c r="CS44" s="106">
        <f t="shared" ca="1" si="55"/>
        <v>33715.572201946619</v>
      </c>
      <c r="CT44" s="106">
        <f t="shared" ca="1" si="55"/>
        <v>33715.572201946619</v>
      </c>
      <c r="CU44" s="106">
        <f t="shared" ca="1" si="55"/>
        <v>33715.572201946619</v>
      </c>
      <c r="CV44" s="106">
        <f t="shared" ca="1" si="55"/>
        <v>34727.039368005018</v>
      </c>
      <c r="CW44" s="106">
        <f t="shared" ca="1" si="55"/>
        <v>34727.039368005018</v>
      </c>
      <c r="CX44" s="106">
        <f t="shared" ca="1" si="55"/>
        <v>34727.039368005018</v>
      </c>
      <c r="CY44" s="106">
        <f t="shared" ca="1" si="55"/>
        <v>34727.039368005018</v>
      </c>
      <c r="CZ44" s="106">
        <f t="shared" ca="1" si="55"/>
        <v>34727.039368005018</v>
      </c>
      <c r="DA44" s="106">
        <f t="shared" ca="1" si="55"/>
        <v>34727.039368005018</v>
      </c>
      <c r="DB44" s="106">
        <f t="shared" ca="1" si="55"/>
        <v>34727.039368005018</v>
      </c>
      <c r="DC44" s="106">
        <f t="shared" ca="1" si="55"/>
        <v>34727.039368005018</v>
      </c>
      <c r="DD44" s="106">
        <f t="shared" ca="1" si="55"/>
        <v>34727.039368005018</v>
      </c>
      <c r="DE44" s="106">
        <f t="shared" ca="1" si="55"/>
        <v>34727.039368005018</v>
      </c>
      <c r="DF44" s="106">
        <f t="shared" ca="1" si="55"/>
        <v>34727.039368005018</v>
      </c>
      <c r="DG44" s="106">
        <f t="shared" ca="1" si="55"/>
        <v>34727.039368005018</v>
      </c>
      <c r="DH44" s="106">
        <f t="shared" ref="DH44:EQ44" ca="1" si="56">DH35+DH39+DH42+DH37+DH40+DH41</f>
        <v>35768.850549045164</v>
      </c>
      <c r="DI44" s="106">
        <f t="shared" ca="1" si="56"/>
        <v>35768.850549045164</v>
      </c>
      <c r="DJ44" s="106">
        <f t="shared" ca="1" si="56"/>
        <v>0</v>
      </c>
      <c r="DK44" s="106">
        <f t="shared" ca="1" si="56"/>
        <v>0</v>
      </c>
      <c r="DL44" s="106">
        <f t="shared" ca="1" si="56"/>
        <v>0</v>
      </c>
      <c r="DM44" s="106">
        <f t="shared" ca="1" si="56"/>
        <v>0</v>
      </c>
      <c r="DN44" s="106">
        <f t="shared" ca="1" si="56"/>
        <v>0</v>
      </c>
      <c r="DO44" s="106">
        <f t="shared" ca="1" si="56"/>
        <v>0</v>
      </c>
      <c r="DP44" s="106">
        <f t="shared" ca="1" si="56"/>
        <v>0</v>
      </c>
      <c r="DQ44" s="106">
        <f t="shared" ca="1" si="56"/>
        <v>0</v>
      </c>
      <c r="DR44" s="106">
        <f t="shared" ca="1" si="56"/>
        <v>0</v>
      </c>
      <c r="DS44" s="106">
        <f t="shared" ca="1" si="56"/>
        <v>0</v>
      </c>
      <c r="DT44" s="106">
        <f t="shared" ca="1" si="56"/>
        <v>0</v>
      </c>
      <c r="DU44" s="106">
        <f t="shared" ca="1" si="56"/>
        <v>0</v>
      </c>
      <c r="DV44" s="106">
        <f t="shared" ca="1" si="56"/>
        <v>0</v>
      </c>
      <c r="DW44" s="106">
        <f t="shared" ca="1" si="56"/>
        <v>0</v>
      </c>
      <c r="DX44" s="106">
        <f t="shared" ca="1" si="56"/>
        <v>0</v>
      </c>
      <c r="DY44" s="106">
        <f t="shared" ca="1" si="56"/>
        <v>0</v>
      </c>
      <c r="DZ44" s="106">
        <f t="shared" ca="1" si="56"/>
        <v>0</v>
      </c>
      <c r="EA44" s="106">
        <f t="shared" ca="1" si="56"/>
        <v>0</v>
      </c>
      <c r="EB44" s="106">
        <f t="shared" ca="1" si="56"/>
        <v>0</v>
      </c>
      <c r="EC44" s="106">
        <f t="shared" ca="1" si="56"/>
        <v>0</v>
      </c>
      <c r="ED44" s="106">
        <f t="shared" ca="1" si="56"/>
        <v>0</v>
      </c>
      <c r="EE44" s="106">
        <f t="shared" ca="1" si="56"/>
        <v>0</v>
      </c>
      <c r="EF44" s="106">
        <f t="shared" ca="1" si="56"/>
        <v>0</v>
      </c>
      <c r="EG44" s="106">
        <f t="shared" ca="1" si="56"/>
        <v>0</v>
      </c>
      <c r="EH44" s="106">
        <f t="shared" ca="1" si="56"/>
        <v>0</v>
      </c>
      <c r="EI44" s="106">
        <f t="shared" ca="1" si="56"/>
        <v>0</v>
      </c>
      <c r="EJ44" s="106">
        <f t="shared" ca="1" si="56"/>
        <v>0</v>
      </c>
      <c r="EK44" s="106">
        <f t="shared" ca="1" si="56"/>
        <v>0</v>
      </c>
      <c r="EL44" s="106">
        <f t="shared" ca="1" si="56"/>
        <v>0</v>
      </c>
      <c r="EM44" s="106">
        <f t="shared" ca="1" si="56"/>
        <v>0</v>
      </c>
      <c r="EN44" s="106">
        <f t="shared" ca="1" si="56"/>
        <v>0</v>
      </c>
      <c r="EO44" s="106">
        <f t="shared" ca="1" si="56"/>
        <v>0</v>
      </c>
      <c r="EP44" s="106">
        <f t="shared" ca="1" si="56"/>
        <v>0</v>
      </c>
      <c r="EQ44" s="106">
        <f t="shared" ca="1" si="56"/>
        <v>0</v>
      </c>
      <c r="ES44" s="421"/>
      <c r="ET44" s="63"/>
      <c r="EU44" s="98"/>
    </row>
    <row r="45" spans="2:151" ht="9" customHeight="1">
      <c r="G45" s="494"/>
      <c r="H45" s="482"/>
      <c r="I45" s="108"/>
      <c r="J45" s="218"/>
      <c r="K45" s="109"/>
      <c r="L45" s="108"/>
      <c r="M45" s="108"/>
      <c r="N45" s="218"/>
      <c r="O45" s="782"/>
      <c r="P45" s="106"/>
      <c r="Q45" s="106"/>
      <c r="R45" s="106"/>
      <c r="S45" s="110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S45" s="421"/>
      <c r="ET45" s="63"/>
      <c r="EU45" s="98"/>
    </row>
    <row r="46" spans="2:151" ht="15.75">
      <c r="G46" s="145"/>
      <c r="H46" s="482" t="s">
        <v>134</v>
      </c>
      <c r="I46" s="495"/>
      <c r="J46" s="496"/>
      <c r="K46" s="111"/>
      <c r="L46" s="112"/>
      <c r="M46" s="112"/>
      <c r="N46" s="219">
        <f>'Annual Cash Flow'!C24</f>
        <v>-12429</v>
      </c>
      <c r="O46" s="783"/>
      <c r="P46" s="106">
        <f ca="1">IF(P10&gt;Assumptions!$G$10+1,0,P44*-HLOOKUP(P11,Assumptions!$D$72:$O$75,4,FALSE))</f>
        <v>-969</v>
      </c>
      <c r="Q46" s="106">
        <f ca="1">IF(Q10&gt;Assumptions!$G$10+1,0,Q44*-HLOOKUP(Q11,Assumptions!$D$72:$O$75,4,FALSE))</f>
        <v>-969.00000000000011</v>
      </c>
      <c r="R46" s="106">
        <f ca="1">IF(R10&gt;Assumptions!$G$10+1,0,R44*-HLOOKUP(R11,Assumptions!$D$72:$O$75,4,FALSE))</f>
        <v>-969.00000000000011</v>
      </c>
      <c r="S46" s="106">
        <f ca="1">IF(S10&gt;Assumptions!$G$10+1,0,S44*-HLOOKUP(S11,Assumptions!$D$72:$O$75,4,FALSE))</f>
        <v>-969.00000000000011</v>
      </c>
      <c r="T46" s="106">
        <f ca="1">IF(T10&gt;Assumptions!$G$10+1,0,T44*-HLOOKUP(T11,Assumptions!$D$72:$O$75,4,FALSE))</f>
        <v>-973.00000000000011</v>
      </c>
      <c r="U46" s="106">
        <f ca="1">IF(U10&gt;Assumptions!$G$10+1,0,U44*-HLOOKUP(U11,Assumptions!$D$72:$O$75,4,FALSE))</f>
        <v>-989.00000000000011</v>
      </c>
      <c r="V46" s="106">
        <f ca="1">IF(V10&gt;Assumptions!$G$10+1,0,V44*-HLOOKUP(V11,Assumptions!$D$72:$O$75,4,FALSE))</f>
        <v>-1009.0000000000001</v>
      </c>
      <c r="W46" s="106">
        <f ca="1">IF(W10&gt;Assumptions!$G$10+1,0,W44*-HLOOKUP(W11,Assumptions!$D$72:$O$75,4,FALSE))</f>
        <v>-1009.0000000000001</v>
      </c>
      <c r="X46" s="106">
        <f ca="1">IF(X10&gt;Assumptions!$G$10+1,0,X44*-HLOOKUP(X11,Assumptions!$D$72:$O$75,4,FALSE))</f>
        <v>-1009.0000000000001</v>
      </c>
      <c r="Y46" s="106">
        <f ca="1">IF(Y10&gt;Assumptions!$G$10+1,0,Y44*-HLOOKUP(Y11,Assumptions!$D$72:$O$75,4,FALSE))</f>
        <v>-1009.0000000000001</v>
      </c>
      <c r="Z46" s="106">
        <f ca="1">IF(Z10&gt;Assumptions!$G$10+1,0,Z44*-HLOOKUP(Z11,Assumptions!$D$72:$O$75,4,FALSE))</f>
        <v>-1009.0000000000001</v>
      </c>
      <c r="AA46" s="106">
        <f ca="1">IF(AA10&gt;Assumptions!$G$10+1,0,AA44*-HLOOKUP(AA11,Assumptions!$D$72:$O$75,4,FALSE))</f>
        <v>-1009.0000000000001</v>
      </c>
      <c r="AB46" s="106">
        <f ca="1">IF(AB10&gt;Assumptions!$G$10+1,0,AB44*-HLOOKUP(AB11,Assumptions!$D$72:$O$75,4,FALSE))</f>
        <v>-1057.8469200000002</v>
      </c>
      <c r="AC46" s="106">
        <f ca="1">IF(AC10&gt;Assumptions!$G$10+1,0,AC44*-HLOOKUP(AC11,Assumptions!$D$72:$O$75,4,FALSE))</f>
        <v>-1057.8469200000002</v>
      </c>
      <c r="AD46" s="106">
        <f ca="1">IF(AD10&gt;Assumptions!$G$10+1,0,AD44*-HLOOKUP(AD11,Assumptions!$D$72:$O$75,4,FALSE))</f>
        <v>-1057.8469200000002</v>
      </c>
      <c r="AE46" s="106">
        <f ca="1">IF(AE10&gt;Assumptions!$G$10+1,0,AE44*-HLOOKUP(AE11,Assumptions!$D$72:$O$75,4,FALSE))</f>
        <v>-1079.4988800000001</v>
      </c>
      <c r="AF46" s="106">
        <f ca="1">IF(AF10&gt;Assumptions!$G$10+1,0,AF44*-HLOOKUP(AF11,Assumptions!$D$72:$O$75,4,FALSE))</f>
        <v>-1101.15084</v>
      </c>
      <c r="AG46" s="106">
        <f ca="1">IF(AG10&gt;Assumptions!$G$10+1,0,AG44*-HLOOKUP(AG11,Assumptions!$D$72:$O$75,4,FALSE))</f>
        <v>-1101.15084</v>
      </c>
      <c r="AH46" s="106">
        <f ca="1">IF(AH10&gt;Assumptions!$G$10+1,0,AH44*-HLOOKUP(AH11,Assumptions!$D$72:$O$75,4,FALSE))</f>
        <v>-1122.8027999999999</v>
      </c>
      <c r="AI46" s="106">
        <f ca="1">IF(AI10&gt;Assumptions!$G$10+1,0,AI44*-HLOOKUP(AI11,Assumptions!$D$72:$O$75,4,FALSE))</f>
        <v>-1122.8027999999999</v>
      </c>
      <c r="AJ46" s="106">
        <f ca="1">IF(AJ10&gt;Assumptions!$G$10+1,0,AJ44*-HLOOKUP(AJ11,Assumptions!$D$72:$O$75,4,FALSE))</f>
        <v>-1122.8027999999999</v>
      </c>
      <c r="AK46" s="106">
        <f ca="1">IF(AK10&gt;Assumptions!$G$10+1,0,AK44*-HLOOKUP(AK11,Assumptions!$D$72:$O$75,4,FALSE))</f>
        <v>-1122.8027999999999</v>
      </c>
      <c r="AL46" s="106">
        <f ca="1">IF(AL10&gt;Assumptions!$G$10+1,0,AL44*-HLOOKUP(AL11,Assumptions!$D$72:$O$75,4,FALSE))</f>
        <v>-1122.8027999999999</v>
      </c>
      <c r="AM46" s="106">
        <f ca="1">IF(AM10&gt;Assumptions!$G$10+1,0,AM44*-HLOOKUP(AM11,Assumptions!$D$72:$O$75,4,FALSE))</f>
        <v>-1122.8027999999999</v>
      </c>
      <c r="AN46" s="106">
        <f ca="1">IF(AN10&gt;Assumptions!$G$10+1,0,AN44*-HLOOKUP(AN11,Assumptions!$D$72:$O$75,4,FALSE))</f>
        <v>-1175.5745316</v>
      </c>
      <c r="AO46" s="106">
        <f ca="1">IF(AO10&gt;Assumptions!$G$10+1,0,AO44*-HLOOKUP(AO11,Assumptions!$D$72:$O$75,4,FALSE))</f>
        <v>-1175.5745316</v>
      </c>
      <c r="AP46" s="106">
        <f ca="1">IF(AP10&gt;Assumptions!$G$10+1,0,AP44*-HLOOKUP(AP11,Assumptions!$D$72:$O$75,4,FALSE))</f>
        <v>-1175.5745316</v>
      </c>
      <c r="AQ46" s="106">
        <f ca="1">IF(AQ10&gt;Assumptions!$G$10+1,0,AQ44*-HLOOKUP(AQ11,Assumptions!$D$72:$O$75,4,FALSE))</f>
        <v>-1175.5745316</v>
      </c>
      <c r="AR46" s="106">
        <f ca="1">IF(AR10&gt;Assumptions!$G$10+1,0,AR44*-HLOOKUP(AR11,Assumptions!$D$72:$O$75,4,FALSE))</f>
        <v>-1175.5745316</v>
      </c>
      <c r="AS46" s="106">
        <f ca="1">IF(AS10&gt;Assumptions!$G$10+1,0,AS44*-HLOOKUP(AS11,Assumptions!$D$72:$O$75,4,FALSE))</f>
        <v>-1175.5745316</v>
      </c>
      <c r="AT46" s="106">
        <f ca="1">IF(AT10&gt;Assumptions!$G$10+1,0,AT44*-HLOOKUP(AT11,Assumptions!$D$72:$O$75,4,FALSE))</f>
        <v>-1193.7102132960001</v>
      </c>
      <c r="AU46" s="106">
        <f ca="1">IF(AU10&gt;Assumptions!$G$10+1,0,AU44*-HLOOKUP(AU11,Assumptions!$D$72:$O$75,4,FALSE))</f>
        <v>-1193.7102132960001</v>
      </c>
      <c r="AV46" s="106">
        <f ca="1">IF(AV10&gt;Assumptions!$G$10+1,0,AV44*-HLOOKUP(AV11,Assumptions!$D$72:$O$75,4,FALSE))</f>
        <v>-1198.24413372</v>
      </c>
      <c r="AW46" s="106">
        <f ca="1">IF(AW10&gt;Assumptions!$G$10+1,0,AW44*-HLOOKUP(AW11,Assumptions!$D$72:$O$75,4,FALSE))</f>
        <v>-1198.24413372</v>
      </c>
      <c r="AX46" s="106">
        <f ca="1">IF(AX10&gt;Assumptions!$G$10+1,0,AX44*-HLOOKUP(AX11,Assumptions!$D$72:$O$75,4,FALSE))</f>
        <v>-1198.24413372</v>
      </c>
      <c r="AY46" s="106">
        <f ca="1">IF(AY10&gt;Assumptions!$G$10+1,0,AY44*-HLOOKUP(AY11,Assumptions!$D$72:$O$75,4,FALSE))</f>
        <v>-1198.24413372</v>
      </c>
      <c r="AZ46" s="106">
        <f ca="1">IF(AZ10&gt;Assumptions!$G$10+1,0,AZ44*-HLOOKUP(AZ11,Assumptions!$D$72:$O$75,4,FALSE))</f>
        <v>-1237.7861901327599</v>
      </c>
      <c r="BA46" s="106">
        <f ca="1">IF(BA10&gt;Assumptions!$G$10+1,0,BA44*-HLOOKUP(BA11,Assumptions!$D$72:$O$75,4,FALSE))</f>
        <v>-1237.7861901327599</v>
      </c>
      <c r="BB46" s="106">
        <f ca="1">IF(BB10&gt;Assumptions!$G$10+1,0,BB44*-HLOOKUP(BB11,Assumptions!$D$72:$O$75,4,FALSE))</f>
        <v>-1237.7861901327599</v>
      </c>
      <c r="BC46" s="106">
        <f ca="1">IF(BC10&gt;Assumptions!$G$10+1,0,BC44*-HLOOKUP(BC11,Assumptions!$D$72:$O$75,4,FALSE))</f>
        <v>-1237.7861901327599</v>
      </c>
      <c r="BD46" s="106">
        <f ca="1">IF(BD10&gt;Assumptions!$G$10+1,0,BD44*-HLOOKUP(BD11,Assumptions!$D$72:$O$75,4,FALSE))</f>
        <v>-1237.7861901327599</v>
      </c>
      <c r="BE46" s="106">
        <f ca="1">IF(BE10&gt;Assumptions!$G$10+1,0,BE44*-HLOOKUP(BE11,Assumptions!$D$72:$O$75,4,FALSE))</f>
        <v>-1237.7861901327599</v>
      </c>
      <c r="BF46" s="106">
        <f ca="1">IF(BF10&gt;Assumptions!$G$10+1,0,BF44*-HLOOKUP(BF11,Assumptions!$D$72:$O$75,4,FALSE))</f>
        <v>-1237.7861901327599</v>
      </c>
      <c r="BG46" s="106">
        <f ca="1">IF(BG10&gt;Assumptions!$G$10+1,0,BG44*-HLOOKUP(BG11,Assumptions!$D$72:$O$75,4,FALSE))</f>
        <v>-1237.7861901327599</v>
      </c>
      <c r="BH46" s="106">
        <f ca="1">IF(BH10&gt;Assumptions!$G$10+1,0,BH44*-HLOOKUP(BH11,Assumptions!$D$72:$O$75,4,FALSE))</f>
        <v>-1237.7861901327599</v>
      </c>
      <c r="BI46" s="106">
        <f ca="1">IF(BI10&gt;Assumptions!$G$10+1,0,BI44*-HLOOKUP(BI11,Assumptions!$D$72:$O$75,4,FALSE))</f>
        <v>-1237.7861901327599</v>
      </c>
      <c r="BJ46" s="106">
        <f ca="1">IF(BJ10&gt;Assumptions!$G$10+1,0,BJ44*-HLOOKUP(BJ11,Assumptions!$D$72:$O$75,4,FALSE))</f>
        <v>-1237.7861901327599</v>
      </c>
      <c r="BK46" s="106">
        <f ca="1">IF(BK10&gt;Assumptions!$G$10+1,0,BK44*-HLOOKUP(BK11,Assumptions!$D$72:$O$75,4,FALSE))</f>
        <v>-1237.7861901327599</v>
      </c>
      <c r="BL46" s="106">
        <f ca="1">IF(BL10&gt;Assumptions!$G$10+1,0,BL44*-HLOOKUP(BL11,Assumptions!$D$72:$O$75,4,FALSE))</f>
        <v>-1271.2064172663443</v>
      </c>
      <c r="BM46" s="106">
        <f ca="1">IF(BM10&gt;Assumptions!$G$10+1,0,BM44*-HLOOKUP(BM11,Assumptions!$D$72:$O$75,4,FALSE))</f>
        <v>-1271.2064172663443</v>
      </c>
      <c r="BN46" s="106">
        <f ca="1">IF(BN10&gt;Assumptions!$G$10+1,0,BN44*-HLOOKUP(BN11,Assumptions!$D$72:$O$75,4,FALSE))</f>
        <v>-1271.2064172663443</v>
      </c>
      <c r="BO46" s="106">
        <f ca="1">IF(BO10&gt;Assumptions!$G$10+1,0,BO44*-HLOOKUP(BO11,Assumptions!$D$72:$O$75,4,FALSE))</f>
        <v>-1271.2064172663443</v>
      </c>
      <c r="BP46" s="106">
        <f ca="1">IF(BP10&gt;Assumptions!$G$10+1,0,BP44*-HLOOKUP(BP11,Assumptions!$D$72:$O$75,4,FALSE))</f>
        <v>-1271.2064172663443</v>
      </c>
      <c r="BQ46" s="106">
        <f ca="1">IF(BQ10&gt;Assumptions!$G$10+1,0,BQ44*-HLOOKUP(BQ11,Assumptions!$D$72:$O$75,4,FALSE))</f>
        <v>-1271.2064172663443</v>
      </c>
      <c r="BR46" s="106">
        <f ca="1">IF(BR10&gt;Assumptions!$G$10+1,0,BR44*-HLOOKUP(BR11,Assumptions!$D$72:$O$75,4,FALSE))</f>
        <v>-1271.2064172663443</v>
      </c>
      <c r="BS46" s="106">
        <f ca="1">IF(BS10&gt;Assumptions!$G$10+1,0,BS44*-HLOOKUP(BS11,Assumptions!$D$72:$O$75,4,FALSE))</f>
        <v>-1271.2064172663443</v>
      </c>
      <c r="BT46" s="106">
        <f ca="1">IF(BT10&gt;Assumptions!$G$10+1,0,BT44*-HLOOKUP(BT11,Assumptions!$D$72:$O$75,4,FALSE))</f>
        <v>-1271.2064172663443</v>
      </c>
      <c r="BU46" s="106">
        <f ca="1">IF(BU10&gt;Assumptions!$G$10+1,0,BU44*-HLOOKUP(BU11,Assumptions!$D$72:$O$75,4,FALSE))</f>
        <v>-1271.2064172663443</v>
      </c>
      <c r="BV46" s="106">
        <f ca="1">IF(BV10&gt;Assumptions!$G$10+1,0,BV44*-HLOOKUP(BV11,Assumptions!$D$72:$O$75,4,FALSE))</f>
        <v>-1271.2064172663443</v>
      </c>
      <c r="BW46" s="106">
        <f ca="1">IF(BW10&gt;Assumptions!$G$10+1,0,BW44*-HLOOKUP(BW11,Assumptions!$D$72:$O$75,4,FALSE))</f>
        <v>-1271.2064172663443</v>
      </c>
      <c r="BX46" s="106">
        <f ca="1">IF(BX10&gt;Assumptions!$G$10+1,0,BX44*-HLOOKUP(BX11,Assumptions!$D$72:$O$75,4,FALSE))</f>
        <v>-1309.3426097843346</v>
      </c>
      <c r="BY46" s="106">
        <f ca="1">IF(BY10&gt;Assumptions!$G$10+1,0,BY44*-HLOOKUP(BY11,Assumptions!$D$72:$O$75,4,FALSE))</f>
        <v>-1309.3426097843346</v>
      </c>
      <c r="BZ46" s="106">
        <f ca="1">IF(BZ10&gt;Assumptions!$G$10+1,0,BZ44*-HLOOKUP(BZ11,Assumptions!$D$72:$O$75,4,FALSE))</f>
        <v>-1309.3426097843346</v>
      </c>
      <c r="CA46" s="106">
        <f ca="1">IF(CA10&gt;Assumptions!$G$10+1,0,CA44*-HLOOKUP(CA11,Assumptions!$D$72:$O$75,4,FALSE))</f>
        <v>-1309.3426097843346</v>
      </c>
      <c r="CB46" s="106">
        <f ca="1">IF(CB10&gt;Assumptions!$G$10+1,0,CB44*-HLOOKUP(CB11,Assumptions!$D$72:$O$75,4,FALSE))</f>
        <v>-1309.3426097843346</v>
      </c>
      <c r="CC46" s="106">
        <f ca="1">IF(CC10&gt;Assumptions!$G$10+1,0,CC44*-HLOOKUP(CC11,Assumptions!$D$72:$O$75,4,FALSE))</f>
        <v>-1309.3426097843346</v>
      </c>
      <c r="CD46" s="106">
        <f ca="1">IF(CD10&gt;Assumptions!$G$10+1,0,CD44*-HLOOKUP(CD11,Assumptions!$D$72:$O$75,4,FALSE))</f>
        <v>-1309.3426097843346</v>
      </c>
      <c r="CE46" s="106">
        <f ca="1">IF(CE10&gt;Assumptions!$G$10+1,0,CE44*-HLOOKUP(CE11,Assumptions!$D$72:$O$75,4,FALSE))</f>
        <v>-1309.3426097843346</v>
      </c>
      <c r="CF46" s="106">
        <f ca="1">IF(CF10&gt;Assumptions!$G$10+1,0,CF44*-HLOOKUP(CF11,Assumptions!$D$72:$O$75,4,FALSE))</f>
        <v>-1309.3426097843346</v>
      </c>
      <c r="CG46" s="106">
        <f ca="1">IF(CG10&gt;Assumptions!$G$10+1,0,CG44*-HLOOKUP(CG11,Assumptions!$D$72:$O$75,4,FALSE))</f>
        <v>-1309.3426097843346</v>
      </c>
      <c r="CH46" s="106">
        <f ca="1">IF(CH10&gt;Assumptions!$G$10+1,0,CH44*-HLOOKUP(CH11,Assumptions!$D$72:$O$75,4,FALSE))</f>
        <v>-1309.3426097843346</v>
      </c>
      <c r="CI46" s="106">
        <f ca="1">IF(CI10&gt;Assumptions!$G$10+1,0,CI44*-HLOOKUP(CI11,Assumptions!$D$72:$O$75,4,FALSE))</f>
        <v>-1309.3426097843346</v>
      </c>
      <c r="CJ46" s="106">
        <f ca="1">IF(CJ10&gt;Assumptions!$G$10+1,0,CJ44*-HLOOKUP(CJ11,Assumptions!$D$72:$O$75,4,FALSE))</f>
        <v>-1348.6228880778649</v>
      </c>
      <c r="CK46" s="106">
        <f ca="1">IF(CK10&gt;Assumptions!$G$10+1,0,CK44*-HLOOKUP(CK11,Assumptions!$D$72:$O$75,4,FALSE))</f>
        <v>-1348.6228880778649</v>
      </c>
      <c r="CL46" s="106">
        <f ca="1">IF(CL10&gt;Assumptions!$G$10+1,0,CL44*-HLOOKUP(CL11,Assumptions!$D$72:$O$75,4,FALSE))</f>
        <v>-1348.6228880778649</v>
      </c>
      <c r="CM46" s="106">
        <f ca="1">IF(CM10&gt;Assumptions!$G$10+1,0,CM44*-HLOOKUP(CM11,Assumptions!$D$72:$O$75,4,FALSE))</f>
        <v>-1348.6228880778649</v>
      </c>
      <c r="CN46" s="106">
        <f ca="1">IF(CN10&gt;Assumptions!$G$10+1,0,CN44*-HLOOKUP(CN11,Assumptions!$D$72:$O$75,4,FALSE))</f>
        <v>-1348.6228880778649</v>
      </c>
      <c r="CO46" s="106">
        <f ca="1">IF(CO10&gt;Assumptions!$G$10+1,0,CO44*-HLOOKUP(CO11,Assumptions!$D$72:$O$75,4,FALSE))</f>
        <v>-1348.6228880778649</v>
      </c>
      <c r="CP46" s="106">
        <f ca="1">IF(CP10&gt;Assumptions!$G$10+1,0,CP44*-HLOOKUP(CP11,Assumptions!$D$72:$O$75,4,FALSE))</f>
        <v>-1348.6228880778649</v>
      </c>
      <c r="CQ46" s="106">
        <f ca="1">IF(CQ10&gt;Assumptions!$G$10+1,0,CQ44*-HLOOKUP(CQ11,Assumptions!$D$72:$O$75,4,FALSE))</f>
        <v>-1348.6228880778649</v>
      </c>
      <c r="CR46" s="106">
        <f ca="1">IF(CR10&gt;Assumptions!$G$10+1,0,CR44*-HLOOKUP(CR11,Assumptions!$D$72:$O$75,4,FALSE))</f>
        <v>-1348.6228880778649</v>
      </c>
      <c r="CS46" s="106">
        <f ca="1">IF(CS10&gt;Assumptions!$G$10+1,0,CS44*-HLOOKUP(CS11,Assumptions!$D$72:$O$75,4,FALSE))</f>
        <v>-1348.6228880778649</v>
      </c>
      <c r="CT46" s="106">
        <f ca="1">IF(CT10&gt;Assumptions!$G$10+1,0,CT44*-HLOOKUP(CT11,Assumptions!$D$72:$O$75,4,FALSE))</f>
        <v>-1348.6228880778649</v>
      </c>
      <c r="CU46" s="106">
        <f ca="1">IF(CU10&gt;Assumptions!$G$10+1,0,CU44*-HLOOKUP(CU11,Assumptions!$D$72:$O$75,4,FALSE))</f>
        <v>-1348.6228880778649</v>
      </c>
      <c r="CV46" s="106">
        <f ca="1">IF(CV10&gt;Assumptions!$G$10+1,0,CV44*-HLOOKUP(CV11,Assumptions!$D$72:$O$75,4,FALSE))</f>
        <v>-1389.0815747202007</v>
      </c>
      <c r="CW46" s="106">
        <f ca="1">IF(CW10&gt;Assumptions!$G$10+1,0,CW44*-HLOOKUP(CW11,Assumptions!$D$72:$O$75,4,FALSE))</f>
        <v>-1389.0815747202007</v>
      </c>
      <c r="CX46" s="106">
        <f ca="1">IF(CX10&gt;Assumptions!$G$10+1,0,CX44*-HLOOKUP(CX11,Assumptions!$D$72:$O$75,4,FALSE))</f>
        <v>-1389.0815747202007</v>
      </c>
      <c r="CY46" s="106">
        <f ca="1">IF(CY10&gt;Assumptions!$G$10+1,0,CY44*-HLOOKUP(CY11,Assumptions!$D$72:$O$75,4,FALSE))</f>
        <v>-1389.0815747202007</v>
      </c>
      <c r="CZ46" s="106">
        <f ca="1">IF(CZ10&gt;Assumptions!$G$10+1,0,CZ44*-HLOOKUP(CZ11,Assumptions!$D$72:$O$75,4,FALSE))</f>
        <v>-1389.0815747202007</v>
      </c>
      <c r="DA46" s="106">
        <f ca="1">IF(DA10&gt;Assumptions!$G$10+1,0,DA44*-HLOOKUP(DA11,Assumptions!$D$72:$O$75,4,FALSE))</f>
        <v>-1389.0815747202007</v>
      </c>
      <c r="DB46" s="106">
        <f ca="1">IF(DB10&gt;Assumptions!$G$10+1,0,DB44*-HLOOKUP(DB11,Assumptions!$D$72:$O$75,4,FALSE))</f>
        <v>-1389.0815747202007</v>
      </c>
      <c r="DC46" s="106">
        <f ca="1">IF(DC10&gt;Assumptions!$G$10+1,0,DC44*-HLOOKUP(DC11,Assumptions!$D$72:$O$75,4,FALSE))</f>
        <v>-1389.0815747202007</v>
      </c>
      <c r="DD46" s="106">
        <f ca="1">IF(DD10&gt;Assumptions!$G$10+1,0,DD44*-HLOOKUP(DD11,Assumptions!$D$72:$O$75,4,FALSE))</f>
        <v>-1389.0815747202007</v>
      </c>
      <c r="DE46" s="106">
        <f ca="1">IF(DE10&gt;Assumptions!$G$10+1,0,DE44*-HLOOKUP(DE11,Assumptions!$D$72:$O$75,4,FALSE))</f>
        <v>-1389.0815747202007</v>
      </c>
      <c r="DF46" s="106">
        <f ca="1">IF(DF10&gt;Assumptions!$G$10+1,0,DF44*-HLOOKUP(DF11,Assumptions!$D$72:$O$75,4,FALSE))</f>
        <v>-1389.0815747202007</v>
      </c>
      <c r="DG46" s="106">
        <f ca="1">IF(DG10&gt;Assumptions!$G$10+1,0,DG44*-HLOOKUP(DG11,Assumptions!$D$72:$O$75,4,FALSE))</f>
        <v>-1389.0815747202007</v>
      </c>
      <c r="DH46" s="106">
        <f ca="1">IF(DH10&gt;Assumptions!$G$10+1,0,DH44*-HLOOKUP(DH11,Assumptions!$D$72:$O$75,4,FALSE))</f>
        <v>-1430.7540219618065</v>
      </c>
      <c r="DI46" s="106">
        <f>IF(DI10&gt;Assumptions!$G$10+1,0,DI44*-HLOOKUP(DI11,Assumptions!$D$72:$O$75,4,FALSE))</f>
        <v>0</v>
      </c>
      <c r="DJ46" s="106">
        <f>IF(DJ10&gt;Assumptions!$G$10+1,0,DJ44*-HLOOKUP(DJ11,Assumptions!$D$72:$O$75,4,FALSE))</f>
        <v>0</v>
      </c>
      <c r="DK46" s="106">
        <f>IF(DK10&gt;Assumptions!$G$10+1,0,DK44*-HLOOKUP(DK11,Assumptions!$D$72:$O$75,4,FALSE))</f>
        <v>0</v>
      </c>
      <c r="DL46" s="106">
        <f>IF(DL10&gt;Assumptions!$G$10+1,0,DL44*-HLOOKUP(DL11,Assumptions!$D$72:$O$75,4,FALSE))</f>
        <v>0</v>
      </c>
      <c r="DM46" s="106">
        <f>IF(DM10&gt;Assumptions!$G$10+1,0,DM44*-HLOOKUP(DM11,Assumptions!$D$72:$O$75,4,FALSE))</f>
        <v>0</v>
      </c>
      <c r="DN46" s="106">
        <f>IF(DN10&gt;Assumptions!$G$10+1,0,DN44*-HLOOKUP(DN11,Assumptions!$D$72:$O$75,4,FALSE))</f>
        <v>0</v>
      </c>
      <c r="DO46" s="106">
        <f>IF(DO10&gt;Assumptions!$G$10+1,0,DO44*-HLOOKUP(DO11,Assumptions!$D$72:$O$75,4,FALSE))</f>
        <v>0</v>
      </c>
      <c r="DP46" s="106">
        <f>IF(DP10&gt;Assumptions!$G$10+1,0,DP44*-HLOOKUP(DP11,Assumptions!$D$72:$O$75,4,FALSE))</f>
        <v>0</v>
      </c>
      <c r="DQ46" s="106">
        <f>IF(DQ10&gt;Assumptions!$G$10+1,0,DQ44*-HLOOKUP(DQ11,Assumptions!$D$72:$O$75,4,FALSE))</f>
        <v>0</v>
      </c>
      <c r="DR46" s="106">
        <f>IF(DR10&gt;Assumptions!$G$10+1,0,DR44*-HLOOKUP(DR11,Assumptions!$D$72:$O$75,4,FALSE))</f>
        <v>0</v>
      </c>
      <c r="DS46" s="106">
        <f>IF(DS10&gt;Assumptions!$G$10+1,0,DS44*-HLOOKUP(DS11,Assumptions!$D$72:$O$75,4,FALSE))</f>
        <v>0</v>
      </c>
      <c r="DT46" s="106">
        <f>IF(DT10&gt;Assumptions!$G$10+1,0,DT44*-HLOOKUP(DT11,Assumptions!$D$72:$O$75,4,FALSE))</f>
        <v>0</v>
      </c>
      <c r="DU46" s="106">
        <f>IF(DU10&gt;Assumptions!$G$10+1,0,DU44*-HLOOKUP(DU11,Assumptions!$D$72:$O$75,4,FALSE))</f>
        <v>0</v>
      </c>
      <c r="DV46" s="106">
        <f>IF(DV10&gt;Assumptions!$G$10+1,0,DV44*-HLOOKUP(DV11,Assumptions!$D$72:$O$75,4,FALSE))</f>
        <v>0</v>
      </c>
      <c r="DW46" s="106">
        <f>IF(DW10&gt;Assumptions!$G$10+1,0,DW44*-HLOOKUP(DW11,Assumptions!$D$72:$O$75,4,FALSE))</f>
        <v>0</v>
      </c>
      <c r="DX46" s="106">
        <f>IF(DX10&gt;Assumptions!$G$10+1,0,DX44*-HLOOKUP(DX11,Assumptions!$D$72:$O$75,4,FALSE))</f>
        <v>0</v>
      </c>
      <c r="DY46" s="106">
        <f>IF(DY10&gt;Assumptions!$G$10+1,0,DY44*-HLOOKUP(DY11,Assumptions!$D$72:$O$75,4,FALSE))</f>
        <v>0</v>
      </c>
      <c r="DZ46" s="106">
        <f>IF(DZ10&gt;Assumptions!$G$10+1,0,DZ44*-HLOOKUP(DZ11,Assumptions!$D$72:$O$75,4,FALSE))</f>
        <v>0</v>
      </c>
      <c r="EA46" s="106">
        <f>IF(EA10&gt;Assumptions!$G$10+1,0,EA44*-HLOOKUP(EA11,Assumptions!$D$72:$O$75,4,FALSE))</f>
        <v>0</v>
      </c>
      <c r="EB46" s="106">
        <f>IF(EB10&gt;Assumptions!$G$10+1,0,EB44*-HLOOKUP(EB11,Assumptions!$D$72:$O$75,4,FALSE))</f>
        <v>0</v>
      </c>
      <c r="EC46" s="106">
        <f>IF(EC10&gt;Assumptions!$G$10+1,0,EC44*-HLOOKUP(EC11,Assumptions!$D$72:$O$75,4,FALSE))</f>
        <v>0</v>
      </c>
      <c r="ED46" s="106">
        <f>IF(ED10&gt;Assumptions!$G$10+1,0,ED44*-HLOOKUP(ED11,Assumptions!$D$72:$O$75,4,FALSE))</f>
        <v>0</v>
      </c>
      <c r="EE46" s="106">
        <f>IF(EE10&gt;Assumptions!$G$10+1,0,EE44*-HLOOKUP(EE11,Assumptions!$D$72:$O$75,4,FALSE))</f>
        <v>0</v>
      </c>
      <c r="EF46" s="106">
        <f>IF(EF10&gt;Assumptions!$G$10+1,0,EF44*-HLOOKUP(EF11,Assumptions!$D$72:$O$75,4,FALSE))</f>
        <v>0</v>
      </c>
      <c r="EG46" s="106">
        <f>IF(EG10&gt;Assumptions!$G$10+1,0,EG44*-HLOOKUP(EG11,Assumptions!$D$72:$O$75,4,FALSE))</f>
        <v>0</v>
      </c>
      <c r="EH46" s="106">
        <f>IF(EH10&gt;Assumptions!$G$10+1,0,EH44*-HLOOKUP(EH11,Assumptions!$D$72:$O$75,4,FALSE))</f>
        <v>0</v>
      </c>
      <c r="EI46" s="106">
        <f>IF(EI10&gt;Assumptions!$G$10+1,0,EI44*-HLOOKUP(EI11,Assumptions!$D$72:$O$75,4,FALSE))</f>
        <v>0</v>
      </c>
      <c r="EJ46" s="106">
        <f>IF(EJ10&gt;Assumptions!$G$10+1,0,EJ44*-HLOOKUP(EJ11,Assumptions!$D$72:$O$75,4,FALSE))</f>
        <v>0</v>
      </c>
      <c r="EK46" s="106">
        <f>IF(EK10&gt;Assumptions!$G$10+1,0,EK44*-HLOOKUP(EK11,Assumptions!$D$72:$O$75,4,FALSE))</f>
        <v>0</v>
      </c>
      <c r="EL46" s="106">
        <f>IF(EL10&gt;Assumptions!$G$10+1,0,EL44*-HLOOKUP(EL11,Assumptions!$D$72:$O$75,4,FALSE))</f>
        <v>0</v>
      </c>
      <c r="EM46" s="106">
        <f>IF(EM10&gt;Assumptions!$G$10+1,0,EM44*-HLOOKUP(EM11,Assumptions!$D$72:$O$75,4,FALSE))</f>
        <v>0</v>
      </c>
      <c r="EN46" s="106">
        <f>IF(EN10&gt;Assumptions!$G$10+1,0,EN44*-HLOOKUP(EN11,Assumptions!$D$72:$O$75,4,FALSE))</f>
        <v>0</v>
      </c>
      <c r="EO46" s="106">
        <f>IF(EO10&gt;Assumptions!$G$10+1,0,EO44*-HLOOKUP(EO11,Assumptions!$D$72:$O$75,4,FALSE))</f>
        <v>0</v>
      </c>
      <c r="EP46" s="106">
        <f>IF(EP10&gt;Assumptions!$G$10+1,0,EP44*-HLOOKUP(EP11,Assumptions!$D$72:$O$75,4,FALSE))</f>
        <v>0</v>
      </c>
      <c r="EQ46" s="106">
        <f>IF(EQ10&gt;Assumptions!$G$10+1,0,EQ44*-HLOOKUP(EQ11,Assumptions!$D$72:$O$75,4,FALSE))</f>
        <v>0</v>
      </c>
      <c r="ES46" s="421"/>
      <c r="ET46" s="63"/>
      <c r="EU46" s="98"/>
    </row>
    <row r="47" spans="2:151" ht="15.75">
      <c r="G47" s="145"/>
      <c r="H47" s="307" t="s">
        <v>118</v>
      </c>
      <c r="I47" s="495"/>
      <c r="J47" s="217"/>
      <c r="K47" s="111"/>
      <c r="L47" s="112"/>
      <c r="M47" s="112"/>
      <c r="N47" s="219">
        <f>'Annual Cash Flow'!C25</f>
        <v>0</v>
      </c>
      <c r="O47" s="783"/>
      <c r="P47" s="798"/>
      <c r="Q47" s="800"/>
      <c r="R47" s="800"/>
      <c r="S47" s="800"/>
      <c r="T47" s="800"/>
      <c r="U47" s="800"/>
      <c r="V47" s="800"/>
      <c r="W47" s="800"/>
      <c r="X47" s="800"/>
      <c r="Y47" s="800"/>
      <c r="Z47" s="800"/>
      <c r="AA47" s="800"/>
      <c r="AB47" s="800"/>
      <c r="AC47" s="800"/>
      <c r="AD47" s="800"/>
      <c r="AE47" s="800"/>
      <c r="AF47" s="800"/>
      <c r="AG47" s="800"/>
      <c r="AH47" s="800"/>
      <c r="AI47" s="800"/>
      <c r="AJ47" s="800"/>
      <c r="AK47" s="800"/>
      <c r="AL47" s="800"/>
      <c r="AM47" s="800"/>
      <c r="AN47" s="800"/>
      <c r="AO47" s="800"/>
      <c r="AP47" s="800"/>
      <c r="AQ47" s="800"/>
      <c r="AR47" s="800"/>
      <c r="AS47" s="800"/>
      <c r="AT47" s="800"/>
      <c r="AU47" s="800"/>
      <c r="AV47" s="800"/>
      <c r="AW47" s="800"/>
      <c r="AX47" s="800"/>
      <c r="AY47" s="800"/>
      <c r="AZ47" s="800"/>
      <c r="BA47" s="800"/>
      <c r="BB47" s="800"/>
      <c r="BC47" s="800"/>
      <c r="BD47" s="800"/>
      <c r="BE47" s="800"/>
      <c r="BF47" s="800"/>
      <c r="BG47" s="800"/>
      <c r="BH47" s="800"/>
      <c r="BI47" s="800"/>
      <c r="BJ47" s="800"/>
      <c r="BK47" s="800"/>
      <c r="BL47" s="800"/>
      <c r="BM47" s="800"/>
      <c r="BN47" s="800"/>
      <c r="BO47" s="800"/>
      <c r="BP47" s="800"/>
      <c r="BQ47" s="800"/>
      <c r="BR47" s="800"/>
      <c r="BS47" s="800"/>
      <c r="BT47" s="800"/>
      <c r="BU47" s="800"/>
      <c r="BV47" s="800"/>
      <c r="BW47" s="800"/>
      <c r="BX47" s="800"/>
      <c r="BY47" s="800"/>
      <c r="BZ47" s="800"/>
      <c r="CA47" s="800"/>
      <c r="CB47" s="800"/>
      <c r="CC47" s="800"/>
      <c r="CD47" s="800"/>
      <c r="CE47" s="800"/>
      <c r="CF47" s="800"/>
      <c r="CG47" s="800"/>
      <c r="CH47" s="800"/>
      <c r="CI47" s="800"/>
      <c r="CJ47" s="800"/>
      <c r="CK47" s="800"/>
      <c r="CL47" s="800"/>
      <c r="CM47" s="800"/>
      <c r="CN47" s="800"/>
      <c r="CO47" s="800"/>
      <c r="CP47" s="800"/>
      <c r="CQ47" s="800"/>
      <c r="CR47" s="800"/>
      <c r="CS47" s="800"/>
      <c r="CT47" s="800"/>
      <c r="CU47" s="800"/>
      <c r="CV47" s="800"/>
      <c r="CW47" s="800"/>
      <c r="CX47" s="800"/>
      <c r="CY47" s="800"/>
      <c r="CZ47" s="800"/>
      <c r="DA47" s="800"/>
      <c r="DB47" s="800"/>
      <c r="DC47" s="800"/>
      <c r="DD47" s="800"/>
      <c r="DE47" s="800"/>
      <c r="DF47" s="800"/>
      <c r="DG47" s="800"/>
      <c r="DH47" s="800"/>
      <c r="DI47" s="800"/>
      <c r="DJ47" s="800"/>
      <c r="DK47" s="800"/>
      <c r="DL47" s="800"/>
      <c r="DM47" s="800"/>
      <c r="DN47" s="800"/>
      <c r="DO47" s="800"/>
      <c r="DP47" s="800"/>
      <c r="DQ47" s="800"/>
      <c r="DR47" s="800"/>
      <c r="DS47" s="800"/>
      <c r="DT47" s="800"/>
      <c r="DU47" s="800"/>
      <c r="DV47" s="800"/>
      <c r="DW47" s="800"/>
      <c r="DX47" s="800"/>
      <c r="DY47" s="800"/>
      <c r="DZ47" s="800"/>
      <c r="EA47" s="800"/>
      <c r="EB47" s="800"/>
      <c r="EC47" s="800"/>
      <c r="ED47" s="800"/>
      <c r="EE47" s="800"/>
      <c r="EF47" s="800"/>
      <c r="EG47" s="800"/>
      <c r="EH47" s="800"/>
      <c r="EI47" s="800"/>
      <c r="EJ47" s="800"/>
      <c r="EK47" s="800"/>
      <c r="EL47" s="800"/>
      <c r="EM47" s="800"/>
      <c r="EN47" s="800"/>
      <c r="EO47" s="800"/>
      <c r="EP47" s="800"/>
      <c r="EQ47" s="800"/>
      <c r="ES47" s="421"/>
      <c r="ET47" s="63"/>
      <c r="EU47" s="98"/>
    </row>
    <row r="48" spans="2:151" ht="15.75">
      <c r="G48" s="485"/>
      <c r="H48" s="113" t="s">
        <v>13</v>
      </c>
      <c r="I48" s="497"/>
      <c r="J48" s="217"/>
      <c r="K48" s="111"/>
      <c r="L48" s="112"/>
      <c r="M48" s="112"/>
      <c r="N48" s="219">
        <f>'Annual Cash Flow'!C29</f>
        <v>0</v>
      </c>
      <c r="O48" s="784"/>
      <c r="P48" s="106">
        <f>P35*-HLOOKUP(P11,Assumptions!$D$72:$O$76,5,FALSE)</f>
        <v>0</v>
      </c>
      <c r="Q48" s="114">
        <f ca="1">Q35*-HLOOKUP(Q11,Assumptions!$D$72:$O$76,5,FALSE)</f>
        <v>0</v>
      </c>
      <c r="R48" s="114">
        <f ca="1">R35*-HLOOKUP(R11,Assumptions!$D$72:$O$76,5,FALSE)</f>
        <v>0</v>
      </c>
      <c r="S48" s="114">
        <f ca="1">S35*-HLOOKUP(S11,Assumptions!$D$72:$O$76,5,FALSE)</f>
        <v>0</v>
      </c>
      <c r="T48" s="114">
        <f ca="1">T35*-HLOOKUP(T11,Assumptions!$D$72:$O$76,5,FALSE)</f>
        <v>0</v>
      </c>
      <c r="U48" s="114">
        <f ca="1">U35*-HLOOKUP(U11,Assumptions!$D$72:$O$76,5,FALSE)</f>
        <v>0</v>
      </c>
      <c r="V48" s="114">
        <f ca="1">V35*-HLOOKUP(V11,Assumptions!$D$72:$O$76,5,FALSE)</f>
        <v>0</v>
      </c>
      <c r="W48" s="114">
        <f ca="1">W35*-HLOOKUP(W11,Assumptions!$D$72:$O$76,5,FALSE)</f>
        <v>0</v>
      </c>
      <c r="X48" s="114">
        <f ca="1">X35*-HLOOKUP(X11,Assumptions!$D$72:$O$76,5,FALSE)</f>
        <v>0</v>
      </c>
      <c r="Y48" s="114">
        <f ca="1">Y35*-HLOOKUP(Y11,Assumptions!$D$72:$O$76,5,FALSE)</f>
        <v>0</v>
      </c>
      <c r="Z48" s="114">
        <f ca="1">Z35*-HLOOKUP(Z11,Assumptions!$D$72:$O$76,5,FALSE)</f>
        <v>0</v>
      </c>
      <c r="AA48" s="114">
        <f ca="1">AA35*-HLOOKUP(AA11,Assumptions!$D$72:$O$76,5,FALSE)</f>
        <v>0</v>
      </c>
      <c r="AB48" s="114">
        <f ca="1">AB35*-HLOOKUP(AB11,Assumptions!$D$72:$O$76,5,FALSE)</f>
        <v>0</v>
      </c>
      <c r="AC48" s="114">
        <f ca="1">AC35*-HLOOKUP(AC11,Assumptions!$D$72:$O$76,5,FALSE)</f>
        <v>0</v>
      </c>
      <c r="AD48" s="114">
        <f ca="1">AD35*-HLOOKUP(AD11,Assumptions!$D$72:$O$76,5,FALSE)</f>
        <v>0</v>
      </c>
      <c r="AE48" s="114">
        <f ca="1">AE35*-HLOOKUP(AE11,Assumptions!$D$72:$O$76,5,FALSE)</f>
        <v>0</v>
      </c>
      <c r="AF48" s="114">
        <f ca="1">AF35*-HLOOKUP(AF11,Assumptions!$D$72:$O$76,5,FALSE)</f>
        <v>0</v>
      </c>
      <c r="AG48" s="114">
        <f ca="1">AG35*-HLOOKUP(AG11,Assumptions!$D$72:$O$76,5,FALSE)</f>
        <v>0</v>
      </c>
      <c r="AH48" s="114">
        <f ca="1">AH35*-HLOOKUP(AH11,Assumptions!$D$72:$O$76,5,FALSE)</f>
        <v>0</v>
      </c>
      <c r="AI48" s="114">
        <f ca="1">AI35*-HLOOKUP(AI11,Assumptions!$D$72:$O$76,5,FALSE)</f>
        <v>0</v>
      </c>
      <c r="AJ48" s="114">
        <f ca="1">AJ35*-HLOOKUP(AJ11,Assumptions!$D$72:$O$76,5,FALSE)</f>
        <v>0</v>
      </c>
      <c r="AK48" s="114">
        <f ca="1">AK35*-HLOOKUP(AK11,Assumptions!$D$72:$O$76,5,FALSE)</f>
        <v>0</v>
      </c>
      <c r="AL48" s="114">
        <f ca="1">AL35*-HLOOKUP(AL11,Assumptions!$D$72:$O$76,5,FALSE)</f>
        <v>0</v>
      </c>
      <c r="AM48" s="114">
        <f ca="1">AM35*-HLOOKUP(AM11,Assumptions!$D$72:$O$76,5,FALSE)</f>
        <v>0</v>
      </c>
      <c r="AN48" s="114">
        <f ca="1">AN35*-HLOOKUP(AN11,Assumptions!$D$72:$O$76,5,FALSE)</f>
        <v>0</v>
      </c>
      <c r="AO48" s="114">
        <f ca="1">AO35*-HLOOKUP(AO11,Assumptions!$D$72:$O$76,5,FALSE)</f>
        <v>0</v>
      </c>
      <c r="AP48" s="114">
        <f ca="1">AP35*-HLOOKUP(AP11,Assumptions!$D$72:$O$76,5,FALSE)</f>
        <v>0</v>
      </c>
      <c r="AQ48" s="114">
        <f ca="1">AQ35*-HLOOKUP(AQ11,Assumptions!$D$72:$O$76,5,FALSE)</f>
        <v>0</v>
      </c>
      <c r="AR48" s="114">
        <f ca="1">AR35*-HLOOKUP(AR11,Assumptions!$D$72:$O$76,5,FALSE)</f>
        <v>0</v>
      </c>
      <c r="AS48" s="114">
        <f ca="1">AS35*-HLOOKUP(AS11,Assumptions!$D$72:$O$76,5,FALSE)</f>
        <v>0</v>
      </c>
      <c r="AT48" s="114">
        <f ca="1">AT35*-HLOOKUP(AT11,Assumptions!$D$72:$O$76,5,FALSE)</f>
        <v>0</v>
      </c>
      <c r="AU48" s="114">
        <f ca="1">AU35*-HLOOKUP(AU11,Assumptions!$D$72:$O$76,5,FALSE)</f>
        <v>0</v>
      </c>
      <c r="AV48" s="114">
        <f ca="1">AV35*-HLOOKUP(AV11,Assumptions!$D$72:$O$76,5,FALSE)</f>
        <v>0</v>
      </c>
      <c r="AW48" s="114">
        <f ca="1">AW35*-HLOOKUP(AW11,Assumptions!$D$72:$O$76,5,FALSE)</f>
        <v>0</v>
      </c>
      <c r="AX48" s="114">
        <f ca="1">AX35*-HLOOKUP(AX11,Assumptions!$D$72:$O$76,5,FALSE)</f>
        <v>0</v>
      </c>
      <c r="AY48" s="114">
        <f ca="1">AY35*-HLOOKUP(AY11,Assumptions!$D$72:$O$76,5,FALSE)</f>
        <v>0</v>
      </c>
      <c r="AZ48" s="114">
        <f ca="1">AZ35*-HLOOKUP(AZ11,Assumptions!$D$72:$O$76,5,FALSE)</f>
        <v>0</v>
      </c>
      <c r="BA48" s="114">
        <f ca="1">BA35*-HLOOKUP(BA11,Assumptions!$D$72:$O$76,5,FALSE)</f>
        <v>0</v>
      </c>
      <c r="BB48" s="114">
        <f ca="1">BB35*-HLOOKUP(BB11,Assumptions!$D$72:$O$76,5,FALSE)</f>
        <v>0</v>
      </c>
      <c r="BC48" s="114">
        <f ca="1">BC35*-HLOOKUP(BC11,Assumptions!$D$72:$O$76,5,FALSE)</f>
        <v>0</v>
      </c>
      <c r="BD48" s="114">
        <f ca="1">BD35*-HLOOKUP(BD11,Assumptions!$D$72:$O$76,5,FALSE)</f>
        <v>0</v>
      </c>
      <c r="BE48" s="114">
        <f ca="1">BE35*-HLOOKUP(BE11,Assumptions!$D$72:$O$76,5,FALSE)</f>
        <v>0</v>
      </c>
      <c r="BF48" s="114">
        <f ca="1">BF35*-HLOOKUP(BF11,Assumptions!$D$72:$O$76,5,FALSE)</f>
        <v>0</v>
      </c>
      <c r="BG48" s="114">
        <f ca="1">BG35*-HLOOKUP(BG11,Assumptions!$D$72:$O$76,5,FALSE)</f>
        <v>0</v>
      </c>
      <c r="BH48" s="114">
        <f ca="1">BH35*-HLOOKUP(BH11,Assumptions!$D$72:$O$76,5,FALSE)</f>
        <v>0</v>
      </c>
      <c r="BI48" s="114">
        <f ca="1">BI35*-HLOOKUP(BI11,Assumptions!$D$72:$O$76,5,FALSE)</f>
        <v>0</v>
      </c>
      <c r="BJ48" s="114">
        <f ca="1">BJ35*-HLOOKUP(BJ11,Assumptions!$D$72:$O$76,5,FALSE)</f>
        <v>0</v>
      </c>
      <c r="BK48" s="114">
        <f ca="1">BK35*-HLOOKUP(BK11,Assumptions!$D$72:$O$76,5,FALSE)</f>
        <v>0</v>
      </c>
      <c r="BL48" s="114">
        <f ca="1">BL35*-HLOOKUP(BL11,Assumptions!$D$72:$O$76,5,FALSE)</f>
        <v>0</v>
      </c>
      <c r="BM48" s="114">
        <f ca="1">BM35*-HLOOKUP(BM11,Assumptions!$D$72:$O$76,5,FALSE)</f>
        <v>0</v>
      </c>
      <c r="BN48" s="114">
        <f ca="1">BN35*-HLOOKUP(BN11,Assumptions!$D$72:$O$76,5,FALSE)</f>
        <v>0</v>
      </c>
      <c r="BO48" s="114">
        <f ca="1">BO35*-HLOOKUP(BO11,Assumptions!$D$72:$O$76,5,FALSE)</f>
        <v>0</v>
      </c>
      <c r="BP48" s="114">
        <f ca="1">BP35*-HLOOKUP(BP11,Assumptions!$D$72:$O$76,5,FALSE)</f>
        <v>0</v>
      </c>
      <c r="BQ48" s="114">
        <f ca="1">BQ35*-HLOOKUP(BQ11,Assumptions!$D$72:$O$76,5,FALSE)</f>
        <v>0</v>
      </c>
      <c r="BR48" s="114">
        <f ca="1">BR35*-HLOOKUP(BR11,Assumptions!$D$72:$O$76,5,FALSE)</f>
        <v>0</v>
      </c>
      <c r="BS48" s="114">
        <f ca="1">BS35*-HLOOKUP(BS11,Assumptions!$D$72:$O$76,5,FALSE)</f>
        <v>0</v>
      </c>
      <c r="BT48" s="114">
        <f ca="1">BT35*-HLOOKUP(BT11,Assumptions!$D$72:$O$76,5,FALSE)</f>
        <v>0</v>
      </c>
      <c r="BU48" s="114">
        <f ca="1">BU35*-HLOOKUP(BU11,Assumptions!$D$72:$O$76,5,FALSE)</f>
        <v>0</v>
      </c>
      <c r="BV48" s="114">
        <f ca="1">BV35*-HLOOKUP(BV11,Assumptions!$D$72:$O$76,5,FALSE)</f>
        <v>0</v>
      </c>
      <c r="BW48" s="114">
        <f ca="1">BW35*-HLOOKUP(BW11,Assumptions!$D$72:$O$76,5,FALSE)</f>
        <v>0</v>
      </c>
      <c r="BX48" s="114">
        <f ca="1">BX35*-HLOOKUP(BX11,Assumptions!$D$72:$O$76,5,FALSE)</f>
        <v>0</v>
      </c>
      <c r="BY48" s="114">
        <f ca="1">BY35*-HLOOKUP(BY11,Assumptions!$D$72:$O$76,5,FALSE)</f>
        <v>0</v>
      </c>
      <c r="BZ48" s="114">
        <f ca="1">BZ35*-HLOOKUP(BZ11,Assumptions!$D$72:$O$76,5,FALSE)</f>
        <v>0</v>
      </c>
      <c r="CA48" s="114">
        <f ca="1">CA35*-HLOOKUP(CA11,Assumptions!$D$72:$O$76,5,FALSE)</f>
        <v>0</v>
      </c>
      <c r="CB48" s="114">
        <f ca="1">CB35*-HLOOKUP(CB11,Assumptions!$D$72:$O$76,5,FALSE)</f>
        <v>0</v>
      </c>
      <c r="CC48" s="114">
        <f ca="1">CC35*-HLOOKUP(CC11,Assumptions!$D$72:$O$76,5,FALSE)</f>
        <v>0</v>
      </c>
      <c r="CD48" s="114">
        <f ca="1">CD35*-HLOOKUP(CD11,Assumptions!$D$72:$O$76,5,FALSE)</f>
        <v>0</v>
      </c>
      <c r="CE48" s="114">
        <f ca="1">CE35*-HLOOKUP(CE11,Assumptions!$D$72:$O$76,5,FALSE)</f>
        <v>0</v>
      </c>
      <c r="CF48" s="114">
        <f ca="1">CF35*-HLOOKUP(CF11,Assumptions!$D$72:$O$76,5,FALSE)</f>
        <v>0</v>
      </c>
      <c r="CG48" s="114">
        <f ca="1">CG35*-HLOOKUP(CG11,Assumptions!$D$72:$O$76,5,FALSE)</f>
        <v>0</v>
      </c>
      <c r="CH48" s="114">
        <f ca="1">CH35*-HLOOKUP(CH11,Assumptions!$D$72:$O$76,5,FALSE)</f>
        <v>0</v>
      </c>
      <c r="CI48" s="114">
        <f ca="1">CI35*-HLOOKUP(CI11,Assumptions!$D$72:$O$76,5,FALSE)</f>
        <v>0</v>
      </c>
      <c r="CJ48" s="114">
        <f ca="1">CJ35*-HLOOKUP(CJ11,Assumptions!$D$72:$O$76,5,FALSE)</f>
        <v>0</v>
      </c>
      <c r="CK48" s="114">
        <f ca="1">CK35*-HLOOKUP(CK11,Assumptions!$D$72:$O$76,5,FALSE)</f>
        <v>0</v>
      </c>
      <c r="CL48" s="114">
        <f ca="1">CL35*-HLOOKUP(CL11,Assumptions!$D$72:$O$76,5,FALSE)</f>
        <v>0</v>
      </c>
      <c r="CM48" s="114">
        <f ca="1">CM35*-HLOOKUP(CM11,Assumptions!$D$72:$O$76,5,FALSE)</f>
        <v>0</v>
      </c>
      <c r="CN48" s="114">
        <f ca="1">CN35*-HLOOKUP(CN11,Assumptions!$D$72:$O$76,5,FALSE)</f>
        <v>0</v>
      </c>
      <c r="CO48" s="114">
        <f ca="1">CO35*-HLOOKUP(CO11,Assumptions!$D$72:$O$76,5,FALSE)</f>
        <v>0</v>
      </c>
      <c r="CP48" s="114">
        <f ca="1">CP35*-HLOOKUP(CP11,Assumptions!$D$72:$O$76,5,FALSE)</f>
        <v>0</v>
      </c>
      <c r="CQ48" s="114">
        <f ca="1">CQ35*-HLOOKUP(CQ11,Assumptions!$D$72:$O$76,5,FALSE)</f>
        <v>0</v>
      </c>
      <c r="CR48" s="114">
        <f ca="1">CR35*-HLOOKUP(CR11,Assumptions!$D$72:$O$76,5,FALSE)</f>
        <v>0</v>
      </c>
      <c r="CS48" s="114">
        <f ca="1">CS35*-HLOOKUP(CS11,Assumptions!$D$72:$O$76,5,FALSE)</f>
        <v>0</v>
      </c>
      <c r="CT48" s="114">
        <f ca="1">CT35*-HLOOKUP(CT11,Assumptions!$D$72:$O$76,5,FALSE)</f>
        <v>0</v>
      </c>
      <c r="CU48" s="114">
        <f ca="1">CU35*-HLOOKUP(CU11,Assumptions!$D$72:$O$76,5,FALSE)</f>
        <v>0</v>
      </c>
      <c r="CV48" s="114">
        <f ca="1">CV35*-HLOOKUP(CV11,Assumptions!$D$72:$O$76,5,FALSE)</f>
        <v>0</v>
      </c>
      <c r="CW48" s="114">
        <f ca="1">CW35*-HLOOKUP(CW11,Assumptions!$D$72:$O$76,5,FALSE)</f>
        <v>0</v>
      </c>
      <c r="CX48" s="114">
        <f ca="1">CX35*-HLOOKUP(CX11,Assumptions!$D$72:$O$76,5,FALSE)</f>
        <v>0</v>
      </c>
      <c r="CY48" s="114">
        <f ca="1">CY35*-HLOOKUP(CY11,Assumptions!$D$72:$O$76,5,FALSE)</f>
        <v>0</v>
      </c>
      <c r="CZ48" s="114">
        <f ca="1">CZ35*-HLOOKUP(CZ11,Assumptions!$D$72:$O$76,5,FALSE)</f>
        <v>0</v>
      </c>
      <c r="DA48" s="114">
        <f ca="1">DA35*-HLOOKUP(DA11,Assumptions!$D$72:$O$76,5,FALSE)</f>
        <v>0</v>
      </c>
      <c r="DB48" s="114">
        <f ca="1">DB35*-HLOOKUP(DB11,Assumptions!$D$72:$O$76,5,FALSE)</f>
        <v>0</v>
      </c>
      <c r="DC48" s="114">
        <f ca="1">DC35*-HLOOKUP(DC11,Assumptions!$D$72:$O$76,5,FALSE)</f>
        <v>0</v>
      </c>
      <c r="DD48" s="114">
        <f ca="1">DD35*-HLOOKUP(DD11,Assumptions!$D$72:$O$76,5,FALSE)</f>
        <v>0</v>
      </c>
      <c r="DE48" s="114">
        <f ca="1">DE35*-HLOOKUP(DE11,Assumptions!$D$72:$O$76,5,FALSE)</f>
        <v>0</v>
      </c>
      <c r="DF48" s="114">
        <f ca="1">DF35*-HLOOKUP(DF11,Assumptions!$D$72:$O$76,5,FALSE)</f>
        <v>0</v>
      </c>
      <c r="DG48" s="114">
        <f ca="1">DG35*-HLOOKUP(DG11,Assumptions!$D$72:$O$76,5,FALSE)</f>
        <v>0</v>
      </c>
      <c r="DH48" s="114">
        <f ca="1">DH35*-HLOOKUP(DH11,Assumptions!$D$72:$O$76,5,FALSE)</f>
        <v>0</v>
      </c>
      <c r="DI48" s="114">
        <f ca="1">DI35*-HLOOKUP(DI11,Assumptions!$D$72:$O$76,5,FALSE)</f>
        <v>0</v>
      </c>
      <c r="DJ48" s="114">
        <f>DJ35*-HLOOKUP(DJ11,Assumptions!$D$72:$O$76,5,FALSE)</f>
        <v>0</v>
      </c>
      <c r="DK48" s="114">
        <f>DK35*-HLOOKUP(DK11,Assumptions!$D$72:$O$76,5,FALSE)</f>
        <v>0</v>
      </c>
      <c r="DL48" s="114">
        <f>DL35*-HLOOKUP(DL11,Assumptions!$D$72:$O$76,5,FALSE)</f>
        <v>0</v>
      </c>
      <c r="DM48" s="114">
        <f>DM35*-HLOOKUP(DM11,Assumptions!$D$72:$O$76,5,FALSE)</f>
        <v>0</v>
      </c>
      <c r="DN48" s="114">
        <f>DN35*-HLOOKUP(DN11,Assumptions!$D$72:$O$76,5,FALSE)</f>
        <v>0</v>
      </c>
      <c r="DO48" s="114">
        <f>DO35*-HLOOKUP(DO11,Assumptions!$D$72:$O$76,5,FALSE)</f>
        <v>0</v>
      </c>
      <c r="DP48" s="114">
        <f>DP35*-HLOOKUP(DP11,Assumptions!$D$72:$O$76,5,FALSE)</f>
        <v>0</v>
      </c>
      <c r="DQ48" s="114">
        <f>DQ35*-HLOOKUP(DQ11,Assumptions!$D$72:$O$76,5,FALSE)</f>
        <v>0</v>
      </c>
      <c r="DR48" s="114">
        <f>DR35*-HLOOKUP(DR11,Assumptions!$D$72:$O$76,5,FALSE)</f>
        <v>0</v>
      </c>
      <c r="DS48" s="114">
        <f>DS35*-HLOOKUP(DS11,Assumptions!$D$72:$O$76,5,FALSE)</f>
        <v>0</v>
      </c>
      <c r="DT48" s="114">
        <f>DT35*-HLOOKUP(DT11,Assumptions!$D$72:$O$76,5,FALSE)</f>
        <v>0</v>
      </c>
      <c r="DU48" s="114">
        <f>DU35*-HLOOKUP(DU11,Assumptions!$D$72:$O$76,5,FALSE)</f>
        <v>0</v>
      </c>
      <c r="DV48" s="114">
        <f>DV35*-HLOOKUP(DV11,Assumptions!$D$72:$O$76,5,FALSE)</f>
        <v>0</v>
      </c>
      <c r="DW48" s="114">
        <f>DW35*-HLOOKUP(DW11,Assumptions!$D$72:$O$76,5,FALSE)</f>
        <v>0</v>
      </c>
      <c r="DX48" s="114">
        <f>DX35*-HLOOKUP(DX11,Assumptions!$D$72:$O$76,5,FALSE)</f>
        <v>0</v>
      </c>
      <c r="DY48" s="114">
        <f>DY35*-HLOOKUP(DY11,Assumptions!$D$72:$O$76,5,FALSE)</f>
        <v>0</v>
      </c>
      <c r="DZ48" s="114">
        <f>DZ35*-HLOOKUP(DZ11,Assumptions!$D$72:$O$76,5,FALSE)</f>
        <v>0</v>
      </c>
      <c r="EA48" s="114">
        <f>EA35*-HLOOKUP(EA11,Assumptions!$D$72:$O$76,5,FALSE)</f>
        <v>0</v>
      </c>
      <c r="EB48" s="114">
        <f>EB35*-HLOOKUP(EB11,Assumptions!$D$72:$O$76,5,FALSE)</f>
        <v>0</v>
      </c>
      <c r="EC48" s="114">
        <f>EC35*-HLOOKUP(EC11,Assumptions!$D$72:$O$76,5,FALSE)</f>
        <v>0</v>
      </c>
      <c r="ED48" s="114">
        <f>ED35*-HLOOKUP(ED11,Assumptions!$D$72:$O$76,5,FALSE)</f>
        <v>0</v>
      </c>
      <c r="EE48" s="114">
        <f>EE35*-HLOOKUP(EE11,Assumptions!$D$72:$O$76,5,FALSE)</f>
        <v>0</v>
      </c>
      <c r="EF48" s="114">
        <f>EF35*-HLOOKUP(EF11,Assumptions!$D$72:$O$76,5,FALSE)</f>
        <v>0</v>
      </c>
      <c r="EG48" s="114">
        <f>EG35*-HLOOKUP(EG11,Assumptions!$D$72:$O$76,5,FALSE)</f>
        <v>0</v>
      </c>
      <c r="EH48" s="114">
        <f>EH35*-HLOOKUP(EH11,Assumptions!$D$72:$O$76,5,FALSE)</f>
        <v>0</v>
      </c>
      <c r="EI48" s="114">
        <f>EI35*-HLOOKUP(EI11,Assumptions!$D$72:$O$76,5,FALSE)</f>
        <v>0</v>
      </c>
      <c r="EJ48" s="114">
        <f>EJ35*-HLOOKUP(EJ11,Assumptions!$D$72:$O$76,5,FALSE)</f>
        <v>0</v>
      </c>
      <c r="EK48" s="114">
        <f>EK35*-HLOOKUP(EK11,Assumptions!$D$72:$O$76,5,FALSE)</f>
        <v>0</v>
      </c>
      <c r="EL48" s="114">
        <f>EL35*-HLOOKUP(EL11,Assumptions!$D$72:$O$76,5,FALSE)</f>
        <v>0</v>
      </c>
      <c r="EM48" s="114">
        <f>EM35*-HLOOKUP(EM11,Assumptions!$D$72:$O$76,5,FALSE)</f>
        <v>0</v>
      </c>
      <c r="EN48" s="114">
        <f>EN35*-HLOOKUP(EN11,Assumptions!$D$72:$O$76,5,FALSE)</f>
        <v>0</v>
      </c>
      <c r="EO48" s="114">
        <f>EO35*-HLOOKUP(EO11,Assumptions!$D$72:$O$76,5,FALSE)</f>
        <v>0</v>
      </c>
      <c r="EP48" s="114">
        <f>EP35*-HLOOKUP(EP11,Assumptions!$D$72:$O$76,5,FALSE)</f>
        <v>0</v>
      </c>
      <c r="EQ48" s="114">
        <f>EQ35*-HLOOKUP(EQ11,Assumptions!$D$72:$O$76,5,FALSE)</f>
        <v>0</v>
      </c>
      <c r="ES48" s="421"/>
      <c r="ET48" s="63"/>
      <c r="EU48" s="98"/>
    </row>
    <row r="49" spans="7:151" ht="6" customHeight="1">
      <c r="G49" s="485"/>
      <c r="H49" s="113"/>
      <c r="I49" s="497"/>
      <c r="J49" s="220"/>
      <c r="K49" s="116"/>
      <c r="L49" s="102"/>
      <c r="M49" s="102"/>
      <c r="N49" s="220"/>
      <c r="O49" s="780"/>
      <c r="P49" s="103"/>
      <c r="Q49" s="112"/>
      <c r="R49" s="112"/>
      <c r="S49" s="115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S49" s="421"/>
      <c r="ET49" s="63"/>
      <c r="EU49" s="98"/>
    </row>
    <row r="50" spans="7:151" ht="15.75">
      <c r="G50" s="485" t="s">
        <v>14</v>
      </c>
      <c r="H50" s="145"/>
      <c r="I50" s="497"/>
      <c r="J50" s="220"/>
      <c r="K50" s="116"/>
      <c r="L50" s="102"/>
      <c r="M50" s="102"/>
      <c r="N50" s="220">
        <f t="shared" ref="N50:W50" si="57">SUM(N44:N48)</f>
        <v>272811</v>
      </c>
      <c r="O50" s="780"/>
      <c r="P50" s="102">
        <f t="shared" ca="1" si="57"/>
        <v>23256</v>
      </c>
      <c r="Q50" s="104">
        <f t="shared" ca="1" si="57"/>
        <v>23256.000000000004</v>
      </c>
      <c r="R50" s="104">
        <f t="shared" ca="1" si="57"/>
        <v>23256.000000000004</v>
      </c>
      <c r="S50" s="105">
        <f t="shared" ca="1" si="57"/>
        <v>23256.000000000004</v>
      </c>
      <c r="T50" s="104">
        <f t="shared" ca="1" si="57"/>
        <v>23352.000000000004</v>
      </c>
      <c r="U50" s="104">
        <f t="shared" ca="1" si="57"/>
        <v>23736.000000000004</v>
      </c>
      <c r="V50" s="104">
        <f t="shared" ca="1" si="57"/>
        <v>24216.000000000004</v>
      </c>
      <c r="W50" s="104">
        <f t="shared" ca="1" si="57"/>
        <v>24216.000000000004</v>
      </c>
      <c r="X50" s="104">
        <f ca="1">SUM(X44:X48)</f>
        <v>24216.000000000004</v>
      </c>
      <c r="Y50" s="104">
        <f ca="1">SUM(Y44:Y48)</f>
        <v>24216.000000000004</v>
      </c>
      <c r="Z50" s="104">
        <f t="shared" ref="Z50:CK50" ca="1" si="58">SUM(Z44:Z48)</f>
        <v>24216.000000000004</v>
      </c>
      <c r="AA50" s="104">
        <f t="shared" ca="1" si="58"/>
        <v>24216.000000000004</v>
      </c>
      <c r="AB50" s="104">
        <f t="shared" ca="1" si="58"/>
        <v>25388.326080000003</v>
      </c>
      <c r="AC50" s="104">
        <f t="shared" ca="1" si="58"/>
        <v>25388.326080000003</v>
      </c>
      <c r="AD50" s="104">
        <f t="shared" ca="1" si="58"/>
        <v>25388.326080000003</v>
      </c>
      <c r="AE50" s="104">
        <f t="shared" ca="1" si="58"/>
        <v>25907.973120000002</v>
      </c>
      <c r="AF50" s="104">
        <f t="shared" ca="1" si="58"/>
        <v>26427.620160000002</v>
      </c>
      <c r="AG50" s="104">
        <f t="shared" ca="1" si="58"/>
        <v>26427.620160000002</v>
      </c>
      <c r="AH50" s="104">
        <f t="shared" ca="1" si="58"/>
        <v>26947.267199999998</v>
      </c>
      <c r="AI50" s="104">
        <f t="shared" ca="1" si="58"/>
        <v>26947.267199999998</v>
      </c>
      <c r="AJ50" s="104">
        <f t="shared" ca="1" si="58"/>
        <v>26947.267199999998</v>
      </c>
      <c r="AK50" s="104">
        <f t="shared" ca="1" si="58"/>
        <v>26947.267199999998</v>
      </c>
      <c r="AL50" s="104">
        <f t="shared" ca="1" si="58"/>
        <v>26947.267199999998</v>
      </c>
      <c r="AM50" s="104">
        <f t="shared" ca="1" si="58"/>
        <v>26947.267199999998</v>
      </c>
      <c r="AN50" s="104">
        <f t="shared" ca="1" si="58"/>
        <v>28213.788758400002</v>
      </c>
      <c r="AO50" s="104">
        <f t="shared" ca="1" si="58"/>
        <v>28213.788758400002</v>
      </c>
      <c r="AP50" s="104">
        <f t="shared" ca="1" si="58"/>
        <v>28213.788758400002</v>
      </c>
      <c r="AQ50" s="104">
        <f t="shared" ca="1" si="58"/>
        <v>28213.788758400002</v>
      </c>
      <c r="AR50" s="104">
        <f t="shared" ca="1" si="58"/>
        <v>28213.788758400002</v>
      </c>
      <c r="AS50" s="104">
        <f t="shared" ca="1" si="58"/>
        <v>28213.788758400002</v>
      </c>
      <c r="AT50" s="104">
        <f t="shared" ca="1" si="58"/>
        <v>28649.045119104001</v>
      </c>
      <c r="AU50" s="104">
        <f t="shared" ca="1" si="58"/>
        <v>28649.045119104001</v>
      </c>
      <c r="AV50" s="104">
        <f t="shared" ca="1" si="58"/>
        <v>28757.859209280003</v>
      </c>
      <c r="AW50" s="104">
        <f t="shared" ca="1" si="58"/>
        <v>28757.859209280003</v>
      </c>
      <c r="AX50" s="104">
        <f t="shared" ca="1" si="58"/>
        <v>28757.859209280003</v>
      </c>
      <c r="AY50" s="104">
        <f t="shared" ca="1" si="58"/>
        <v>28757.859209280003</v>
      </c>
      <c r="AZ50" s="104">
        <f t="shared" ca="1" si="58"/>
        <v>29706.868563186235</v>
      </c>
      <c r="BA50" s="104">
        <f t="shared" ca="1" si="58"/>
        <v>29706.868563186235</v>
      </c>
      <c r="BB50" s="104">
        <f t="shared" ca="1" si="58"/>
        <v>29706.868563186235</v>
      </c>
      <c r="BC50" s="104">
        <f t="shared" ca="1" si="58"/>
        <v>29706.868563186235</v>
      </c>
      <c r="BD50" s="104">
        <f t="shared" ca="1" si="58"/>
        <v>29706.868563186235</v>
      </c>
      <c r="BE50" s="104">
        <f t="shared" ca="1" si="58"/>
        <v>29706.868563186235</v>
      </c>
      <c r="BF50" s="104">
        <f t="shared" ca="1" si="58"/>
        <v>29706.868563186235</v>
      </c>
      <c r="BG50" s="104">
        <f t="shared" ca="1" si="58"/>
        <v>29706.868563186235</v>
      </c>
      <c r="BH50" s="104">
        <f t="shared" ca="1" si="58"/>
        <v>29706.868563186235</v>
      </c>
      <c r="BI50" s="104">
        <f t="shared" ca="1" si="58"/>
        <v>29706.868563186235</v>
      </c>
      <c r="BJ50" s="104">
        <f t="shared" ca="1" si="58"/>
        <v>29706.868563186235</v>
      </c>
      <c r="BK50" s="104">
        <f t="shared" ca="1" si="58"/>
        <v>29706.868563186235</v>
      </c>
      <c r="BL50" s="104">
        <f t="shared" ca="1" si="58"/>
        <v>30508.95401439226</v>
      </c>
      <c r="BM50" s="104">
        <f t="shared" ca="1" si="58"/>
        <v>30508.95401439226</v>
      </c>
      <c r="BN50" s="104">
        <f t="shared" ca="1" si="58"/>
        <v>30508.95401439226</v>
      </c>
      <c r="BO50" s="104">
        <f t="shared" ca="1" si="58"/>
        <v>30508.95401439226</v>
      </c>
      <c r="BP50" s="104">
        <f t="shared" ca="1" si="58"/>
        <v>30508.95401439226</v>
      </c>
      <c r="BQ50" s="104">
        <f t="shared" ca="1" si="58"/>
        <v>30508.95401439226</v>
      </c>
      <c r="BR50" s="104">
        <f t="shared" ca="1" si="58"/>
        <v>30508.95401439226</v>
      </c>
      <c r="BS50" s="104">
        <f t="shared" ca="1" si="58"/>
        <v>30508.95401439226</v>
      </c>
      <c r="BT50" s="104">
        <f t="shared" ca="1" si="58"/>
        <v>30508.95401439226</v>
      </c>
      <c r="BU50" s="104">
        <f t="shared" ca="1" si="58"/>
        <v>30508.95401439226</v>
      </c>
      <c r="BV50" s="104">
        <f t="shared" ca="1" si="58"/>
        <v>30508.95401439226</v>
      </c>
      <c r="BW50" s="104">
        <f t="shared" ca="1" si="58"/>
        <v>30508.95401439226</v>
      </c>
      <c r="BX50" s="104">
        <f t="shared" ca="1" si="58"/>
        <v>31424.222634824029</v>
      </c>
      <c r="BY50" s="104">
        <f t="shared" ca="1" si="58"/>
        <v>31424.222634824029</v>
      </c>
      <c r="BZ50" s="104">
        <f t="shared" ca="1" si="58"/>
        <v>31424.222634824029</v>
      </c>
      <c r="CA50" s="104">
        <f t="shared" ca="1" si="58"/>
        <v>31424.222634824029</v>
      </c>
      <c r="CB50" s="104">
        <f t="shared" ca="1" si="58"/>
        <v>31424.222634824029</v>
      </c>
      <c r="CC50" s="104">
        <f t="shared" ca="1" si="58"/>
        <v>31424.222634824029</v>
      </c>
      <c r="CD50" s="104">
        <f t="shared" ca="1" si="58"/>
        <v>31424.222634824029</v>
      </c>
      <c r="CE50" s="104">
        <f t="shared" ca="1" si="58"/>
        <v>31424.222634824029</v>
      </c>
      <c r="CF50" s="104">
        <f t="shared" ca="1" si="58"/>
        <v>31424.222634824029</v>
      </c>
      <c r="CG50" s="104">
        <f t="shared" ca="1" si="58"/>
        <v>31424.222634824029</v>
      </c>
      <c r="CH50" s="104">
        <f t="shared" ca="1" si="58"/>
        <v>31424.222634824029</v>
      </c>
      <c r="CI50" s="104">
        <f t="shared" ca="1" si="58"/>
        <v>31424.222634824029</v>
      </c>
      <c r="CJ50" s="104">
        <f t="shared" ca="1" si="58"/>
        <v>32366.949313868754</v>
      </c>
      <c r="CK50" s="104">
        <f t="shared" ca="1" si="58"/>
        <v>32366.949313868754</v>
      </c>
      <c r="CL50" s="104">
        <f t="shared" ref="CL50:EQ50" ca="1" si="59">SUM(CL44:CL48)</f>
        <v>32366.949313868754</v>
      </c>
      <c r="CM50" s="104">
        <f t="shared" ca="1" si="59"/>
        <v>32366.949313868754</v>
      </c>
      <c r="CN50" s="104">
        <f t="shared" ca="1" si="59"/>
        <v>32366.949313868754</v>
      </c>
      <c r="CO50" s="104">
        <f t="shared" ca="1" si="59"/>
        <v>32366.949313868754</v>
      </c>
      <c r="CP50" s="104">
        <f t="shared" ca="1" si="59"/>
        <v>32366.949313868754</v>
      </c>
      <c r="CQ50" s="104">
        <f t="shared" ca="1" si="59"/>
        <v>32366.949313868754</v>
      </c>
      <c r="CR50" s="104">
        <f t="shared" ca="1" si="59"/>
        <v>32366.949313868754</v>
      </c>
      <c r="CS50" s="104">
        <f t="shared" ca="1" si="59"/>
        <v>32366.949313868754</v>
      </c>
      <c r="CT50" s="104">
        <f t="shared" ca="1" si="59"/>
        <v>32366.949313868754</v>
      </c>
      <c r="CU50" s="104">
        <f t="shared" ca="1" si="59"/>
        <v>32366.949313868754</v>
      </c>
      <c r="CV50" s="104">
        <f t="shared" ca="1" si="59"/>
        <v>33337.957793284819</v>
      </c>
      <c r="CW50" s="104">
        <f t="shared" ca="1" si="59"/>
        <v>33337.957793284819</v>
      </c>
      <c r="CX50" s="104">
        <f t="shared" ca="1" si="59"/>
        <v>33337.957793284819</v>
      </c>
      <c r="CY50" s="104">
        <f t="shared" ca="1" si="59"/>
        <v>33337.957793284819</v>
      </c>
      <c r="CZ50" s="104">
        <f t="shared" ca="1" si="59"/>
        <v>33337.957793284819</v>
      </c>
      <c r="DA50" s="104">
        <f t="shared" ca="1" si="59"/>
        <v>33337.957793284819</v>
      </c>
      <c r="DB50" s="104">
        <f t="shared" ca="1" si="59"/>
        <v>33337.957793284819</v>
      </c>
      <c r="DC50" s="104">
        <f t="shared" ca="1" si="59"/>
        <v>33337.957793284819</v>
      </c>
      <c r="DD50" s="104">
        <f t="shared" ca="1" si="59"/>
        <v>33337.957793284819</v>
      </c>
      <c r="DE50" s="104">
        <f t="shared" ca="1" si="59"/>
        <v>33337.957793284819</v>
      </c>
      <c r="DF50" s="104">
        <f t="shared" ca="1" si="59"/>
        <v>33337.957793284819</v>
      </c>
      <c r="DG50" s="104">
        <f t="shared" ca="1" si="59"/>
        <v>33337.957793284819</v>
      </c>
      <c r="DH50" s="104">
        <f t="shared" ca="1" si="59"/>
        <v>34338.096527083355</v>
      </c>
      <c r="DI50" s="104">
        <f t="shared" ca="1" si="59"/>
        <v>35768.850549045164</v>
      </c>
      <c r="DJ50" s="104">
        <f t="shared" ca="1" si="59"/>
        <v>0</v>
      </c>
      <c r="DK50" s="104">
        <f t="shared" ca="1" si="59"/>
        <v>0</v>
      </c>
      <c r="DL50" s="104">
        <f t="shared" ca="1" si="59"/>
        <v>0</v>
      </c>
      <c r="DM50" s="104">
        <f t="shared" ca="1" si="59"/>
        <v>0</v>
      </c>
      <c r="DN50" s="104">
        <f t="shared" ca="1" si="59"/>
        <v>0</v>
      </c>
      <c r="DO50" s="104">
        <f t="shared" ca="1" si="59"/>
        <v>0</v>
      </c>
      <c r="DP50" s="104">
        <f t="shared" ca="1" si="59"/>
        <v>0</v>
      </c>
      <c r="DQ50" s="104">
        <f t="shared" ca="1" si="59"/>
        <v>0</v>
      </c>
      <c r="DR50" s="104">
        <f t="shared" ca="1" si="59"/>
        <v>0</v>
      </c>
      <c r="DS50" s="104">
        <f t="shared" ca="1" si="59"/>
        <v>0</v>
      </c>
      <c r="DT50" s="104">
        <f t="shared" ca="1" si="59"/>
        <v>0</v>
      </c>
      <c r="DU50" s="104">
        <f t="shared" ca="1" si="59"/>
        <v>0</v>
      </c>
      <c r="DV50" s="104">
        <f t="shared" ca="1" si="59"/>
        <v>0</v>
      </c>
      <c r="DW50" s="104">
        <f t="shared" ca="1" si="59"/>
        <v>0</v>
      </c>
      <c r="DX50" s="104">
        <f t="shared" ca="1" si="59"/>
        <v>0</v>
      </c>
      <c r="DY50" s="104">
        <f t="shared" ca="1" si="59"/>
        <v>0</v>
      </c>
      <c r="DZ50" s="104">
        <f t="shared" ca="1" si="59"/>
        <v>0</v>
      </c>
      <c r="EA50" s="104">
        <f t="shared" ca="1" si="59"/>
        <v>0</v>
      </c>
      <c r="EB50" s="104">
        <f t="shared" ca="1" si="59"/>
        <v>0</v>
      </c>
      <c r="EC50" s="104">
        <f t="shared" ca="1" si="59"/>
        <v>0</v>
      </c>
      <c r="ED50" s="104">
        <f t="shared" ca="1" si="59"/>
        <v>0</v>
      </c>
      <c r="EE50" s="104">
        <f t="shared" ca="1" si="59"/>
        <v>0</v>
      </c>
      <c r="EF50" s="104">
        <f t="shared" ca="1" si="59"/>
        <v>0</v>
      </c>
      <c r="EG50" s="104">
        <f t="shared" ca="1" si="59"/>
        <v>0</v>
      </c>
      <c r="EH50" s="104">
        <f t="shared" ca="1" si="59"/>
        <v>0</v>
      </c>
      <c r="EI50" s="104">
        <f t="shared" ca="1" si="59"/>
        <v>0</v>
      </c>
      <c r="EJ50" s="104">
        <f t="shared" ca="1" si="59"/>
        <v>0</v>
      </c>
      <c r="EK50" s="104">
        <f t="shared" ca="1" si="59"/>
        <v>0</v>
      </c>
      <c r="EL50" s="104">
        <f t="shared" ca="1" si="59"/>
        <v>0</v>
      </c>
      <c r="EM50" s="104">
        <f t="shared" ca="1" si="59"/>
        <v>0</v>
      </c>
      <c r="EN50" s="104">
        <f t="shared" ca="1" si="59"/>
        <v>0</v>
      </c>
      <c r="EO50" s="104">
        <f t="shared" ca="1" si="59"/>
        <v>0</v>
      </c>
      <c r="EP50" s="104">
        <f t="shared" ca="1" si="59"/>
        <v>0</v>
      </c>
      <c r="EQ50" s="104">
        <f t="shared" ca="1" si="59"/>
        <v>0</v>
      </c>
      <c r="ES50" s="421"/>
      <c r="ET50" s="63"/>
      <c r="EU50" s="98"/>
    </row>
    <row r="51" spans="7:151" ht="9" customHeight="1">
      <c r="G51" s="494"/>
      <c r="H51" s="145"/>
      <c r="I51" s="108"/>
      <c r="J51" s="217"/>
      <c r="K51" s="107"/>
      <c r="L51" s="106"/>
      <c r="M51" s="106"/>
      <c r="N51" s="217"/>
      <c r="O51" s="781"/>
      <c r="P51" s="207"/>
      <c r="Q51" s="106"/>
      <c r="R51" s="106"/>
      <c r="S51" s="110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S51" s="421"/>
      <c r="ET51" s="63"/>
      <c r="EU51" s="98"/>
    </row>
    <row r="52" spans="7:151" ht="15.75">
      <c r="G52" s="145"/>
      <c r="H52" s="498" t="s">
        <v>0</v>
      </c>
      <c r="I52" s="184"/>
      <c r="J52" s="239"/>
      <c r="K52" s="443"/>
      <c r="L52" s="444"/>
      <c r="M52" s="444"/>
      <c r="N52" s="445">
        <f>'Annual Cash Flow'!C33</f>
        <v>2853</v>
      </c>
      <c r="O52" s="785"/>
      <c r="P52" s="102">
        <f>Assumptions!H44/12</f>
        <v>240.12750000000003</v>
      </c>
      <c r="Q52" s="115">
        <f t="shared" ref="Q52:AV52" ca="1" si="60">IF(P82=0,0,1)*IF(Q11=1,$P$52,($P$52*(1+Q33)))</f>
        <v>240.12750000000003</v>
      </c>
      <c r="R52" s="115">
        <f t="shared" ca="1" si="60"/>
        <v>240.12750000000003</v>
      </c>
      <c r="S52" s="115">
        <f t="shared" ca="1" si="60"/>
        <v>240.12750000000003</v>
      </c>
      <c r="T52" s="115">
        <f t="shared" ca="1" si="60"/>
        <v>240.12750000000003</v>
      </c>
      <c r="U52" s="115">
        <f t="shared" ca="1" si="60"/>
        <v>240.12750000000003</v>
      </c>
      <c r="V52" s="115">
        <f t="shared" ca="1" si="60"/>
        <v>240.12750000000003</v>
      </c>
      <c r="W52" s="115">
        <f t="shared" ca="1" si="60"/>
        <v>240.12750000000003</v>
      </c>
      <c r="X52" s="115">
        <f t="shared" ca="1" si="60"/>
        <v>240.12750000000003</v>
      </c>
      <c r="Y52" s="115">
        <f t="shared" ca="1" si="60"/>
        <v>240.12750000000003</v>
      </c>
      <c r="Z52" s="115">
        <f t="shared" ca="1" si="60"/>
        <v>240.12750000000003</v>
      </c>
      <c r="AA52" s="115">
        <f t="shared" ca="1" si="60"/>
        <v>240.12750000000003</v>
      </c>
      <c r="AB52" s="115">
        <f t="shared" ca="1" si="60"/>
        <v>259.96155124500001</v>
      </c>
      <c r="AC52" s="115">
        <f t="shared" ca="1" si="60"/>
        <v>259.96155124500001</v>
      </c>
      <c r="AD52" s="115">
        <f t="shared" ca="1" si="60"/>
        <v>259.96155124500001</v>
      </c>
      <c r="AE52" s="115">
        <f t="shared" ca="1" si="60"/>
        <v>259.96155124500001</v>
      </c>
      <c r="AF52" s="115">
        <f t="shared" ca="1" si="60"/>
        <v>259.96155124500001</v>
      </c>
      <c r="AG52" s="115">
        <f t="shared" ca="1" si="60"/>
        <v>259.96155124500001</v>
      </c>
      <c r="AH52" s="115">
        <f t="shared" ca="1" si="60"/>
        <v>259.96155124500001</v>
      </c>
      <c r="AI52" s="115">
        <f t="shared" ca="1" si="60"/>
        <v>259.96155124500001</v>
      </c>
      <c r="AJ52" s="115">
        <f t="shared" ca="1" si="60"/>
        <v>259.96155124500001</v>
      </c>
      <c r="AK52" s="115">
        <f t="shared" ca="1" si="60"/>
        <v>259.96155124500001</v>
      </c>
      <c r="AL52" s="115">
        <f t="shared" ca="1" si="60"/>
        <v>259.96155124500001</v>
      </c>
      <c r="AM52" s="115">
        <f t="shared" ca="1" si="60"/>
        <v>259.96155124500001</v>
      </c>
      <c r="AN52" s="115">
        <f t="shared" ca="1" si="60"/>
        <v>272.179744153515</v>
      </c>
      <c r="AO52" s="115">
        <f t="shared" ca="1" si="60"/>
        <v>272.179744153515</v>
      </c>
      <c r="AP52" s="115">
        <f t="shared" ca="1" si="60"/>
        <v>272.179744153515</v>
      </c>
      <c r="AQ52" s="115">
        <f t="shared" ca="1" si="60"/>
        <v>272.179744153515</v>
      </c>
      <c r="AR52" s="115">
        <f t="shared" ca="1" si="60"/>
        <v>272.179744153515</v>
      </c>
      <c r="AS52" s="115">
        <f t="shared" ca="1" si="60"/>
        <v>272.179744153515</v>
      </c>
      <c r="AT52" s="115">
        <f t="shared" ca="1" si="60"/>
        <v>272.179744153515</v>
      </c>
      <c r="AU52" s="115">
        <f t="shared" ca="1" si="60"/>
        <v>272.179744153515</v>
      </c>
      <c r="AV52" s="115">
        <f t="shared" ca="1" si="60"/>
        <v>272.179744153515</v>
      </c>
      <c r="AW52" s="115">
        <f t="shared" ref="AW52:CB52" ca="1" si="61">IF(AV82=0,0,1)*IF(AW11=1,$P$52,($P$52*(1+AW33)))</f>
        <v>272.179744153515</v>
      </c>
      <c r="AX52" s="115">
        <f t="shared" ca="1" si="61"/>
        <v>272.179744153515</v>
      </c>
      <c r="AY52" s="115">
        <f t="shared" ca="1" si="61"/>
        <v>272.179744153515</v>
      </c>
      <c r="AZ52" s="115">
        <f t="shared" ca="1" si="61"/>
        <v>281.16167571058099</v>
      </c>
      <c r="BA52" s="115">
        <f t="shared" ca="1" si="61"/>
        <v>281.16167571058099</v>
      </c>
      <c r="BB52" s="115">
        <f t="shared" ca="1" si="61"/>
        <v>281.16167571058099</v>
      </c>
      <c r="BC52" s="115">
        <f t="shared" ca="1" si="61"/>
        <v>281.16167571058099</v>
      </c>
      <c r="BD52" s="115">
        <f t="shared" ca="1" si="61"/>
        <v>281.16167571058099</v>
      </c>
      <c r="BE52" s="115">
        <f t="shared" ca="1" si="61"/>
        <v>281.16167571058099</v>
      </c>
      <c r="BF52" s="115">
        <f t="shared" ca="1" si="61"/>
        <v>281.16167571058099</v>
      </c>
      <c r="BG52" s="115">
        <f t="shared" ca="1" si="61"/>
        <v>281.16167571058099</v>
      </c>
      <c r="BH52" s="115">
        <f t="shared" ca="1" si="61"/>
        <v>281.16167571058099</v>
      </c>
      <c r="BI52" s="115">
        <f t="shared" ca="1" si="61"/>
        <v>281.16167571058099</v>
      </c>
      <c r="BJ52" s="115">
        <f t="shared" ca="1" si="61"/>
        <v>281.16167571058099</v>
      </c>
      <c r="BK52" s="115">
        <f t="shared" ca="1" si="61"/>
        <v>281.16167571058099</v>
      </c>
      <c r="BL52" s="115">
        <f t="shared" ca="1" si="61"/>
        <v>288.75304095476662</v>
      </c>
      <c r="BM52" s="115">
        <f t="shared" ca="1" si="61"/>
        <v>288.75304095476662</v>
      </c>
      <c r="BN52" s="115">
        <f t="shared" ca="1" si="61"/>
        <v>288.75304095476662</v>
      </c>
      <c r="BO52" s="115">
        <f t="shared" ca="1" si="61"/>
        <v>288.75304095476662</v>
      </c>
      <c r="BP52" s="115">
        <f t="shared" ca="1" si="61"/>
        <v>288.75304095476662</v>
      </c>
      <c r="BQ52" s="115">
        <f t="shared" ca="1" si="61"/>
        <v>288.75304095476662</v>
      </c>
      <c r="BR52" s="115">
        <f t="shared" ca="1" si="61"/>
        <v>288.75304095476662</v>
      </c>
      <c r="BS52" s="115">
        <f t="shared" ca="1" si="61"/>
        <v>288.75304095476662</v>
      </c>
      <c r="BT52" s="115">
        <f t="shared" ca="1" si="61"/>
        <v>288.75304095476662</v>
      </c>
      <c r="BU52" s="115">
        <f t="shared" ca="1" si="61"/>
        <v>288.75304095476662</v>
      </c>
      <c r="BV52" s="115">
        <f t="shared" ca="1" si="61"/>
        <v>288.75304095476662</v>
      </c>
      <c r="BW52" s="115">
        <f t="shared" ca="1" si="61"/>
        <v>288.75304095476662</v>
      </c>
      <c r="BX52" s="115">
        <f t="shared" ca="1" si="61"/>
        <v>297.41563218340963</v>
      </c>
      <c r="BY52" s="115">
        <f t="shared" ca="1" si="61"/>
        <v>297.41563218340963</v>
      </c>
      <c r="BZ52" s="115">
        <f t="shared" ca="1" si="61"/>
        <v>297.41563218340963</v>
      </c>
      <c r="CA52" s="115">
        <f t="shared" ca="1" si="61"/>
        <v>297.41563218340963</v>
      </c>
      <c r="CB52" s="115">
        <f t="shared" ca="1" si="61"/>
        <v>297.41563218340963</v>
      </c>
      <c r="CC52" s="115">
        <f t="shared" ref="CC52:DH52" ca="1" si="62">IF(CB82=0,0,1)*IF(CC11=1,$P$52,($P$52*(1+CC33)))</f>
        <v>297.41563218340963</v>
      </c>
      <c r="CD52" s="115">
        <f t="shared" ca="1" si="62"/>
        <v>297.41563218340963</v>
      </c>
      <c r="CE52" s="115">
        <f t="shared" ca="1" si="62"/>
        <v>297.41563218340963</v>
      </c>
      <c r="CF52" s="115">
        <f t="shared" ca="1" si="62"/>
        <v>297.41563218340963</v>
      </c>
      <c r="CG52" s="115">
        <f t="shared" ca="1" si="62"/>
        <v>297.41563218340963</v>
      </c>
      <c r="CH52" s="115">
        <f t="shared" ca="1" si="62"/>
        <v>297.41563218340963</v>
      </c>
      <c r="CI52" s="115">
        <f t="shared" ca="1" si="62"/>
        <v>297.41563218340963</v>
      </c>
      <c r="CJ52" s="115">
        <f t="shared" ca="1" si="62"/>
        <v>306.3381011489119</v>
      </c>
      <c r="CK52" s="115">
        <f t="shared" ca="1" si="62"/>
        <v>306.3381011489119</v>
      </c>
      <c r="CL52" s="115">
        <f t="shared" ca="1" si="62"/>
        <v>306.3381011489119</v>
      </c>
      <c r="CM52" s="115">
        <f t="shared" ca="1" si="62"/>
        <v>306.3381011489119</v>
      </c>
      <c r="CN52" s="115">
        <f t="shared" ca="1" si="62"/>
        <v>306.3381011489119</v>
      </c>
      <c r="CO52" s="115">
        <f t="shared" ca="1" si="62"/>
        <v>306.3381011489119</v>
      </c>
      <c r="CP52" s="115">
        <f t="shared" ca="1" si="62"/>
        <v>306.3381011489119</v>
      </c>
      <c r="CQ52" s="115">
        <f t="shared" ca="1" si="62"/>
        <v>306.3381011489119</v>
      </c>
      <c r="CR52" s="115">
        <f t="shared" ca="1" si="62"/>
        <v>306.3381011489119</v>
      </c>
      <c r="CS52" s="115">
        <f t="shared" ca="1" si="62"/>
        <v>306.3381011489119</v>
      </c>
      <c r="CT52" s="115">
        <f t="shared" ca="1" si="62"/>
        <v>306.3381011489119</v>
      </c>
      <c r="CU52" s="115">
        <f t="shared" ca="1" si="62"/>
        <v>306.3381011489119</v>
      </c>
      <c r="CV52" s="115">
        <f t="shared" ca="1" si="62"/>
        <v>315.52824418337929</v>
      </c>
      <c r="CW52" s="115">
        <f t="shared" ca="1" si="62"/>
        <v>315.52824418337929</v>
      </c>
      <c r="CX52" s="115">
        <f t="shared" ca="1" si="62"/>
        <v>315.52824418337929</v>
      </c>
      <c r="CY52" s="115">
        <f t="shared" ca="1" si="62"/>
        <v>315.52824418337929</v>
      </c>
      <c r="CZ52" s="115">
        <f t="shared" ca="1" si="62"/>
        <v>315.52824418337929</v>
      </c>
      <c r="DA52" s="115">
        <f t="shared" ca="1" si="62"/>
        <v>315.52824418337929</v>
      </c>
      <c r="DB52" s="115">
        <f t="shared" ca="1" si="62"/>
        <v>315.52824418337929</v>
      </c>
      <c r="DC52" s="115">
        <f t="shared" ca="1" si="62"/>
        <v>315.52824418337929</v>
      </c>
      <c r="DD52" s="115">
        <f t="shared" ca="1" si="62"/>
        <v>315.52824418337929</v>
      </c>
      <c r="DE52" s="115">
        <f t="shared" ca="1" si="62"/>
        <v>315.52824418337929</v>
      </c>
      <c r="DF52" s="115">
        <f t="shared" ca="1" si="62"/>
        <v>315.52824418337929</v>
      </c>
      <c r="DG52" s="115">
        <f t="shared" ca="1" si="62"/>
        <v>315.52824418337929</v>
      </c>
      <c r="DH52" s="115">
        <f t="shared" ca="1" si="62"/>
        <v>324.99409150888067</v>
      </c>
      <c r="DI52" s="115">
        <f t="shared" ref="DI52:EQ52" ca="1" si="63">IF(DH82=0,0,1)*IF(DI11=1,$P$52,($P$52*(1+DI33)))</f>
        <v>324.99409150888067</v>
      </c>
      <c r="DJ52" s="115">
        <f t="shared" si="63"/>
        <v>0</v>
      </c>
      <c r="DK52" s="115">
        <f t="shared" si="63"/>
        <v>0</v>
      </c>
      <c r="DL52" s="115">
        <f t="shared" si="63"/>
        <v>0</v>
      </c>
      <c r="DM52" s="115">
        <f t="shared" si="63"/>
        <v>0</v>
      </c>
      <c r="DN52" s="115">
        <f t="shared" si="63"/>
        <v>0</v>
      </c>
      <c r="DO52" s="115">
        <f t="shared" si="63"/>
        <v>0</v>
      </c>
      <c r="DP52" s="115">
        <f t="shared" si="63"/>
        <v>0</v>
      </c>
      <c r="DQ52" s="115">
        <f t="shared" si="63"/>
        <v>0</v>
      </c>
      <c r="DR52" s="115">
        <f t="shared" si="63"/>
        <v>0</v>
      </c>
      <c r="DS52" s="115">
        <f t="shared" si="63"/>
        <v>0</v>
      </c>
      <c r="DT52" s="115">
        <f t="shared" si="63"/>
        <v>0</v>
      </c>
      <c r="DU52" s="115">
        <f t="shared" si="63"/>
        <v>0</v>
      </c>
      <c r="DV52" s="115">
        <f t="shared" si="63"/>
        <v>0</v>
      </c>
      <c r="DW52" s="115">
        <f t="shared" si="63"/>
        <v>0</v>
      </c>
      <c r="DX52" s="115">
        <f t="shared" si="63"/>
        <v>0</v>
      </c>
      <c r="DY52" s="115">
        <f t="shared" si="63"/>
        <v>0</v>
      </c>
      <c r="DZ52" s="115">
        <f t="shared" si="63"/>
        <v>0</v>
      </c>
      <c r="EA52" s="115">
        <f t="shared" si="63"/>
        <v>0</v>
      </c>
      <c r="EB52" s="115">
        <f t="shared" si="63"/>
        <v>0</v>
      </c>
      <c r="EC52" s="115">
        <f t="shared" si="63"/>
        <v>0</v>
      </c>
      <c r="ED52" s="115">
        <f t="shared" si="63"/>
        <v>0</v>
      </c>
      <c r="EE52" s="115">
        <f t="shared" si="63"/>
        <v>0</v>
      </c>
      <c r="EF52" s="115">
        <f t="shared" si="63"/>
        <v>0</v>
      </c>
      <c r="EG52" s="115">
        <f t="shared" si="63"/>
        <v>0</v>
      </c>
      <c r="EH52" s="115">
        <f t="shared" si="63"/>
        <v>0</v>
      </c>
      <c r="EI52" s="115">
        <f t="shared" si="63"/>
        <v>0</v>
      </c>
      <c r="EJ52" s="115">
        <f t="shared" si="63"/>
        <v>0</v>
      </c>
      <c r="EK52" s="115">
        <f t="shared" si="63"/>
        <v>0</v>
      </c>
      <c r="EL52" s="115">
        <f t="shared" si="63"/>
        <v>0</v>
      </c>
      <c r="EM52" s="115">
        <f t="shared" si="63"/>
        <v>0</v>
      </c>
      <c r="EN52" s="115">
        <f t="shared" si="63"/>
        <v>0</v>
      </c>
      <c r="EO52" s="115">
        <f t="shared" si="63"/>
        <v>0</v>
      </c>
      <c r="EP52" s="115">
        <f t="shared" si="63"/>
        <v>0</v>
      </c>
      <c r="EQ52" s="115">
        <f t="shared" si="63"/>
        <v>0</v>
      </c>
      <c r="ES52" s="421"/>
      <c r="ET52" s="63"/>
      <c r="EU52" s="98"/>
    </row>
    <row r="53" spans="7:151" ht="15.75">
      <c r="G53" s="145"/>
      <c r="H53" s="113" t="s">
        <v>129</v>
      </c>
      <c r="I53" s="495"/>
      <c r="J53" s="220"/>
      <c r="K53" s="118"/>
      <c r="L53" s="104"/>
      <c r="M53" s="104"/>
      <c r="N53" s="221">
        <f>'Annual Cash Flow'!C30</f>
        <v>0</v>
      </c>
      <c r="O53" s="785"/>
      <c r="P53" s="115">
        <f ca="1">P50*-HLOOKUP(P11,Assumptions!$D$72:$O$77,6,FALSE)</f>
        <v>0</v>
      </c>
      <c r="Q53" s="115">
        <f ca="1">Q50*-HLOOKUP(Q11,Assumptions!$D$72:$O$77,6,FALSE)</f>
        <v>0</v>
      </c>
      <c r="R53" s="115">
        <f ca="1">R50*-HLOOKUP(R11,Assumptions!$D$72:$O$77,6,FALSE)</f>
        <v>0</v>
      </c>
      <c r="S53" s="115">
        <f ca="1">S50*-HLOOKUP(S11,Assumptions!$D$72:$O$77,6,FALSE)</f>
        <v>0</v>
      </c>
      <c r="T53" s="115">
        <f ca="1">T50*-HLOOKUP(T11,Assumptions!$D$72:$O$77,6,FALSE)</f>
        <v>0</v>
      </c>
      <c r="U53" s="115">
        <f ca="1">U50*-HLOOKUP(U11,Assumptions!$D$72:$O$77,6,FALSE)</f>
        <v>0</v>
      </c>
      <c r="V53" s="115">
        <f ca="1">V50*-HLOOKUP(V11,Assumptions!$D$72:$O$77,6,FALSE)</f>
        <v>0</v>
      </c>
      <c r="W53" s="115">
        <f ca="1">W50*-HLOOKUP(W11,Assumptions!$D$72:$O$77,6,FALSE)</f>
        <v>0</v>
      </c>
      <c r="X53" s="115">
        <f ca="1">X50*-HLOOKUP(X11,Assumptions!$D$72:$O$77,6,FALSE)</f>
        <v>0</v>
      </c>
      <c r="Y53" s="115">
        <f ca="1">Y50*-HLOOKUP(Y11,Assumptions!$D$72:$O$77,6,FALSE)</f>
        <v>0</v>
      </c>
      <c r="Z53" s="115">
        <f ca="1">Z50*-HLOOKUP(Z11,Assumptions!$D$72:$O$77,6,FALSE)</f>
        <v>0</v>
      </c>
      <c r="AA53" s="115">
        <f ca="1">AA50*-HLOOKUP(AA11,Assumptions!$D$72:$O$77,6,FALSE)</f>
        <v>0</v>
      </c>
      <c r="AB53" s="115">
        <f ca="1">AB50*-HLOOKUP(AB11,Assumptions!$D$72:$O$77,6,FALSE)</f>
        <v>0</v>
      </c>
      <c r="AC53" s="115">
        <f ca="1">AC50*-HLOOKUP(AC11,Assumptions!$D$72:$O$77,6,FALSE)</f>
        <v>0</v>
      </c>
      <c r="AD53" s="115">
        <f ca="1">AD50*-HLOOKUP(AD11,Assumptions!$D$72:$O$77,6,FALSE)</f>
        <v>0</v>
      </c>
      <c r="AE53" s="115">
        <f ca="1">AE50*-HLOOKUP(AE11,Assumptions!$D$72:$O$77,6,FALSE)</f>
        <v>0</v>
      </c>
      <c r="AF53" s="115">
        <f ca="1">AF50*-HLOOKUP(AF11,Assumptions!$D$72:$O$77,6,FALSE)</f>
        <v>0</v>
      </c>
      <c r="AG53" s="115">
        <f ca="1">AG50*-HLOOKUP(AG11,Assumptions!$D$72:$O$77,6,FALSE)</f>
        <v>0</v>
      </c>
      <c r="AH53" s="115">
        <f ca="1">AH50*-HLOOKUP(AH11,Assumptions!$D$72:$O$77,6,FALSE)</f>
        <v>0</v>
      </c>
      <c r="AI53" s="115">
        <f ca="1">AI50*-HLOOKUP(AI11,Assumptions!$D$72:$O$77,6,FALSE)</f>
        <v>0</v>
      </c>
      <c r="AJ53" s="115">
        <f ca="1">AJ50*-HLOOKUP(AJ11,Assumptions!$D$72:$O$77,6,FALSE)</f>
        <v>0</v>
      </c>
      <c r="AK53" s="115">
        <f ca="1">AK50*-HLOOKUP(AK11,Assumptions!$D$72:$O$77,6,FALSE)</f>
        <v>0</v>
      </c>
      <c r="AL53" s="115">
        <f ca="1">AL50*-HLOOKUP(AL11,Assumptions!$D$72:$O$77,6,FALSE)</f>
        <v>0</v>
      </c>
      <c r="AM53" s="115">
        <f ca="1">AM50*-HLOOKUP(AM11,Assumptions!$D$72:$O$77,6,FALSE)</f>
        <v>0</v>
      </c>
      <c r="AN53" s="115">
        <f ca="1">AN50*-HLOOKUP(AN11,Assumptions!$D$72:$O$77,6,FALSE)</f>
        <v>0</v>
      </c>
      <c r="AO53" s="115">
        <f ca="1">AO50*-HLOOKUP(AO11,Assumptions!$D$72:$O$77,6,FALSE)</f>
        <v>0</v>
      </c>
      <c r="AP53" s="115">
        <f ca="1">AP50*-HLOOKUP(AP11,Assumptions!$D$72:$O$77,6,FALSE)</f>
        <v>0</v>
      </c>
      <c r="AQ53" s="115">
        <f ca="1">AQ50*-HLOOKUP(AQ11,Assumptions!$D$72:$O$77,6,FALSE)</f>
        <v>0</v>
      </c>
      <c r="AR53" s="115">
        <f ca="1">AR50*-HLOOKUP(AR11,Assumptions!$D$72:$O$77,6,FALSE)</f>
        <v>0</v>
      </c>
      <c r="AS53" s="115">
        <f ca="1">AS50*-HLOOKUP(AS11,Assumptions!$D$72:$O$77,6,FALSE)</f>
        <v>0</v>
      </c>
      <c r="AT53" s="115">
        <f ca="1">AT50*-HLOOKUP(AT11,Assumptions!$D$72:$O$77,6,FALSE)</f>
        <v>0</v>
      </c>
      <c r="AU53" s="115">
        <f ca="1">AU50*-HLOOKUP(AU11,Assumptions!$D$72:$O$77,6,FALSE)</f>
        <v>0</v>
      </c>
      <c r="AV53" s="115">
        <f ca="1">AV50*-HLOOKUP(AV11,Assumptions!$D$72:$O$77,6,FALSE)</f>
        <v>0</v>
      </c>
      <c r="AW53" s="115">
        <f ca="1">AW50*-HLOOKUP(AW11,Assumptions!$D$72:$O$77,6,FALSE)</f>
        <v>0</v>
      </c>
      <c r="AX53" s="115">
        <f ca="1">AX50*-HLOOKUP(AX11,Assumptions!$D$72:$O$77,6,FALSE)</f>
        <v>0</v>
      </c>
      <c r="AY53" s="115">
        <f ca="1">AY50*-HLOOKUP(AY11,Assumptions!$D$72:$O$77,6,FALSE)</f>
        <v>0</v>
      </c>
      <c r="AZ53" s="115">
        <f ca="1">AZ50*-HLOOKUP(AZ11,Assumptions!$D$72:$O$77,6,FALSE)</f>
        <v>0</v>
      </c>
      <c r="BA53" s="115">
        <f ca="1">BA50*-HLOOKUP(BA11,Assumptions!$D$72:$O$77,6,FALSE)</f>
        <v>0</v>
      </c>
      <c r="BB53" s="115">
        <f ca="1">BB50*-HLOOKUP(BB11,Assumptions!$D$72:$O$77,6,FALSE)</f>
        <v>0</v>
      </c>
      <c r="BC53" s="115">
        <f ca="1">BC50*-HLOOKUP(BC11,Assumptions!$D$72:$O$77,6,FALSE)</f>
        <v>0</v>
      </c>
      <c r="BD53" s="115">
        <f ca="1">BD50*-HLOOKUP(BD11,Assumptions!$D$72:$O$77,6,FALSE)</f>
        <v>0</v>
      </c>
      <c r="BE53" s="115">
        <f ca="1">BE50*-HLOOKUP(BE11,Assumptions!$D$72:$O$77,6,FALSE)</f>
        <v>0</v>
      </c>
      <c r="BF53" s="115">
        <f ca="1">BF50*-HLOOKUP(BF11,Assumptions!$D$72:$O$77,6,FALSE)</f>
        <v>0</v>
      </c>
      <c r="BG53" s="115">
        <f ca="1">BG50*-HLOOKUP(BG11,Assumptions!$D$72:$O$77,6,FALSE)</f>
        <v>0</v>
      </c>
      <c r="BH53" s="115">
        <f ca="1">BH50*-HLOOKUP(BH11,Assumptions!$D$72:$O$77,6,FALSE)</f>
        <v>0</v>
      </c>
      <c r="BI53" s="115">
        <f ca="1">BI50*-HLOOKUP(BI11,Assumptions!$D$72:$O$77,6,FALSE)</f>
        <v>0</v>
      </c>
      <c r="BJ53" s="115">
        <f ca="1">BJ50*-HLOOKUP(BJ11,Assumptions!$D$72:$O$77,6,FALSE)</f>
        <v>0</v>
      </c>
      <c r="BK53" s="115">
        <f ca="1">BK50*-HLOOKUP(BK11,Assumptions!$D$72:$O$77,6,FALSE)</f>
        <v>0</v>
      </c>
      <c r="BL53" s="115">
        <f ca="1">BL50*-HLOOKUP(BL11,Assumptions!$D$72:$O$77,6,FALSE)</f>
        <v>0</v>
      </c>
      <c r="BM53" s="115">
        <f ca="1">BM50*-HLOOKUP(BM11,Assumptions!$D$72:$O$77,6,FALSE)</f>
        <v>0</v>
      </c>
      <c r="BN53" s="115">
        <f ca="1">BN50*-HLOOKUP(BN11,Assumptions!$D$72:$O$77,6,FALSE)</f>
        <v>0</v>
      </c>
      <c r="BO53" s="115">
        <f ca="1">BO50*-HLOOKUP(BO11,Assumptions!$D$72:$O$77,6,FALSE)</f>
        <v>0</v>
      </c>
      <c r="BP53" s="115">
        <f ca="1">BP50*-HLOOKUP(BP11,Assumptions!$D$72:$O$77,6,FALSE)</f>
        <v>0</v>
      </c>
      <c r="BQ53" s="115">
        <f ca="1">BQ50*-HLOOKUP(BQ11,Assumptions!$D$72:$O$77,6,FALSE)</f>
        <v>0</v>
      </c>
      <c r="BR53" s="115">
        <f ca="1">BR50*-HLOOKUP(BR11,Assumptions!$D$72:$O$77,6,FALSE)</f>
        <v>0</v>
      </c>
      <c r="BS53" s="115">
        <f ca="1">BS50*-HLOOKUP(BS11,Assumptions!$D$72:$O$77,6,FALSE)</f>
        <v>0</v>
      </c>
      <c r="BT53" s="115">
        <f ca="1">BT50*-HLOOKUP(BT11,Assumptions!$D$72:$O$77,6,FALSE)</f>
        <v>0</v>
      </c>
      <c r="BU53" s="115">
        <f ca="1">BU50*-HLOOKUP(BU11,Assumptions!$D$72:$O$77,6,FALSE)</f>
        <v>0</v>
      </c>
      <c r="BV53" s="115">
        <f ca="1">BV50*-HLOOKUP(BV11,Assumptions!$D$72:$O$77,6,FALSE)</f>
        <v>0</v>
      </c>
      <c r="BW53" s="115">
        <f ca="1">BW50*-HLOOKUP(BW11,Assumptions!$D$72:$O$77,6,FALSE)</f>
        <v>0</v>
      </c>
      <c r="BX53" s="115">
        <f ca="1">BX50*-HLOOKUP(BX11,Assumptions!$D$72:$O$77,6,FALSE)</f>
        <v>0</v>
      </c>
      <c r="BY53" s="115">
        <f ca="1">BY50*-HLOOKUP(BY11,Assumptions!$D$72:$O$77,6,FALSE)</f>
        <v>0</v>
      </c>
      <c r="BZ53" s="115">
        <f ca="1">BZ50*-HLOOKUP(BZ11,Assumptions!$D$72:$O$77,6,FALSE)</f>
        <v>0</v>
      </c>
      <c r="CA53" s="115">
        <f ca="1">CA50*-HLOOKUP(CA11,Assumptions!$D$72:$O$77,6,FALSE)</f>
        <v>0</v>
      </c>
      <c r="CB53" s="115">
        <f ca="1">CB50*-HLOOKUP(CB11,Assumptions!$D$72:$O$77,6,FALSE)</f>
        <v>0</v>
      </c>
      <c r="CC53" s="115">
        <f ca="1">CC50*-HLOOKUP(CC11,Assumptions!$D$72:$O$77,6,FALSE)</f>
        <v>0</v>
      </c>
      <c r="CD53" s="115">
        <f ca="1">CD50*-HLOOKUP(CD11,Assumptions!$D$72:$O$77,6,FALSE)</f>
        <v>0</v>
      </c>
      <c r="CE53" s="115">
        <f ca="1">CE50*-HLOOKUP(CE11,Assumptions!$D$72:$O$77,6,FALSE)</f>
        <v>0</v>
      </c>
      <c r="CF53" s="115">
        <f ca="1">CF50*-HLOOKUP(CF11,Assumptions!$D$72:$O$77,6,FALSE)</f>
        <v>0</v>
      </c>
      <c r="CG53" s="115">
        <f ca="1">CG50*-HLOOKUP(CG11,Assumptions!$D$72:$O$77,6,FALSE)</f>
        <v>0</v>
      </c>
      <c r="CH53" s="115">
        <f ca="1">CH50*-HLOOKUP(CH11,Assumptions!$D$72:$O$77,6,FALSE)</f>
        <v>0</v>
      </c>
      <c r="CI53" s="115">
        <f ca="1">CI50*-HLOOKUP(CI11,Assumptions!$D$72:$O$77,6,FALSE)</f>
        <v>0</v>
      </c>
      <c r="CJ53" s="115">
        <f ca="1">CJ50*-HLOOKUP(CJ11,Assumptions!$D$72:$O$77,6,FALSE)</f>
        <v>0</v>
      </c>
      <c r="CK53" s="115">
        <f ca="1">CK50*-HLOOKUP(CK11,Assumptions!$D$72:$O$77,6,FALSE)</f>
        <v>0</v>
      </c>
      <c r="CL53" s="115">
        <f ca="1">CL50*-HLOOKUP(CL11,Assumptions!$D$72:$O$77,6,FALSE)</f>
        <v>0</v>
      </c>
      <c r="CM53" s="115">
        <f ca="1">CM50*-HLOOKUP(CM11,Assumptions!$D$72:$O$77,6,FALSE)</f>
        <v>0</v>
      </c>
      <c r="CN53" s="115">
        <f ca="1">CN50*-HLOOKUP(CN11,Assumptions!$D$72:$O$77,6,FALSE)</f>
        <v>0</v>
      </c>
      <c r="CO53" s="115">
        <f ca="1">CO50*-HLOOKUP(CO11,Assumptions!$D$72:$O$77,6,FALSE)</f>
        <v>0</v>
      </c>
      <c r="CP53" s="115">
        <f ca="1">CP50*-HLOOKUP(CP11,Assumptions!$D$72:$O$77,6,FALSE)</f>
        <v>0</v>
      </c>
      <c r="CQ53" s="115">
        <f ca="1">CQ50*-HLOOKUP(CQ11,Assumptions!$D$72:$O$77,6,FALSE)</f>
        <v>0</v>
      </c>
      <c r="CR53" s="115">
        <f ca="1">CR50*-HLOOKUP(CR11,Assumptions!$D$72:$O$77,6,FALSE)</f>
        <v>0</v>
      </c>
      <c r="CS53" s="115">
        <f ca="1">CS50*-HLOOKUP(CS11,Assumptions!$D$72:$O$77,6,FALSE)</f>
        <v>0</v>
      </c>
      <c r="CT53" s="115">
        <f ca="1">CT50*-HLOOKUP(CT11,Assumptions!$D$72:$O$77,6,FALSE)</f>
        <v>0</v>
      </c>
      <c r="CU53" s="115">
        <f ca="1">CU50*-HLOOKUP(CU11,Assumptions!$D$72:$O$77,6,FALSE)</f>
        <v>0</v>
      </c>
      <c r="CV53" s="115">
        <f ca="1">CV50*-HLOOKUP(CV11,Assumptions!$D$72:$O$77,6,FALSE)</f>
        <v>0</v>
      </c>
      <c r="CW53" s="115">
        <f ca="1">CW50*-HLOOKUP(CW11,Assumptions!$D$72:$O$77,6,FALSE)</f>
        <v>0</v>
      </c>
      <c r="CX53" s="115">
        <f ca="1">CX50*-HLOOKUP(CX11,Assumptions!$D$72:$O$77,6,FALSE)</f>
        <v>0</v>
      </c>
      <c r="CY53" s="115">
        <f ca="1">CY50*-HLOOKUP(CY11,Assumptions!$D$72:$O$77,6,FALSE)</f>
        <v>0</v>
      </c>
      <c r="CZ53" s="115">
        <f ca="1">CZ50*-HLOOKUP(CZ11,Assumptions!$D$72:$O$77,6,FALSE)</f>
        <v>0</v>
      </c>
      <c r="DA53" s="115">
        <f ca="1">DA50*-HLOOKUP(DA11,Assumptions!$D$72:$O$77,6,FALSE)</f>
        <v>0</v>
      </c>
      <c r="DB53" s="115">
        <f ca="1">DB50*-HLOOKUP(DB11,Assumptions!$D$72:$O$77,6,FALSE)</f>
        <v>0</v>
      </c>
      <c r="DC53" s="115">
        <f ca="1">DC50*-HLOOKUP(DC11,Assumptions!$D$72:$O$77,6,FALSE)</f>
        <v>0</v>
      </c>
      <c r="DD53" s="115">
        <f ca="1">DD50*-HLOOKUP(DD11,Assumptions!$D$72:$O$77,6,FALSE)</f>
        <v>0</v>
      </c>
      <c r="DE53" s="115">
        <f ca="1">DE50*-HLOOKUP(DE11,Assumptions!$D$72:$O$77,6,FALSE)</f>
        <v>0</v>
      </c>
      <c r="DF53" s="115">
        <f ca="1">DF50*-HLOOKUP(DF11,Assumptions!$D$72:$O$77,6,FALSE)</f>
        <v>0</v>
      </c>
      <c r="DG53" s="115">
        <f ca="1">DG50*-HLOOKUP(DG11,Assumptions!$D$72:$O$77,6,FALSE)</f>
        <v>0</v>
      </c>
      <c r="DH53" s="115">
        <f ca="1">DH50*-HLOOKUP(DH11,Assumptions!$D$72:$O$77,6,FALSE)</f>
        <v>0</v>
      </c>
      <c r="DI53" s="115">
        <f ca="1">DI50*-HLOOKUP(DI11,Assumptions!$D$72:$O$77,6,FALSE)</f>
        <v>0</v>
      </c>
      <c r="DJ53" s="115">
        <f ca="1">DJ50*-HLOOKUP(DJ11,Assumptions!$D$72:$O$77,6,FALSE)</f>
        <v>0</v>
      </c>
      <c r="DK53" s="115">
        <f ca="1">DK50*-HLOOKUP(DK11,Assumptions!$D$72:$O$77,6,FALSE)</f>
        <v>0</v>
      </c>
      <c r="DL53" s="115">
        <f ca="1">DL50*-HLOOKUP(DL11,Assumptions!$D$72:$O$77,6,FALSE)</f>
        <v>0</v>
      </c>
      <c r="DM53" s="115">
        <f ca="1">DM50*-HLOOKUP(DM11,Assumptions!$D$72:$O$77,6,FALSE)</f>
        <v>0</v>
      </c>
      <c r="DN53" s="115">
        <f ca="1">DN50*-HLOOKUP(DN11,Assumptions!$D$72:$O$77,6,FALSE)</f>
        <v>0</v>
      </c>
      <c r="DO53" s="115">
        <f ca="1">DO50*-HLOOKUP(DO11,Assumptions!$D$72:$O$77,6,FALSE)</f>
        <v>0</v>
      </c>
      <c r="DP53" s="115">
        <f ca="1">DP50*-HLOOKUP(DP11,Assumptions!$D$72:$O$77,6,FALSE)</f>
        <v>0</v>
      </c>
      <c r="DQ53" s="115">
        <f ca="1">DQ50*-HLOOKUP(DQ11,Assumptions!$D$72:$O$77,6,FALSE)</f>
        <v>0</v>
      </c>
      <c r="DR53" s="115">
        <f ca="1">DR50*-HLOOKUP(DR11,Assumptions!$D$72:$O$77,6,FALSE)</f>
        <v>0</v>
      </c>
      <c r="DS53" s="115">
        <f ca="1">DS50*-HLOOKUP(DS11,Assumptions!$D$72:$O$77,6,FALSE)</f>
        <v>0</v>
      </c>
      <c r="DT53" s="115">
        <f ca="1">DT50*-HLOOKUP(DT11,Assumptions!$D$72:$O$77,6,FALSE)</f>
        <v>0</v>
      </c>
      <c r="DU53" s="115">
        <f ca="1">DU50*-HLOOKUP(DU11,Assumptions!$D$72:$O$77,6,FALSE)</f>
        <v>0</v>
      </c>
      <c r="DV53" s="115">
        <f ca="1">DV50*-HLOOKUP(DV11,Assumptions!$D$72:$O$77,6,FALSE)</f>
        <v>0</v>
      </c>
      <c r="DW53" s="115">
        <f ca="1">DW50*-HLOOKUP(DW11,Assumptions!$D$72:$O$77,6,FALSE)</f>
        <v>0</v>
      </c>
      <c r="DX53" s="115">
        <f ca="1">DX50*-HLOOKUP(DX11,Assumptions!$D$72:$O$77,6,FALSE)</f>
        <v>0</v>
      </c>
      <c r="DY53" s="115">
        <f ca="1">DY50*-HLOOKUP(DY11,Assumptions!$D$72:$O$77,6,FALSE)</f>
        <v>0</v>
      </c>
      <c r="DZ53" s="115">
        <f ca="1">DZ50*-HLOOKUP(DZ11,Assumptions!$D$72:$O$77,6,FALSE)</f>
        <v>0</v>
      </c>
      <c r="EA53" s="115">
        <f ca="1">EA50*-HLOOKUP(EA11,Assumptions!$D$72:$O$77,6,FALSE)</f>
        <v>0</v>
      </c>
      <c r="EB53" s="115">
        <f ca="1">EB50*-HLOOKUP(EB11,Assumptions!$D$72:$O$77,6,FALSE)</f>
        <v>0</v>
      </c>
      <c r="EC53" s="115">
        <f ca="1">EC50*-HLOOKUP(EC11,Assumptions!$D$72:$O$77,6,FALSE)</f>
        <v>0</v>
      </c>
      <c r="ED53" s="115">
        <f ca="1">ED50*-HLOOKUP(ED11,Assumptions!$D$72:$O$77,6,FALSE)</f>
        <v>0</v>
      </c>
      <c r="EE53" s="115">
        <f ca="1">EE50*-HLOOKUP(EE11,Assumptions!$D$72:$O$77,6,FALSE)</f>
        <v>0</v>
      </c>
      <c r="EF53" s="115">
        <f ca="1">EF50*-HLOOKUP(EF11,Assumptions!$D$72:$O$77,6,FALSE)</f>
        <v>0</v>
      </c>
      <c r="EG53" s="115">
        <f ca="1">EG50*-HLOOKUP(EG11,Assumptions!$D$72:$O$77,6,FALSE)</f>
        <v>0</v>
      </c>
      <c r="EH53" s="115">
        <f ca="1">EH50*-HLOOKUP(EH11,Assumptions!$D$72:$O$77,6,FALSE)</f>
        <v>0</v>
      </c>
      <c r="EI53" s="115">
        <f ca="1">EI50*-HLOOKUP(EI11,Assumptions!$D$72:$O$77,6,FALSE)</f>
        <v>0</v>
      </c>
      <c r="EJ53" s="115">
        <f ca="1">EJ50*-HLOOKUP(EJ11,Assumptions!$D$72:$O$77,6,FALSE)</f>
        <v>0</v>
      </c>
      <c r="EK53" s="115">
        <f ca="1">EK50*-HLOOKUP(EK11,Assumptions!$D$72:$O$77,6,FALSE)</f>
        <v>0</v>
      </c>
      <c r="EL53" s="115">
        <f ca="1">EL50*-HLOOKUP(EL11,Assumptions!$D$72:$O$77,6,FALSE)</f>
        <v>0</v>
      </c>
      <c r="EM53" s="115">
        <f ca="1">EM50*-HLOOKUP(EM11,Assumptions!$D$72:$O$77,6,FALSE)</f>
        <v>0</v>
      </c>
      <c r="EN53" s="115">
        <f ca="1">EN50*-HLOOKUP(EN11,Assumptions!$D$72:$O$77,6,FALSE)</f>
        <v>0</v>
      </c>
      <c r="EO53" s="115">
        <f ca="1">EO50*-HLOOKUP(EO11,Assumptions!$D$72:$O$77,6,FALSE)</f>
        <v>0</v>
      </c>
      <c r="EP53" s="115">
        <f ca="1">EP50*-HLOOKUP(EP11,Assumptions!$D$72:$O$77,6,FALSE)</f>
        <v>0</v>
      </c>
      <c r="EQ53" s="115">
        <f ca="1">EQ50*-HLOOKUP(EQ11,Assumptions!$D$72:$O$77,6,FALSE)</f>
        <v>0</v>
      </c>
      <c r="ES53" s="421"/>
      <c r="ET53" s="63"/>
      <c r="EU53" s="98"/>
    </row>
    <row r="54" spans="7:151" ht="15.75">
      <c r="G54" s="145"/>
      <c r="H54" s="113" t="s">
        <v>127</v>
      </c>
      <c r="I54" s="495"/>
      <c r="J54" s="217"/>
      <c r="K54" s="107"/>
      <c r="L54" s="106"/>
      <c r="M54" s="106"/>
      <c r="N54" s="217">
        <f>'Annual Cash Flow'!C34</f>
        <v>0</v>
      </c>
      <c r="O54" s="786"/>
      <c r="P54" s="114">
        <f>Assumptions!H46/12</f>
        <v>0</v>
      </c>
      <c r="Q54" s="124">
        <f t="shared" ref="Q54:AV54" ca="1" si="64">IF(P82=0,0,1)*IF(Q11=1,$P$54,($P$54*(1+Q33)))</f>
        <v>0</v>
      </c>
      <c r="R54" s="124">
        <f t="shared" ca="1" si="64"/>
        <v>0</v>
      </c>
      <c r="S54" s="124">
        <f t="shared" ca="1" si="64"/>
        <v>0</v>
      </c>
      <c r="T54" s="124">
        <f t="shared" ca="1" si="64"/>
        <v>0</v>
      </c>
      <c r="U54" s="124">
        <f t="shared" ca="1" si="64"/>
        <v>0</v>
      </c>
      <c r="V54" s="124">
        <f t="shared" ca="1" si="64"/>
        <v>0</v>
      </c>
      <c r="W54" s="124">
        <f t="shared" ca="1" si="64"/>
        <v>0</v>
      </c>
      <c r="X54" s="124">
        <f t="shared" ca="1" si="64"/>
        <v>0</v>
      </c>
      <c r="Y54" s="124">
        <f t="shared" ca="1" si="64"/>
        <v>0</v>
      </c>
      <c r="Z54" s="124">
        <f t="shared" ca="1" si="64"/>
        <v>0</v>
      </c>
      <c r="AA54" s="124">
        <f t="shared" ca="1" si="64"/>
        <v>0</v>
      </c>
      <c r="AB54" s="124">
        <f t="shared" ca="1" si="64"/>
        <v>0</v>
      </c>
      <c r="AC54" s="124">
        <f t="shared" ca="1" si="64"/>
        <v>0</v>
      </c>
      <c r="AD54" s="124">
        <f t="shared" ca="1" si="64"/>
        <v>0</v>
      </c>
      <c r="AE54" s="124">
        <f t="shared" ca="1" si="64"/>
        <v>0</v>
      </c>
      <c r="AF54" s="124">
        <f t="shared" ca="1" si="64"/>
        <v>0</v>
      </c>
      <c r="AG54" s="124">
        <f t="shared" ca="1" si="64"/>
        <v>0</v>
      </c>
      <c r="AH54" s="124">
        <f t="shared" ca="1" si="64"/>
        <v>0</v>
      </c>
      <c r="AI54" s="124">
        <f t="shared" ca="1" si="64"/>
        <v>0</v>
      </c>
      <c r="AJ54" s="124">
        <f t="shared" ca="1" si="64"/>
        <v>0</v>
      </c>
      <c r="AK54" s="124">
        <f t="shared" ca="1" si="64"/>
        <v>0</v>
      </c>
      <c r="AL54" s="124">
        <f t="shared" ca="1" si="64"/>
        <v>0</v>
      </c>
      <c r="AM54" s="124">
        <f t="shared" ca="1" si="64"/>
        <v>0</v>
      </c>
      <c r="AN54" s="124">
        <f t="shared" ca="1" si="64"/>
        <v>0</v>
      </c>
      <c r="AO54" s="124">
        <f t="shared" ca="1" si="64"/>
        <v>0</v>
      </c>
      <c r="AP54" s="124">
        <f t="shared" ca="1" si="64"/>
        <v>0</v>
      </c>
      <c r="AQ54" s="124">
        <f t="shared" ca="1" si="64"/>
        <v>0</v>
      </c>
      <c r="AR54" s="124">
        <f t="shared" ca="1" si="64"/>
        <v>0</v>
      </c>
      <c r="AS54" s="124">
        <f t="shared" ca="1" si="64"/>
        <v>0</v>
      </c>
      <c r="AT54" s="124">
        <f t="shared" ca="1" si="64"/>
        <v>0</v>
      </c>
      <c r="AU54" s="124">
        <f t="shared" ca="1" si="64"/>
        <v>0</v>
      </c>
      <c r="AV54" s="124">
        <f t="shared" ca="1" si="64"/>
        <v>0</v>
      </c>
      <c r="AW54" s="124">
        <f t="shared" ref="AW54:CB54" ca="1" si="65">IF(AV82=0,0,1)*IF(AW11=1,$P$54,($P$54*(1+AW33)))</f>
        <v>0</v>
      </c>
      <c r="AX54" s="124">
        <f t="shared" ca="1" si="65"/>
        <v>0</v>
      </c>
      <c r="AY54" s="124">
        <f t="shared" ca="1" si="65"/>
        <v>0</v>
      </c>
      <c r="AZ54" s="124">
        <f t="shared" ca="1" si="65"/>
        <v>0</v>
      </c>
      <c r="BA54" s="124">
        <f t="shared" ca="1" si="65"/>
        <v>0</v>
      </c>
      <c r="BB54" s="124">
        <f t="shared" ca="1" si="65"/>
        <v>0</v>
      </c>
      <c r="BC54" s="124">
        <f t="shared" ca="1" si="65"/>
        <v>0</v>
      </c>
      <c r="BD54" s="124">
        <f t="shared" ca="1" si="65"/>
        <v>0</v>
      </c>
      <c r="BE54" s="124">
        <f t="shared" ca="1" si="65"/>
        <v>0</v>
      </c>
      <c r="BF54" s="124">
        <f t="shared" ca="1" si="65"/>
        <v>0</v>
      </c>
      <c r="BG54" s="124">
        <f t="shared" ca="1" si="65"/>
        <v>0</v>
      </c>
      <c r="BH54" s="124">
        <f t="shared" ca="1" si="65"/>
        <v>0</v>
      </c>
      <c r="BI54" s="124">
        <f t="shared" ca="1" si="65"/>
        <v>0</v>
      </c>
      <c r="BJ54" s="124">
        <f t="shared" ca="1" si="65"/>
        <v>0</v>
      </c>
      <c r="BK54" s="124">
        <f t="shared" ca="1" si="65"/>
        <v>0</v>
      </c>
      <c r="BL54" s="124">
        <f t="shared" ca="1" si="65"/>
        <v>0</v>
      </c>
      <c r="BM54" s="124">
        <f t="shared" ca="1" si="65"/>
        <v>0</v>
      </c>
      <c r="BN54" s="124">
        <f t="shared" ca="1" si="65"/>
        <v>0</v>
      </c>
      <c r="BO54" s="124">
        <f t="shared" ca="1" si="65"/>
        <v>0</v>
      </c>
      <c r="BP54" s="124">
        <f t="shared" ca="1" si="65"/>
        <v>0</v>
      </c>
      <c r="BQ54" s="124">
        <f t="shared" ca="1" si="65"/>
        <v>0</v>
      </c>
      <c r="BR54" s="124">
        <f t="shared" ca="1" si="65"/>
        <v>0</v>
      </c>
      <c r="BS54" s="124">
        <f t="shared" ca="1" si="65"/>
        <v>0</v>
      </c>
      <c r="BT54" s="124">
        <f t="shared" ca="1" si="65"/>
        <v>0</v>
      </c>
      <c r="BU54" s="124">
        <f t="shared" ca="1" si="65"/>
        <v>0</v>
      </c>
      <c r="BV54" s="124">
        <f t="shared" ca="1" si="65"/>
        <v>0</v>
      </c>
      <c r="BW54" s="124">
        <f t="shared" ca="1" si="65"/>
        <v>0</v>
      </c>
      <c r="BX54" s="124">
        <f t="shared" ca="1" si="65"/>
        <v>0</v>
      </c>
      <c r="BY54" s="124">
        <f t="shared" ca="1" si="65"/>
        <v>0</v>
      </c>
      <c r="BZ54" s="124">
        <f t="shared" ca="1" si="65"/>
        <v>0</v>
      </c>
      <c r="CA54" s="124">
        <f t="shared" ca="1" si="65"/>
        <v>0</v>
      </c>
      <c r="CB54" s="124">
        <f t="shared" ca="1" si="65"/>
        <v>0</v>
      </c>
      <c r="CC54" s="124">
        <f t="shared" ref="CC54:DH54" ca="1" si="66">IF(CB82=0,0,1)*IF(CC11=1,$P$54,($P$54*(1+CC33)))</f>
        <v>0</v>
      </c>
      <c r="CD54" s="124">
        <f t="shared" ca="1" si="66"/>
        <v>0</v>
      </c>
      <c r="CE54" s="124">
        <f t="shared" ca="1" si="66"/>
        <v>0</v>
      </c>
      <c r="CF54" s="124">
        <f t="shared" ca="1" si="66"/>
        <v>0</v>
      </c>
      <c r="CG54" s="124">
        <f t="shared" ca="1" si="66"/>
        <v>0</v>
      </c>
      <c r="CH54" s="124">
        <f t="shared" ca="1" si="66"/>
        <v>0</v>
      </c>
      <c r="CI54" s="124">
        <f t="shared" ca="1" si="66"/>
        <v>0</v>
      </c>
      <c r="CJ54" s="124">
        <f t="shared" ca="1" si="66"/>
        <v>0</v>
      </c>
      <c r="CK54" s="124">
        <f t="shared" ca="1" si="66"/>
        <v>0</v>
      </c>
      <c r="CL54" s="124">
        <f t="shared" ca="1" si="66"/>
        <v>0</v>
      </c>
      <c r="CM54" s="124">
        <f t="shared" ca="1" si="66"/>
        <v>0</v>
      </c>
      <c r="CN54" s="124">
        <f t="shared" ca="1" si="66"/>
        <v>0</v>
      </c>
      <c r="CO54" s="124">
        <f t="shared" ca="1" si="66"/>
        <v>0</v>
      </c>
      <c r="CP54" s="124">
        <f t="shared" ca="1" si="66"/>
        <v>0</v>
      </c>
      <c r="CQ54" s="124">
        <f t="shared" ca="1" si="66"/>
        <v>0</v>
      </c>
      <c r="CR54" s="124">
        <f t="shared" ca="1" si="66"/>
        <v>0</v>
      </c>
      <c r="CS54" s="124">
        <f t="shared" ca="1" si="66"/>
        <v>0</v>
      </c>
      <c r="CT54" s="124">
        <f t="shared" ca="1" si="66"/>
        <v>0</v>
      </c>
      <c r="CU54" s="124">
        <f t="shared" ca="1" si="66"/>
        <v>0</v>
      </c>
      <c r="CV54" s="124">
        <f t="shared" ca="1" si="66"/>
        <v>0</v>
      </c>
      <c r="CW54" s="124">
        <f t="shared" ca="1" si="66"/>
        <v>0</v>
      </c>
      <c r="CX54" s="124">
        <f t="shared" ca="1" si="66"/>
        <v>0</v>
      </c>
      <c r="CY54" s="124">
        <f t="shared" ca="1" si="66"/>
        <v>0</v>
      </c>
      <c r="CZ54" s="124">
        <f t="shared" ca="1" si="66"/>
        <v>0</v>
      </c>
      <c r="DA54" s="124">
        <f t="shared" ca="1" si="66"/>
        <v>0</v>
      </c>
      <c r="DB54" s="124">
        <f t="shared" ca="1" si="66"/>
        <v>0</v>
      </c>
      <c r="DC54" s="124">
        <f t="shared" ca="1" si="66"/>
        <v>0</v>
      </c>
      <c r="DD54" s="124">
        <f t="shared" ca="1" si="66"/>
        <v>0</v>
      </c>
      <c r="DE54" s="124">
        <f t="shared" ca="1" si="66"/>
        <v>0</v>
      </c>
      <c r="DF54" s="124">
        <f t="shared" ca="1" si="66"/>
        <v>0</v>
      </c>
      <c r="DG54" s="124">
        <f t="shared" ca="1" si="66"/>
        <v>0</v>
      </c>
      <c r="DH54" s="124">
        <f t="shared" ca="1" si="66"/>
        <v>0</v>
      </c>
      <c r="DI54" s="124">
        <f t="shared" ref="DI54:EQ54" ca="1" si="67">IF(DH82=0,0,1)*IF(DI11=1,$P$54,($P$54*(1+DI33)))</f>
        <v>0</v>
      </c>
      <c r="DJ54" s="124">
        <f t="shared" si="67"/>
        <v>0</v>
      </c>
      <c r="DK54" s="124">
        <f t="shared" si="67"/>
        <v>0</v>
      </c>
      <c r="DL54" s="124">
        <f t="shared" si="67"/>
        <v>0</v>
      </c>
      <c r="DM54" s="124">
        <f t="shared" si="67"/>
        <v>0</v>
      </c>
      <c r="DN54" s="124">
        <f t="shared" si="67"/>
        <v>0</v>
      </c>
      <c r="DO54" s="124">
        <f t="shared" si="67"/>
        <v>0</v>
      </c>
      <c r="DP54" s="124">
        <f t="shared" si="67"/>
        <v>0</v>
      </c>
      <c r="DQ54" s="124">
        <f t="shared" si="67"/>
        <v>0</v>
      </c>
      <c r="DR54" s="124">
        <f t="shared" si="67"/>
        <v>0</v>
      </c>
      <c r="DS54" s="124">
        <f t="shared" si="67"/>
        <v>0</v>
      </c>
      <c r="DT54" s="124">
        <f t="shared" si="67"/>
        <v>0</v>
      </c>
      <c r="DU54" s="124">
        <f t="shared" si="67"/>
        <v>0</v>
      </c>
      <c r="DV54" s="124">
        <f t="shared" si="67"/>
        <v>0</v>
      </c>
      <c r="DW54" s="124">
        <f t="shared" si="67"/>
        <v>0</v>
      </c>
      <c r="DX54" s="124">
        <f t="shared" si="67"/>
        <v>0</v>
      </c>
      <c r="DY54" s="124">
        <f t="shared" si="67"/>
        <v>0</v>
      </c>
      <c r="DZ54" s="124">
        <f t="shared" si="67"/>
        <v>0</v>
      </c>
      <c r="EA54" s="124">
        <f t="shared" si="67"/>
        <v>0</v>
      </c>
      <c r="EB54" s="124">
        <f t="shared" si="67"/>
        <v>0</v>
      </c>
      <c r="EC54" s="124">
        <f t="shared" si="67"/>
        <v>0</v>
      </c>
      <c r="ED54" s="124">
        <f t="shared" si="67"/>
        <v>0</v>
      </c>
      <c r="EE54" s="124">
        <f t="shared" si="67"/>
        <v>0</v>
      </c>
      <c r="EF54" s="124">
        <f t="shared" si="67"/>
        <v>0</v>
      </c>
      <c r="EG54" s="124">
        <f t="shared" si="67"/>
        <v>0</v>
      </c>
      <c r="EH54" s="124">
        <f t="shared" si="67"/>
        <v>0</v>
      </c>
      <c r="EI54" s="124">
        <f t="shared" si="67"/>
        <v>0</v>
      </c>
      <c r="EJ54" s="124">
        <f t="shared" si="67"/>
        <v>0</v>
      </c>
      <c r="EK54" s="124">
        <f t="shared" si="67"/>
        <v>0</v>
      </c>
      <c r="EL54" s="124">
        <f t="shared" si="67"/>
        <v>0</v>
      </c>
      <c r="EM54" s="124">
        <f t="shared" si="67"/>
        <v>0</v>
      </c>
      <c r="EN54" s="124">
        <f t="shared" si="67"/>
        <v>0</v>
      </c>
      <c r="EO54" s="124">
        <f t="shared" si="67"/>
        <v>0</v>
      </c>
      <c r="EP54" s="124">
        <f t="shared" si="67"/>
        <v>0</v>
      </c>
      <c r="EQ54" s="124">
        <f t="shared" si="67"/>
        <v>0</v>
      </c>
      <c r="ES54" s="421"/>
      <c r="ET54" s="63"/>
      <c r="EU54" s="98"/>
    </row>
    <row r="55" spans="7:151" ht="15.75">
      <c r="G55" s="485" t="s">
        <v>15</v>
      </c>
      <c r="H55" s="145"/>
      <c r="I55" s="108"/>
      <c r="J55" s="217"/>
      <c r="K55" s="107"/>
      <c r="L55" s="106"/>
      <c r="M55" s="106"/>
      <c r="N55" s="217">
        <f>SUM(N50:N54)</f>
        <v>275664</v>
      </c>
      <c r="O55" s="781"/>
      <c r="P55" s="106">
        <f t="shared" ref="P55:AU55" ca="1" si="68">SUM(P50:P54)</f>
        <v>23496.127499999999</v>
      </c>
      <c r="Q55" s="106">
        <f t="shared" ca="1" si="68"/>
        <v>23496.127500000002</v>
      </c>
      <c r="R55" s="106">
        <f t="shared" ca="1" si="68"/>
        <v>23496.127500000002</v>
      </c>
      <c r="S55" s="110">
        <f t="shared" ca="1" si="68"/>
        <v>23496.127500000002</v>
      </c>
      <c r="T55" s="106">
        <f t="shared" ca="1" si="68"/>
        <v>23592.127500000002</v>
      </c>
      <c r="U55" s="106">
        <f t="shared" ca="1" si="68"/>
        <v>23976.127500000002</v>
      </c>
      <c r="V55" s="106">
        <f t="shared" ca="1" si="68"/>
        <v>24456.127500000002</v>
      </c>
      <c r="W55" s="106">
        <f t="shared" ca="1" si="68"/>
        <v>24456.127500000002</v>
      </c>
      <c r="X55" s="106">
        <f t="shared" ca="1" si="68"/>
        <v>24456.127500000002</v>
      </c>
      <c r="Y55" s="106">
        <f t="shared" ca="1" si="68"/>
        <v>24456.127500000002</v>
      </c>
      <c r="Z55" s="106">
        <f t="shared" ca="1" si="68"/>
        <v>24456.127500000002</v>
      </c>
      <c r="AA55" s="106">
        <f t="shared" ca="1" si="68"/>
        <v>24456.127500000002</v>
      </c>
      <c r="AB55" s="106">
        <f t="shared" ca="1" si="68"/>
        <v>25648.287631245003</v>
      </c>
      <c r="AC55" s="106">
        <f t="shared" ca="1" si="68"/>
        <v>25648.287631245003</v>
      </c>
      <c r="AD55" s="106">
        <f t="shared" ca="1" si="68"/>
        <v>25648.287631245003</v>
      </c>
      <c r="AE55" s="106">
        <f t="shared" ca="1" si="68"/>
        <v>26167.934671245002</v>
      </c>
      <c r="AF55" s="106">
        <f t="shared" ca="1" si="68"/>
        <v>26687.581711245002</v>
      </c>
      <c r="AG55" s="106">
        <f t="shared" ca="1" si="68"/>
        <v>26687.581711245002</v>
      </c>
      <c r="AH55" s="106">
        <f t="shared" ca="1" si="68"/>
        <v>27207.228751244998</v>
      </c>
      <c r="AI55" s="106">
        <f t="shared" ca="1" si="68"/>
        <v>27207.228751244998</v>
      </c>
      <c r="AJ55" s="106">
        <f t="shared" ca="1" si="68"/>
        <v>27207.228751244998</v>
      </c>
      <c r="AK55" s="106">
        <f t="shared" ca="1" si="68"/>
        <v>27207.228751244998</v>
      </c>
      <c r="AL55" s="106">
        <f t="shared" ca="1" si="68"/>
        <v>27207.228751244998</v>
      </c>
      <c r="AM55" s="106">
        <f t="shared" ca="1" si="68"/>
        <v>27207.228751244998</v>
      </c>
      <c r="AN55" s="106">
        <f t="shared" ca="1" si="68"/>
        <v>28485.968502553518</v>
      </c>
      <c r="AO55" s="106">
        <f t="shared" ca="1" si="68"/>
        <v>28485.968502553518</v>
      </c>
      <c r="AP55" s="106">
        <f t="shared" ca="1" si="68"/>
        <v>28485.968502553518</v>
      </c>
      <c r="AQ55" s="106">
        <f t="shared" ca="1" si="68"/>
        <v>28485.968502553518</v>
      </c>
      <c r="AR55" s="106">
        <f t="shared" ca="1" si="68"/>
        <v>28485.968502553518</v>
      </c>
      <c r="AS55" s="106">
        <f t="shared" ca="1" si="68"/>
        <v>28485.968502553518</v>
      </c>
      <c r="AT55" s="106">
        <f t="shared" ca="1" si="68"/>
        <v>28921.224863257517</v>
      </c>
      <c r="AU55" s="106">
        <f t="shared" ca="1" si="68"/>
        <v>28921.224863257517</v>
      </c>
      <c r="AV55" s="106">
        <f t="shared" ref="AV55:CA55" ca="1" si="69">SUM(AV50:AV54)</f>
        <v>29030.038953433519</v>
      </c>
      <c r="AW55" s="106">
        <f t="shared" ca="1" si="69"/>
        <v>29030.038953433519</v>
      </c>
      <c r="AX55" s="106">
        <f t="shared" ca="1" si="69"/>
        <v>29030.038953433519</v>
      </c>
      <c r="AY55" s="106">
        <f t="shared" ca="1" si="69"/>
        <v>29030.038953433519</v>
      </c>
      <c r="AZ55" s="106">
        <f t="shared" ca="1" si="69"/>
        <v>29988.030238896816</v>
      </c>
      <c r="BA55" s="106">
        <f t="shared" ca="1" si="69"/>
        <v>29988.030238896816</v>
      </c>
      <c r="BB55" s="106">
        <f t="shared" ca="1" si="69"/>
        <v>29988.030238896816</v>
      </c>
      <c r="BC55" s="106">
        <f t="shared" ca="1" si="69"/>
        <v>29988.030238896816</v>
      </c>
      <c r="BD55" s="106">
        <f t="shared" ca="1" si="69"/>
        <v>29988.030238896816</v>
      </c>
      <c r="BE55" s="106">
        <f t="shared" ca="1" si="69"/>
        <v>29988.030238896816</v>
      </c>
      <c r="BF55" s="106">
        <f t="shared" ca="1" si="69"/>
        <v>29988.030238896816</v>
      </c>
      <c r="BG55" s="106">
        <f t="shared" ca="1" si="69"/>
        <v>29988.030238896816</v>
      </c>
      <c r="BH55" s="106">
        <f t="shared" ca="1" si="69"/>
        <v>29988.030238896816</v>
      </c>
      <c r="BI55" s="106">
        <f t="shared" ca="1" si="69"/>
        <v>29988.030238896816</v>
      </c>
      <c r="BJ55" s="106">
        <f t="shared" ca="1" si="69"/>
        <v>29988.030238896816</v>
      </c>
      <c r="BK55" s="106">
        <f t="shared" ca="1" si="69"/>
        <v>29988.030238896816</v>
      </c>
      <c r="BL55" s="106">
        <f t="shared" ca="1" si="69"/>
        <v>30797.707055347026</v>
      </c>
      <c r="BM55" s="106">
        <f t="shared" ca="1" si="69"/>
        <v>30797.707055347026</v>
      </c>
      <c r="BN55" s="106">
        <f t="shared" ca="1" si="69"/>
        <v>30797.707055347026</v>
      </c>
      <c r="BO55" s="106">
        <f t="shared" ca="1" si="69"/>
        <v>30797.707055347026</v>
      </c>
      <c r="BP55" s="106">
        <f t="shared" ca="1" si="69"/>
        <v>30797.707055347026</v>
      </c>
      <c r="BQ55" s="106">
        <f t="shared" ca="1" si="69"/>
        <v>30797.707055347026</v>
      </c>
      <c r="BR55" s="106">
        <f t="shared" ca="1" si="69"/>
        <v>30797.707055347026</v>
      </c>
      <c r="BS55" s="106">
        <f t="shared" ca="1" si="69"/>
        <v>30797.707055347026</v>
      </c>
      <c r="BT55" s="106">
        <f t="shared" ca="1" si="69"/>
        <v>30797.707055347026</v>
      </c>
      <c r="BU55" s="106">
        <f t="shared" ca="1" si="69"/>
        <v>30797.707055347026</v>
      </c>
      <c r="BV55" s="106">
        <f t="shared" ca="1" si="69"/>
        <v>30797.707055347026</v>
      </c>
      <c r="BW55" s="106">
        <f t="shared" ca="1" si="69"/>
        <v>30797.707055347026</v>
      </c>
      <c r="BX55" s="106">
        <f t="shared" ca="1" si="69"/>
        <v>31721.638267007438</v>
      </c>
      <c r="BY55" s="106">
        <f t="shared" ca="1" si="69"/>
        <v>31721.638267007438</v>
      </c>
      <c r="BZ55" s="106">
        <f t="shared" ca="1" si="69"/>
        <v>31721.638267007438</v>
      </c>
      <c r="CA55" s="106">
        <f t="shared" ca="1" si="69"/>
        <v>31721.638267007438</v>
      </c>
      <c r="CB55" s="106">
        <f t="shared" ref="CB55:DG55" ca="1" si="70">SUM(CB50:CB54)</f>
        <v>31721.638267007438</v>
      </c>
      <c r="CC55" s="106">
        <f t="shared" ca="1" si="70"/>
        <v>31721.638267007438</v>
      </c>
      <c r="CD55" s="106">
        <f t="shared" ca="1" si="70"/>
        <v>31721.638267007438</v>
      </c>
      <c r="CE55" s="106">
        <f t="shared" ca="1" si="70"/>
        <v>31721.638267007438</v>
      </c>
      <c r="CF55" s="106">
        <f t="shared" ca="1" si="70"/>
        <v>31721.638267007438</v>
      </c>
      <c r="CG55" s="106">
        <f t="shared" ca="1" si="70"/>
        <v>31721.638267007438</v>
      </c>
      <c r="CH55" s="106">
        <f t="shared" ca="1" si="70"/>
        <v>31721.638267007438</v>
      </c>
      <c r="CI55" s="106">
        <f t="shared" ca="1" si="70"/>
        <v>31721.638267007438</v>
      </c>
      <c r="CJ55" s="106">
        <f t="shared" ca="1" si="70"/>
        <v>32673.287415017665</v>
      </c>
      <c r="CK55" s="106">
        <f t="shared" ca="1" si="70"/>
        <v>32673.287415017665</v>
      </c>
      <c r="CL55" s="106">
        <f t="shared" ca="1" si="70"/>
        <v>32673.287415017665</v>
      </c>
      <c r="CM55" s="106">
        <f t="shared" ca="1" si="70"/>
        <v>32673.287415017665</v>
      </c>
      <c r="CN55" s="106">
        <f t="shared" ca="1" si="70"/>
        <v>32673.287415017665</v>
      </c>
      <c r="CO55" s="106">
        <f t="shared" ca="1" si="70"/>
        <v>32673.287415017665</v>
      </c>
      <c r="CP55" s="106">
        <f t="shared" ca="1" si="70"/>
        <v>32673.287415017665</v>
      </c>
      <c r="CQ55" s="106">
        <f t="shared" ca="1" si="70"/>
        <v>32673.287415017665</v>
      </c>
      <c r="CR55" s="106">
        <f t="shared" ca="1" si="70"/>
        <v>32673.287415017665</v>
      </c>
      <c r="CS55" s="106">
        <f t="shared" ca="1" si="70"/>
        <v>32673.287415017665</v>
      </c>
      <c r="CT55" s="106">
        <f t="shared" ca="1" si="70"/>
        <v>32673.287415017665</v>
      </c>
      <c r="CU55" s="106">
        <f t="shared" ca="1" si="70"/>
        <v>32673.287415017665</v>
      </c>
      <c r="CV55" s="106">
        <f t="shared" ca="1" si="70"/>
        <v>33653.486037468196</v>
      </c>
      <c r="CW55" s="106">
        <f t="shared" ca="1" si="70"/>
        <v>33653.486037468196</v>
      </c>
      <c r="CX55" s="106">
        <f t="shared" ca="1" si="70"/>
        <v>33653.486037468196</v>
      </c>
      <c r="CY55" s="106">
        <f t="shared" ca="1" si="70"/>
        <v>33653.486037468196</v>
      </c>
      <c r="CZ55" s="106">
        <f t="shared" ca="1" si="70"/>
        <v>33653.486037468196</v>
      </c>
      <c r="DA55" s="106">
        <f t="shared" ca="1" si="70"/>
        <v>33653.486037468196</v>
      </c>
      <c r="DB55" s="106">
        <f t="shared" ca="1" si="70"/>
        <v>33653.486037468196</v>
      </c>
      <c r="DC55" s="106">
        <f t="shared" ca="1" si="70"/>
        <v>33653.486037468196</v>
      </c>
      <c r="DD55" s="106">
        <f t="shared" ca="1" si="70"/>
        <v>33653.486037468196</v>
      </c>
      <c r="DE55" s="106">
        <f t="shared" ca="1" si="70"/>
        <v>33653.486037468196</v>
      </c>
      <c r="DF55" s="106">
        <f t="shared" ca="1" si="70"/>
        <v>33653.486037468196</v>
      </c>
      <c r="DG55" s="106">
        <f t="shared" ca="1" si="70"/>
        <v>33653.486037468196</v>
      </c>
      <c r="DH55" s="106">
        <f t="shared" ref="DH55:EM55" ca="1" si="71">SUM(DH50:DH54)</f>
        <v>34663.090618592236</v>
      </c>
      <c r="DI55" s="106">
        <f t="shared" ca="1" si="71"/>
        <v>36093.844640554045</v>
      </c>
      <c r="DJ55" s="106">
        <f t="shared" ca="1" si="71"/>
        <v>0</v>
      </c>
      <c r="DK55" s="106">
        <f t="shared" ca="1" si="71"/>
        <v>0</v>
      </c>
      <c r="DL55" s="106">
        <f t="shared" ca="1" si="71"/>
        <v>0</v>
      </c>
      <c r="DM55" s="106">
        <f t="shared" ca="1" si="71"/>
        <v>0</v>
      </c>
      <c r="DN55" s="106">
        <f t="shared" ca="1" si="71"/>
        <v>0</v>
      </c>
      <c r="DO55" s="106">
        <f t="shared" ca="1" si="71"/>
        <v>0</v>
      </c>
      <c r="DP55" s="106">
        <f t="shared" ca="1" si="71"/>
        <v>0</v>
      </c>
      <c r="DQ55" s="106">
        <f t="shared" ca="1" si="71"/>
        <v>0</v>
      </c>
      <c r="DR55" s="106">
        <f t="shared" ca="1" si="71"/>
        <v>0</v>
      </c>
      <c r="DS55" s="106">
        <f t="shared" ca="1" si="71"/>
        <v>0</v>
      </c>
      <c r="DT55" s="106">
        <f t="shared" ca="1" si="71"/>
        <v>0</v>
      </c>
      <c r="DU55" s="106">
        <f t="shared" ca="1" si="71"/>
        <v>0</v>
      </c>
      <c r="DV55" s="106">
        <f t="shared" ca="1" si="71"/>
        <v>0</v>
      </c>
      <c r="DW55" s="106">
        <f t="shared" ca="1" si="71"/>
        <v>0</v>
      </c>
      <c r="DX55" s="106">
        <f t="shared" ca="1" si="71"/>
        <v>0</v>
      </c>
      <c r="DY55" s="106">
        <f t="shared" ca="1" si="71"/>
        <v>0</v>
      </c>
      <c r="DZ55" s="106">
        <f t="shared" ca="1" si="71"/>
        <v>0</v>
      </c>
      <c r="EA55" s="106">
        <f t="shared" ca="1" si="71"/>
        <v>0</v>
      </c>
      <c r="EB55" s="106">
        <f t="shared" ca="1" si="71"/>
        <v>0</v>
      </c>
      <c r="EC55" s="106">
        <f t="shared" ca="1" si="71"/>
        <v>0</v>
      </c>
      <c r="ED55" s="106">
        <f t="shared" ca="1" si="71"/>
        <v>0</v>
      </c>
      <c r="EE55" s="106">
        <f t="shared" ca="1" si="71"/>
        <v>0</v>
      </c>
      <c r="EF55" s="106">
        <f t="shared" ca="1" si="71"/>
        <v>0</v>
      </c>
      <c r="EG55" s="106">
        <f t="shared" ca="1" si="71"/>
        <v>0</v>
      </c>
      <c r="EH55" s="106">
        <f t="shared" ca="1" si="71"/>
        <v>0</v>
      </c>
      <c r="EI55" s="106">
        <f t="shared" ca="1" si="71"/>
        <v>0</v>
      </c>
      <c r="EJ55" s="106">
        <f t="shared" ca="1" si="71"/>
        <v>0</v>
      </c>
      <c r="EK55" s="106">
        <f t="shared" ca="1" si="71"/>
        <v>0</v>
      </c>
      <c r="EL55" s="106">
        <f t="shared" ca="1" si="71"/>
        <v>0</v>
      </c>
      <c r="EM55" s="106">
        <f t="shared" ca="1" si="71"/>
        <v>0</v>
      </c>
      <c r="EN55" s="106">
        <f t="shared" ref="EN55:EQ55" ca="1" si="72">SUM(EN50:EN54)</f>
        <v>0</v>
      </c>
      <c r="EO55" s="106">
        <f t="shared" ca="1" si="72"/>
        <v>0</v>
      </c>
      <c r="EP55" s="106">
        <f t="shared" ca="1" si="72"/>
        <v>0</v>
      </c>
      <c r="EQ55" s="106">
        <f t="shared" ca="1" si="72"/>
        <v>0</v>
      </c>
      <c r="ES55" s="421"/>
      <c r="ET55" s="63"/>
      <c r="EU55" s="98"/>
    </row>
    <row r="56" spans="7:151" ht="9" customHeight="1">
      <c r="G56" s="145"/>
      <c r="H56" s="145"/>
      <c r="I56" s="108"/>
      <c r="J56" s="217"/>
      <c r="K56" s="107"/>
      <c r="L56" s="106"/>
      <c r="M56" s="106"/>
      <c r="N56" s="217"/>
      <c r="O56" s="781"/>
      <c r="P56" s="106"/>
      <c r="Q56" s="125"/>
      <c r="R56" s="125"/>
      <c r="S56" s="110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S56" s="421"/>
      <c r="ET56" s="63"/>
      <c r="EU56" s="98"/>
    </row>
    <row r="57" spans="7:151" ht="15.75">
      <c r="G57" s="485" t="s">
        <v>136</v>
      </c>
      <c r="H57" s="145"/>
      <c r="I57" s="97"/>
      <c r="J57" s="220"/>
      <c r="K57" s="116"/>
      <c r="L57" s="102"/>
      <c r="M57" s="102"/>
      <c r="N57" s="220"/>
      <c r="O57" s="780"/>
      <c r="P57" s="102"/>
      <c r="Q57" s="126"/>
      <c r="R57" s="126"/>
      <c r="S57" s="12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S57" s="421"/>
      <c r="ET57" s="63"/>
      <c r="EU57" s="98"/>
    </row>
    <row r="58" spans="7:151" s="65" customFormat="1" ht="15.75">
      <c r="G58" s="482"/>
      <c r="H58" s="198" t="s">
        <v>24</v>
      </c>
      <c r="I58" s="502"/>
      <c r="J58" s="503"/>
      <c r="K58" s="199"/>
      <c r="L58" s="200"/>
      <c r="M58" s="200"/>
      <c r="N58" s="224">
        <f>'Annual Cash Flow'!C38</f>
        <v>-20421</v>
      </c>
      <c r="O58" s="787"/>
      <c r="P58" s="140">
        <f>-Assumptions!F52/12</f>
        <v>-1701.75</v>
      </c>
      <c r="Q58" s="141">
        <f ca="1">IF(P82=0,0,1)*($P$58*(1+Assumptions!$H$69)^(Q11-1))</f>
        <v>-1701.75</v>
      </c>
      <c r="R58" s="141">
        <f ca="1">IF(Q82=0,0,1)*IF(R11=1,$P$58,$P$58*(1+Assumptions!$H$69)^(R11-1))</f>
        <v>-1701.75</v>
      </c>
      <c r="S58" s="141">
        <f ca="1">IF(R82=0,0,1)*IF(S11=1,$P$58,$P$58*(1+Assumptions!$H$69)^(S11-1))</f>
        <v>-1701.75</v>
      </c>
      <c r="T58" s="141">
        <f ca="1">IF(S82=0,0,1)*IF(T11=1,$P$58,$P$58*(1+Assumptions!$H$69)^(T11-1))</f>
        <v>-1701.75</v>
      </c>
      <c r="U58" s="141">
        <f ca="1">IF(T82=0,0,1)*IF(U11=1,$P$58,$P$58*(1+Assumptions!$H$69)^(U11-1))</f>
        <v>-1701.75</v>
      </c>
      <c r="V58" s="141">
        <f ca="1">IF(U82=0,0,1)*IF(V11=1,$P$58,$P$58*(1+Assumptions!$H$69)^(V11-1))</f>
        <v>-1701.75</v>
      </c>
      <c r="W58" s="141">
        <f ca="1">IF(V82=0,0,1)*IF(W11=1,$P$58,$P$58*(1+Assumptions!$H$69)^(W11-1))</f>
        <v>-1701.75</v>
      </c>
      <c r="X58" s="141">
        <f ca="1">IF(W82=0,0,1)*IF(X11=1,$P$58,$P$58*(1+Assumptions!$H$69)^(X11-1))</f>
        <v>-1701.75</v>
      </c>
      <c r="Y58" s="141">
        <f ca="1">IF(X82=0,0,1)*IF(Y11=1,$P$58,$P$58*(1+Assumptions!$H$69)^(Y11-1))</f>
        <v>-1701.75</v>
      </c>
      <c r="Z58" s="141">
        <f ca="1">IF(Y82=0,0,1)*IF(Z11=1,$P$58,$P$58*(1+Assumptions!$H$69)^(Z11-1))</f>
        <v>-1701.75</v>
      </c>
      <c r="AA58" s="141">
        <f ca="1">IF(Z82=0,0,1)*IF(AA11=1,$P$58,$P$58*(1+Assumptions!$H$69)^(AA11-1))</f>
        <v>-1701.75</v>
      </c>
      <c r="AB58" s="141">
        <f ca="1">IF(AA82=0,0,1)*IF(AB11=1,$P$58,$P$58*(1+Assumptions!$H$69)^(AB11-1))</f>
        <v>-1752.8025</v>
      </c>
      <c r="AC58" s="141">
        <f ca="1">IF(AB82=0,0,1)*IF(AC11=1,$P$58,$P$58*(1+Assumptions!$H$69)^(AC11-1))</f>
        <v>-1752.8025</v>
      </c>
      <c r="AD58" s="141">
        <f ca="1">IF(AC82=0,0,1)*IF(AD11=1,$P$58,$P$58*(1+Assumptions!$H$69)^(AD11-1))</f>
        <v>-1752.8025</v>
      </c>
      <c r="AE58" s="141">
        <f ca="1">IF(AD82=0,0,1)*IF(AE11=1,$P$58,$P$58*(1+Assumptions!$H$69)^(AE11-1))</f>
        <v>-1752.8025</v>
      </c>
      <c r="AF58" s="141">
        <f ca="1">IF(AE82=0,0,1)*IF(AF11=1,$P$58,$P$58*(1+Assumptions!$H$69)^(AF11-1))</f>
        <v>-1752.8025</v>
      </c>
      <c r="AG58" s="141">
        <f ca="1">IF(AF82=0,0,1)*IF(AG11=1,$P$58,$P$58*(1+Assumptions!$H$69)^(AG11-1))</f>
        <v>-1752.8025</v>
      </c>
      <c r="AH58" s="141">
        <f ca="1">IF(AG82=0,0,1)*IF(AH11=1,$P$58,$P$58*(1+Assumptions!$H$69)^(AH11-1))</f>
        <v>-1752.8025</v>
      </c>
      <c r="AI58" s="141">
        <f ca="1">IF(AH82=0,0,1)*IF(AI11=1,$P$58,$P$58*(1+Assumptions!$H$69)^(AI11-1))</f>
        <v>-1752.8025</v>
      </c>
      <c r="AJ58" s="141">
        <f ca="1">IF(AI82=0,0,1)*IF(AJ11=1,$P$58,$P$58*(1+Assumptions!$H$69)^(AJ11-1))</f>
        <v>-1752.8025</v>
      </c>
      <c r="AK58" s="141">
        <f ca="1">IF(AJ82=0,0,1)*IF(AK11=1,$P$58,$P$58*(1+Assumptions!$H$69)^(AK11-1))</f>
        <v>-1752.8025</v>
      </c>
      <c r="AL58" s="141">
        <f ca="1">IF(AK82=0,0,1)*IF(AL11=1,$P$58,$P$58*(1+Assumptions!$H$69)^(AL11-1))</f>
        <v>-1752.8025</v>
      </c>
      <c r="AM58" s="141">
        <f ca="1">IF(AL82=0,0,1)*IF(AM11=1,$P$58,$P$58*(1+Assumptions!$H$69)^(AM11-1))</f>
        <v>-1752.8025</v>
      </c>
      <c r="AN58" s="141">
        <f ca="1">IF(AM82=0,0,1)*IF(AN11=1,$P$58,$P$58*(1+Assumptions!$H$69)^(AN11-1))</f>
        <v>-1805.386575</v>
      </c>
      <c r="AO58" s="141">
        <f ca="1">IF(AN82=0,0,1)*IF(AO11=1,$P$58,$P$58*(1+Assumptions!$H$69)^(AO11-1))</f>
        <v>-1805.386575</v>
      </c>
      <c r="AP58" s="141">
        <f ca="1">IF(AO82=0,0,1)*IF(AP11=1,$P$58,$P$58*(1+Assumptions!$H$69)^(AP11-1))</f>
        <v>-1805.386575</v>
      </c>
      <c r="AQ58" s="141">
        <f ca="1">IF(AP82=0,0,1)*IF(AQ11=1,$P$58,$P$58*(1+Assumptions!$H$69)^(AQ11-1))</f>
        <v>-1805.386575</v>
      </c>
      <c r="AR58" s="141">
        <f ca="1">IF(AQ82=0,0,1)*IF(AR11=1,$P$58,$P$58*(1+Assumptions!$H$69)^(AR11-1))</f>
        <v>-1805.386575</v>
      </c>
      <c r="AS58" s="141">
        <f ca="1">IF(AR82=0,0,1)*IF(AS11=1,$P$58,$P$58*(1+Assumptions!$H$69)^(AS11-1))</f>
        <v>-1805.386575</v>
      </c>
      <c r="AT58" s="141">
        <f ca="1">IF(AS82=0,0,1)*IF(AT11=1,$P$58,$P$58*(1+Assumptions!$H$69)^(AT11-1))</f>
        <v>-1805.386575</v>
      </c>
      <c r="AU58" s="141">
        <f ca="1">IF(AT82=0,0,1)*IF(AU11=1,$P$58,$P$58*(1+Assumptions!$H$69)^(AU11-1))</f>
        <v>-1805.386575</v>
      </c>
      <c r="AV58" s="141">
        <f ca="1">IF(AU82=0,0,1)*IF(AV11=1,$P$58,$P$58*(1+Assumptions!$H$69)^(AV11-1))</f>
        <v>-1805.386575</v>
      </c>
      <c r="AW58" s="141">
        <f ca="1">IF(AV82=0,0,1)*IF(AW11=1,$P$58,$P$58*(1+Assumptions!$H$69)^(AW11-1))</f>
        <v>-1805.386575</v>
      </c>
      <c r="AX58" s="141">
        <f ca="1">IF(AW82=0,0,1)*IF(AX11=1,$P$58,$P$58*(1+Assumptions!$H$69)^(AX11-1))</f>
        <v>-1805.386575</v>
      </c>
      <c r="AY58" s="141">
        <f ca="1">IF(AX82=0,0,1)*IF(AY11=1,$P$58,$P$58*(1+Assumptions!$H$69)^(AY11-1))</f>
        <v>-1805.386575</v>
      </c>
      <c r="AZ58" s="141">
        <f ca="1">IF(AY82=0,0,1)*IF(AZ11=1,$P$58,$P$58*(1+Assumptions!$H$69)^(AZ11-1))</f>
        <v>-1859.5481722500001</v>
      </c>
      <c r="BA58" s="141">
        <f ca="1">IF(AZ82=0,0,1)*IF(BA11=1,$P$58,$P$58*(1+Assumptions!$H$69)^(BA11-1))</f>
        <v>-1859.5481722500001</v>
      </c>
      <c r="BB58" s="141">
        <f ca="1">IF(BA82=0,0,1)*IF(BB11=1,$P$58,$P$58*(1+Assumptions!$H$69)^(BB11-1))</f>
        <v>-1859.5481722500001</v>
      </c>
      <c r="BC58" s="141">
        <f ca="1">IF(BB82=0,0,1)*IF(BC11=1,$P$58,$P$58*(1+Assumptions!$H$69)^(BC11-1))</f>
        <v>-1859.5481722500001</v>
      </c>
      <c r="BD58" s="141">
        <f ca="1">IF(BC82=0,0,1)*IF(BD11=1,$P$58,$P$58*(1+Assumptions!$H$69)^(BD11-1))</f>
        <v>-1859.5481722500001</v>
      </c>
      <c r="BE58" s="141">
        <f ca="1">IF(BD82=0,0,1)*IF(BE11=1,$P$58,$P$58*(1+Assumptions!$H$69)^(BE11-1))</f>
        <v>-1859.5481722500001</v>
      </c>
      <c r="BF58" s="141">
        <f ca="1">IF(BE82=0,0,1)*IF(BF11=1,$P$58,$P$58*(1+Assumptions!$H$69)^(BF11-1))</f>
        <v>-1859.5481722500001</v>
      </c>
      <c r="BG58" s="141">
        <f ca="1">IF(BF82=0,0,1)*IF(BG11=1,$P$58,$P$58*(1+Assumptions!$H$69)^(BG11-1))</f>
        <v>-1859.5481722500001</v>
      </c>
      <c r="BH58" s="141">
        <f ca="1">IF(BG82=0,0,1)*IF(BH11=1,$P$58,$P$58*(1+Assumptions!$H$69)^(BH11-1))</f>
        <v>-1859.5481722500001</v>
      </c>
      <c r="BI58" s="141">
        <f ca="1">IF(BH82=0,0,1)*IF(BI11=1,$P$58,$P$58*(1+Assumptions!$H$69)^(BI11-1))</f>
        <v>-1859.5481722500001</v>
      </c>
      <c r="BJ58" s="141">
        <f ca="1">IF(BI82=0,0,1)*IF(BJ11=1,$P$58,$P$58*(1+Assumptions!$H$69)^(BJ11-1))</f>
        <v>-1859.5481722500001</v>
      </c>
      <c r="BK58" s="141">
        <f ca="1">IF(BJ82=0,0,1)*IF(BK11=1,$P$58,$P$58*(1+Assumptions!$H$69)^(BK11-1))</f>
        <v>-1859.5481722500001</v>
      </c>
      <c r="BL58" s="141">
        <f ca="1">IF(BK82=0,0,1)*IF(BL11=1,$P$58,$P$58*(1+Assumptions!$H$69)^(BL11-1))</f>
        <v>-1915.3346174174999</v>
      </c>
      <c r="BM58" s="141">
        <f ca="1">IF(BL82=0,0,1)*IF(BM11=1,$P$58,$P$58*(1+Assumptions!$H$69)^(BM11-1))</f>
        <v>-1915.3346174174999</v>
      </c>
      <c r="BN58" s="141">
        <f ca="1">IF(BM82=0,0,1)*IF(BN11=1,$P$58,$P$58*(1+Assumptions!$H$69)^(BN11-1))</f>
        <v>-1915.3346174174999</v>
      </c>
      <c r="BO58" s="141">
        <f ca="1">IF(BN82=0,0,1)*IF(BO11=1,$P$58,$P$58*(1+Assumptions!$H$69)^(BO11-1))</f>
        <v>-1915.3346174174999</v>
      </c>
      <c r="BP58" s="141">
        <f ca="1">IF(BO82=0,0,1)*IF(BP11=1,$P$58,$P$58*(1+Assumptions!$H$69)^(BP11-1))</f>
        <v>-1915.3346174174999</v>
      </c>
      <c r="BQ58" s="141">
        <f ca="1">IF(BP82=0,0,1)*IF(BQ11=1,$P$58,$P$58*(1+Assumptions!$H$69)^(BQ11-1))</f>
        <v>-1915.3346174174999</v>
      </c>
      <c r="BR58" s="141">
        <f ca="1">IF(BQ82=0,0,1)*IF(BR11=1,$P$58,$P$58*(1+Assumptions!$H$69)^(BR11-1))</f>
        <v>-1915.3346174174999</v>
      </c>
      <c r="BS58" s="141">
        <f ca="1">IF(BR82=0,0,1)*IF(BS11=1,$P$58,$P$58*(1+Assumptions!$H$69)^(BS11-1))</f>
        <v>-1915.3346174174999</v>
      </c>
      <c r="BT58" s="141">
        <f ca="1">IF(BS82=0,0,1)*IF(BT11=1,$P$58,$P$58*(1+Assumptions!$H$69)^(BT11-1))</f>
        <v>-1915.3346174174999</v>
      </c>
      <c r="BU58" s="141">
        <f ca="1">IF(BT82=0,0,1)*IF(BU11=1,$P$58,$P$58*(1+Assumptions!$H$69)^(BU11-1))</f>
        <v>-1915.3346174174999</v>
      </c>
      <c r="BV58" s="141">
        <f ca="1">IF(BU82=0,0,1)*IF(BV11=1,$P$58,$P$58*(1+Assumptions!$H$69)^(BV11-1))</f>
        <v>-1915.3346174174999</v>
      </c>
      <c r="BW58" s="141">
        <f ca="1">IF(BV82=0,0,1)*IF(BW11=1,$P$58,$P$58*(1+Assumptions!$H$69)^(BW11-1))</f>
        <v>-1915.3346174174999</v>
      </c>
      <c r="BX58" s="141">
        <f ca="1">IF(BW82=0,0,1)*IF(BX11=1,$P$58,$P$58*(1+Assumptions!$H$69)^(BX11-1))</f>
        <v>-1972.7946559400248</v>
      </c>
      <c r="BY58" s="141">
        <f ca="1">IF(BX82=0,0,1)*IF(BY11=1,$P$58,$P$58*(1+Assumptions!$H$69)^(BY11-1))</f>
        <v>-1972.7946559400248</v>
      </c>
      <c r="BZ58" s="141">
        <f ca="1">IF(BY82=0,0,1)*IF(BZ11=1,$P$58,$P$58*(1+Assumptions!$H$69)^(BZ11-1))</f>
        <v>-1972.7946559400248</v>
      </c>
      <c r="CA58" s="141">
        <f ca="1">IF(BZ82=0,0,1)*IF(CA11=1,$P$58,$P$58*(1+Assumptions!$H$69)^(CA11-1))</f>
        <v>-1972.7946559400248</v>
      </c>
      <c r="CB58" s="141">
        <f ca="1">IF(CA82=0,0,1)*IF(CB11=1,$P$58,$P$58*(1+Assumptions!$H$69)^(CB11-1))</f>
        <v>-1972.7946559400248</v>
      </c>
      <c r="CC58" s="141">
        <f ca="1">IF(CB82=0,0,1)*IF(CC11=1,$P$58,$P$58*(1+Assumptions!$H$69)^(CC11-1))</f>
        <v>-1972.7946559400248</v>
      </c>
      <c r="CD58" s="141">
        <f ca="1">IF(CC82=0,0,1)*IF(CD11=1,$P$58,$P$58*(1+Assumptions!$H$69)^(CD11-1))</f>
        <v>-1972.7946559400248</v>
      </c>
      <c r="CE58" s="141">
        <f ca="1">IF(CD82=0,0,1)*IF(CE11=1,$P$58,$P$58*(1+Assumptions!$H$69)^(CE11-1))</f>
        <v>-1972.7946559400248</v>
      </c>
      <c r="CF58" s="141">
        <f ca="1">IF(CE82=0,0,1)*IF(CF11=1,$P$58,$P$58*(1+Assumptions!$H$69)^(CF11-1))</f>
        <v>-1972.7946559400248</v>
      </c>
      <c r="CG58" s="141">
        <f ca="1">IF(CF82=0,0,1)*IF(CG11=1,$P$58,$P$58*(1+Assumptions!$H$69)^(CG11-1))</f>
        <v>-1972.7946559400248</v>
      </c>
      <c r="CH58" s="141">
        <f ca="1">IF(CG82=0,0,1)*IF(CH11=1,$P$58,$P$58*(1+Assumptions!$H$69)^(CH11-1))</f>
        <v>-1972.7946559400248</v>
      </c>
      <c r="CI58" s="141">
        <f ca="1">IF(CH82=0,0,1)*IF(CI11=1,$P$58,$P$58*(1+Assumptions!$H$69)^(CI11-1))</f>
        <v>-1972.7946559400248</v>
      </c>
      <c r="CJ58" s="141">
        <f ca="1">IF(CI82=0,0,1)*IF(CJ11=1,$P$58,$P$58*(1+Assumptions!$H$69)^(CJ11-1))</f>
        <v>-2031.9784956182257</v>
      </c>
      <c r="CK58" s="141">
        <f ca="1">IF(CJ82=0,0,1)*IF(CK11=1,$P$58,$P$58*(1+Assumptions!$H$69)^(CK11-1))</f>
        <v>-2031.9784956182257</v>
      </c>
      <c r="CL58" s="141">
        <f ca="1">IF(CK82=0,0,1)*IF(CL11=1,$P$58,$P$58*(1+Assumptions!$H$69)^(CL11-1))</f>
        <v>-2031.9784956182257</v>
      </c>
      <c r="CM58" s="141">
        <f ca="1">IF(CL82=0,0,1)*IF(CM11=1,$P$58,$P$58*(1+Assumptions!$H$69)^(CM11-1))</f>
        <v>-2031.9784956182257</v>
      </c>
      <c r="CN58" s="141">
        <f ca="1">IF(CM82=0,0,1)*IF(CN11=1,$P$58,$P$58*(1+Assumptions!$H$69)^(CN11-1))</f>
        <v>-2031.9784956182257</v>
      </c>
      <c r="CO58" s="141">
        <f ca="1">IF(CN82=0,0,1)*IF(CO11=1,$P$58,$P$58*(1+Assumptions!$H$69)^(CO11-1))</f>
        <v>-2031.9784956182257</v>
      </c>
      <c r="CP58" s="141">
        <f ca="1">IF(CO82=0,0,1)*IF(CP11=1,$P$58,$P$58*(1+Assumptions!$H$69)^(CP11-1))</f>
        <v>-2031.9784956182257</v>
      </c>
      <c r="CQ58" s="141">
        <f ca="1">IF(CP82=0,0,1)*IF(CQ11=1,$P$58,$P$58*(1+Assumptions!$H$69)^(CQ11-1))</f>
        <v>-2031.9784956182257</v>
      </c>
      <c r="CR58" s="141">
        <f ca="1">IF(CQ82=0,0,1)*IF(CR11=1,$P$58,$P$58*(1+Assumptions!$H$69)^(CR11-1))</f>
        <v>-2031.9784956182257</v>
      </c>
      <c r="CS58" s="141">
        <f ca="1">IF(CR82=0,0,1)*IF(CS11=1,$P$58,$P$58*(1+Assumptions!$H$69)^(CS11-1))</f>
        <v>-2031.9784956182257</v>
      </c>
      <c r="CT58" s="141">
        <f ca="1">IF(CS82=0,0,1)*IF(CT11=1,$P$58,$P$58*(1+Assumptions!$H$69)^(CT11-1))</f>
        <v>-2031.9784956182257</v>
      </c>
      <c r="CU58" s="141">
        <f ca="1">IF(CT82=0,0,1)*IF(CU11=1,$P$58,$P$58*(1+Assumptions!$H$69)^(CU11-1))</f>
        <v>-2031.9784956182257</v>
      </c>
      <c r="CV58" s="141">
        <f ca="1">IF(CU82=0,0,1)*IF(CV11=1,$P$58,$P$58*(1+Assumptions!$H$69)^(CV11-1))</f>
        <v>-2092.9378504867723</v>
      </c>
      <c r="CW58" s="141">
        <f ca="1">IF(CV82=0,0,1)*IF(CW11=1,$P$58,$P$58*(1+Assumptions!$H$69)^(CW11-1))</f>
        <v>-2092.9378504867723</v>
      </c>
      <c r="CX58" s="141">
        <f ca="1">IF(CW82=0,0,1)*IF(CX11=1,$P$58,$P$58*(1+Assumptions!$H$69)^(CX11-1))</f>
        <v>-2092.9378504867723</v>
      </c>
      <c r="CY58" s="141">
        <f ca="1">IF(CX82=0,0,1)*IF(CY11=1,$P$58,$P$58*(1+Assumptions!$H$69)^(CY11-1))</f>
        <v>-2092.9378504867723</v>
      </c>
      <c r="CZ58" s="141">
        <f ca="1">IF(CY82=0,0,1)*IF(CZ11=1,$P$58,$P$58*(1+Assumptions!$H$69)^(CZ11-1))</f>
        <v>-2092.9378504867723</v>
      </c>
      <c r="DA58" s="141">
        <f ca="1">IF(CZ82=0,0,1)*IF(DA11=1,$P$58,$P$58*(1+Assumptions!$H$69)^(DA11-1))</f>
        <v>-2092.9378504867723</v>
      </c>
      <c r="DB58" s="141">
        <f ca="1">IF(DA82=0,0,1)*IF(DB11=1,$P$58,$P$58*(1+Assumptions!$H$69)^(DB11-1))</f>
        <v>-2092.9378504867723</v>
      </c>
      <c r="DC58" s="141">
        <f ca="1">IF(DB82=0,0,1)*IF(DC11=1,$P$58,$P$58*(1+Assumptions!$H$69)^(DC11-1))</f>
        <v>-2092.9378504867723</v>
      </c>
      <c r="DD58" s="141">
        <f ca="1">IF(DC82=0,0,1)*IF(DD11=1,$P$58,$P$58*(1+Assumptions!$H$69)^(DD11-1))</f>
        <v>-2092.9378504867723</v>
      </c>
      <c r="DE58" s="141">
        <f ca="1">IF(DD82=0,0,1)*IF(DE11=1,$P$58,$P$58*(1+Assumptions!$H$69)^(DE11-1))</f>
        <v>-2092.9378504867723</v>
      </c>
      <c r="DF58" s="141">
        <f ca="1">IF(DE82=0,0,1)*IF(DF11=1,$P$58,$P$58*(1+Assumptions!$H$69)^(DF11-1))</f>
        <v>-2092.9378504867723</v>
      </c>
      <c r="DG58" s="141">
        <f ca="1">IF(DF82=0,0,1)*IF(DG11=1,$P$58,$P$58*(1+Assumptions!$H$69)^(DG11-1))</f>
        <v>-2092.9378504867723</v>
      </c>
      <c r="DH58" s="141">
        <f ca="1">IF(DG82=0,0,1)*IF(DH11=1,$P$58,$P$58*(1+Assumptions!$H$69)^(DH11-1))</f>
        <v>-2155.7259860013755</v>
      </c>
      <c r="DI58" s="141">
        <f ca="1">IF(DH82=0,0,1)*IF(DI11=1,$P$58,$P$58*(1+Assumptions!$H$69)^(DI11-1))</f>
        <v>-2155.7259860013755</v>
      </c>
      <c r="DJ58" s="141">
        <f>IF(DI82=0,0,1)*IF(DJ11=1,$P$58,$P$58*(1+Assumptions!$H$69)^(DJ11-1))</f>
        <v>0</v>
      </c>
      <c r="DK58" s="141">
        <f>IF(DJ82=0,0,1)*IF(DK11=1,$P$58,$P$58*(1+Assumptions!$H$69)^(DK11-1))</f>
        <v>0</v>
      </c>
      <c r="DL58" s="141">
        <f>IF(DK82=0,0,1)*IF(DL11=1,$P$58,$P$58*(1+Assumptions!$H$69)^(DL11-1))</f>
        <v>0</v>
      </c>
      <c r="DM58" s="141">
        <f>IF(DL82=0,0,1)*IF(DM11=1,$P$58,$P$58*(1+Assumptions!$H$69)^(DM11-1))</f>
        <v>0</v>
      </c>
      <c r="DN58" s="141">
        <f>IF(DM82=0,0,1)*IF(DN11=1,$P$58,$P$58*(1+Assumptions!$H$69)^(DN11-1))</f>
        <v>0</v>
      </c>
      <c r="DO58" s="141">
        <f>IF(DN82=0,0,1)*IF(DO11=1,$P$58,$P$58*(1+Assumptions!$H$69)^(DO11-1))</f>
        <v>0</v>
      </c>
      <c r="DP58" s="141">
        <f>IF(DO82=0,0,1)*IF(DP11=1,$P$58,$P$58*(1+Assumptions!$H$69)^(DP11-1))</f>
        <v>0</v>
      </c>
      <c r="DQ58" s="141">
        <f>IF(DP82=0,0,1)*IF(DQ11=1,$P$58,$P$58*(1+Assumptions!$H$69)^(DQ11-1))</f>
        <v>0</v>
      </c>
      <c r="DR58" s="141">
        <f>IF(DQ82=0,0,1)*IF(DR11=1,$P$58,$P$58*(1+Assumptions!$H$69)^(DR11-1))</f>
        <v>0</v>
      </c>
      <c r="DS58" s="141">
        <f>IF(DR82=0,0,1)*IF(DS11=1,$P$58,$P$58*(1+Assumptions!$H$69)^(DS11-1))</f>
        <v>0</v>
      </c>
      <c r="DT58" s="141">
        <f>IF(DS82=0,0,1)*IF(DT11=1,$P$58,$P$58*(1+Assumptions!$H$69)^(DT11-1))</f>
        <v>0</v>
      </c>
      <c r="DU58" s="141">
        <f>IF(DT82=0,0,1)*IF(DU11=1,$P$58,$P$58*(1+Assumptions!$H$69)^(DU11-1))</f>
        <v>0</v>
      </c>
      <c r="DV58" s="141">
        <f>IF(DU82=0,0,1)*IF(DV11=1,$P$58,$P$58*(1+Assumptions!$H$69)^(DV11-1))</f>
        <v>0</v>
      </c>
      <c r="DW58" s="141">
        <f>IF(DV82=0,0,1)*IF(DW11=1,$P$58,$P$58*(1+Assumptions!$H$69)^(DW11-1))</f>
        <v>0</v>
      </c>
      <c r="DX58" s="141">
        <f>IF(DW82=0,0,1)*IF(DX11=1,$P$58,$P$58*(1+Assumptions!$H$69)^(DX11-1))</f>
        <v>0</v>
      </c>
      <c r="DY58" s="141">
        <f>IF(DX82=0,0,1)*IF(DY11=1,$P$58,$P$58*(1+Assumptions!$H$69)^(DY11-1))</f>
        <v>0</v>
      </c>
      <c r="DZ58" s="141">
        <f>IF(DY82=0,0,1)*IF(DZ11=1,$P$58,$P$58*(1+Assumptions!$H$69)^(DZ11-1))</f>
        <v>0</v>
      </c>
      <c r="EA58" s="141">
        <f>IF(DZ82=0,0,1)*IF(EA11=1,$P$58,$P$58*(1+Assumptions!$H$69)^(EA11-1))</f>
        <v>0</v>
      </c>
      <c r="EB58" s="141">
        <f>IF(EA82=0,0,1)*IF(EB11=1,$P$58,$P$58*(1+Assumptions!$H$69)^(EB11-1))</f>
        <v>0</v>
      </c>
      <c r="EC58" s="141">
        <f>IF(EB82=0,0,1)*IF(EC11=1,$P$58,$P$58*(1+Assumptions!$H$69)^(EC11-1))</f>
        <v>0</v>
      </c>
      <c r="ED58" s="141">
        <f>IF(EC82=0,0,1)*IF(ED11=1,$P$58,$P$58*(1+Assumptions!$H$69)^(ED11-1))</f>
        <v>0</v>
      </c>
      <c r="EE58" s="141">
        <f>IF(ED82=0,0,1)*IF(EE11=1,$P$58,$P$58*(1+Assumptions!$H$69)^(EE11-1))</f>
        <v>0</v>
      </c>
      <c r="EF58" s="141">
        <f>IF(EE82=0,0,1)*IF(EF11=1,$P$58,$P$58*(1+Assumptions!$H$69)^(EF11-1))</f>
        <v>0</v>
      </c>
      <c r="EG58" s="141">
        <f>IF(EF82=0,0,1)*IF(EG11=1,$P$58,$P$58*(1+Assumptions!$H$69)^(EG11-1))</f>
        <v>0</v>
      </c>
      <c r="EH58" s="141">
        <f>IF(EG82=0,0,1)*IF(EH11=1,$P$58,$P$58*(1+Assumptions!$H$69)^(EH11-1))</f>
        <v>0</v>
      </c>
      <c r="EI58" s="141">
        <f>IF(EH82=0,0,1)*IF(EI11=1,$P$58,$P$58*(1+Assumptions!$H$69)^(EI11-1))</f>
        <v>0</v>
      </c>
      <c r="EJ58" s="141">
        <f>IF(EI82=0,0,1)*IF(EJ11=1,$P$58,$P$58*(1+Assumptions!$H$69)^(EJ11-1))</f>
        <v>0</v>
      </c>
      <c r="EK58" s="141">
        <f>IF(EJ82=0,0,1)*IF(EK11=1,$P$58,$P$58*(1+Assumptions!$H$69)^(EK11-1))</f>
        <v>0</v>
      </c>
      <c r="EL58" s="141">
        <f>IF(EK82=0,0,1)*IF(EL11=1,$P$58,$P$58*(1+Assumptions!$H$69)^(EL11-1))</f>
        <v>0</v>
      </c>
      <c r="EM58" s="141">
        <f>IF(EL82=0,0,1)*IF(EM11=1,$P$58,$P$58*(1+Assumptions!$H$69)^(EM11-1))</f>
        <v>0</v>
      </c>
      <c r="EN58" s="141">
        <f>IF(EM82=0,0,1)*IF(EN11=1,$P$58,$P$58*(1+Assumptions!$H$69)^(EN11-1))</f>
        <v>0</v>
      </c>
      <c r="EO58" s="141">
        <f>IF(EN82=0,0,1)*IF(EO11=1,$P$58,$P$58*(1+Assumptions!$H$69)^(EO11-1))</f>
        <v>0</v>
      </c>
      <c r="EP58" s="141">
        <f>IF(EO82=0,0,1)*IF(EP11=1,$P$58,$P$58*(1+Assumptions!$H$69)^(EP11-1))</f>
        <v>0</v>
      </c>
      <c r="EQ58" s="141">
        <f>IF(EP82=0,0,1)*IF(EQ11=1,$P$58,$P$58*(1+Assumptions!$H$69)^(EQ11-1))</f>
        <v>0</v>
      </c>
      <c r="ES58" s="421"/>
      <c r="ET58" s="67"/>
      <c r="EU58" s="195"/>
    </row>
    <row r="59" spans="7:151" s="65" customFormat="1" ht="15.75">
      <c r="G59" s="482"/>
      <c r="H59" s="274" t="s">
        <v>114</v>
      </c>
      <c r="I59" s="502"/>
      <c r="J59" s="503"/>
      <c r="K59" s="199"/>
      <c r="L59" s="200"/>
      <c r="M59" s="200"/>
      <c r="N59" s="224"/>
      <c r="O59" s="787"/>
      <c r="P59" s="141">
        <f ca="1">-(P58/unit)*Assumptions!$H$16*(SUM($O$36:OFFSET(O36,0,-$C$37+1)))</f>
        <v>0</v>
      </c>
      <c r="Q59" s="141">
        <f ca="1">-(Q58/unit)*Assumptions!$H$16*(SUM($O$36:OFFSET(P36,0,-$C$37+1)))</f>
        <v>0</v>
      </c>
      <c r="R59" s="141">
        <f ca="1">-(R58/unit)*Assumptions!$H$16*(SUM($O$36:OFFSET(Q36,0,-$C$37+1)))</f>
        <v>0</v>
      </c>
      <c r="S59" s="141">
        <f ca="1">-(S58/unit)*Assumptions!$H$16*(SUM($O$36:OFFSET(R36,0,-$C$37+1)))</f>
        <v>0</v>
      </c>
      <c r="T59" s="141">
        <f ca="1">-(T58/unit)*Assumptions!$H$16*(SUM($O$36:OFFSET(S36,0,-$C$37+1)))</f>
        <v>5.6725000000000003</v>
      </c>
      <c r="U59" s="141">
        <f ca="1">-(U58/unit)*Assumptions!$H$16*(SUM($O$36:OFFSET(T36,0,-$C$37+1)))</f>
        <v>28.362500000000001</v>
      </c>
      <c r="V59" s="141">
        <f ca="1">-(V58/unit)*Assumptions!$H$16*(SUM($O$36:OFFSET(U36,0,-$C$37+1)))</f>
        <v>56.725000000000001</v>
      </c>
      <c r="W59" s="141">
        <f ca="1">-(W58/unit)*Assumptions!$H$16*(SUM($O$36:OFFSET(V36,0,-$C$37+1)))</f>
        <v>56.725000000000001</v>
      </c>
      <c r="X59" s="141">
        <f ca="1">-(X58/unit)*Assumptions!$H$16*(SUM($O$36:OFFSET(W36,0,-$C$37+1)))</f>
        <v>56.725000000000001</v>
      </c>
      <c r="Y59" s="141">
        <f ca="1">-(Y58/unit)*Assumptions!$H$16*(SUM($O$36:OFFSET(X36,0,-$C$37+1)))</f>
        <v>56.725000000000001</v>
      </c>
      <c r="Z59" s="141">
        <f ca="1">-(Z58/unit)*Assumptions!$H$16*(SUM($O$36:OFFSET(Y36,0,-$C$37+1)))</f>
        <v>56.725000000000001</v>
      </c>
      <c r="AA59" s="141">
        <f ca="1">-(AA58/unit)*Assumptions!$H$16*(SUM($O$36:OFFSET(Z36,0,-$C$37+1)))</f>
        <v>56.725000000000001</v>
      </c>
      <c r="AB59" s="141">
        <f ca="1">-(AB58/unit)*Assumptions!$H$16*(SUM($O$36:OFFSET(AA36,0,-$C$37+1)))</f>
        <v>58.426749999999998</v>
      </c>
      <c r="AC59" s="141">
        <f ca="1">-(AC58/unit)*Assumptions!$H$16*(SUM($O$36:OFFSET(AB36,0,-$C$37+1)))</f>
        <v>58.426749999999998</v>
      </c>
      <c r="AD59" s="141">
        <f ca="1">-(AD58/unit)*Assumptions!$H$16*(SUM($O$36:OFFSET(AC36,0,-$C$37+1)))</f>
        <v>58.426749999999998</v>
      </c>
      <c r="AE59" s="141">
        <f ca="1">-(AE58/unit)*Assumptions!$H$16*(SUM($O$36:OFFSET(AD36,0,-$C$37+1)))</f>
        <v>87.640124999999998</v>
      </c>
      <c r="AF59" s="141">
        <f ca="1">-(AF58/unit)*Assumptions!$H$16*(SUM($O$36:OFFSET(AE36,0,-$C$37+1)))</f>
        <v>116.8535</v>
      </c>
      <c r="AG59" s="141">
        <f ca="1">-(AG58/unit)*Assumptions!$H$16*(SUM($O$36:OFFSET(AF36,0,-$C$37+1)))</f>
        <v>116.8535</v>
      </c>
      <c r="AH59" s="141">
        <f ca="1">-(AH58/unit)*Assumptions!$H$16*(SUM($O$36:OFFSET(AG36,0,-$C$37+1)))</f>
        <v>146.06687499999998</v>
      </c>
      <c r="AI59" s="141">
        <f ca="1">-(AI58/unit)*Assumptions!$H$16*(SUM($O$36:OFFSET(AH36,0,-$C$37+1)))</f>
        <v>146.06687499999998</v>
      </c>
      <c r="AJ59" s="141">
        <f ca="1">-(AJ58/unit)*Assumptions!$H$16*(SUM($O$36:OFFSET(AI36,0,-$C$37+1)))</f>
        <v>146.06687499999998</v>
      </c>
      <c r="AK59" s="141">
        <f ca="1">-(AK58/unit)*Assumptions!$H$16*(SUM($O$36:OFFSET(AJ36,0,-$C$37+1)))</f>
        <v>146.06687499999998</v>
      </c>
      <c r="AL59" s="141">
        <f ca="1">-(AL58/unit)*Assumptions!$H$16*(SUM($O$36:OFFSET(AK36,0,-$C$37+1)))</f>
        <v>146.06687499999998</v>
      </c>
      <c r="AM59" s="141">
        <f ca="1">-(AM58/unit)*Assumptions!$H$16*(SUM($O$36:OFFSET(AL36,0,-$C$37+1)))</f>
        <v>146.06687499999998</v>
      </c>
      <c r="AN59" s="141">
        <f ca="1">-(AN58/unit)*Assumptions!$H$16*(SUM($O$36:OFFSET(AM36,0,-$C$37+1)))</f>
        <v>150.44888125</v>
      </c>
      <c r="AO59" s="141">
        <f ca="1">-(AO58/unit)*Assumptions!$H$16*(SUM($O$36:OFFSET(AN36,0,-$C$37+1)))</f>
        <v>150.44888125</v>
      </c>
      <c r="AP59" s="141">
        <f ca="1">-(AP58/unit)*Assumptions!$H$16*(SUM($O$36:OFFSET(AO36,0,-$C$37+1)))</f>
        <v>150.44888125</v>
      </c>
      <c r="AQ59" s="141">
        <f ca="1">-(AQ58/unit)*Assumptions!$H$16*(SUM($O$36:OFFSET(AP36,0,-$C$37+1)))</f>
        <v>150.44888125</v>
      </c>
      <c r="AR59" s="141">
        <f ca="1">-(AR58/unit)*Assumptions!$H$16*(SUM($O$36:OFFSET(AQ36,0,-$C$37+1)))</f>
        <v>150.44888125</v>
      </c>
      <c r="AS59" s="141">
        <f ca="1">-(AS58/unit)*Assumptions!$H$16*(SUM($O$36:OFFSET(AR36,0,-$C$37+1)))</f>
        <v>150.44888125</v>
      </c>
      <c r="AT59" s="141">
        <f ca="1">-(AT58/unit)*Assumptions!$H$16*(SUM($O$36:OFFSET(AS36,0,-$C$37+1)))</f>
        <v>174.52070225</v>
      </c>
      <c r="AU59" s="141">
        <f ca="1">-(AU58/unit)*Assumptions!$H$16*(SUM($O$36:OFFSET(AT36,0,-$C$37+1)))</f>
        <v>174.52070225</v>
      </c>
      <c r="AV59" s="141">
        <f ca="1">-(AV58/unit)*Assumptions!$H$16*(SUM($O$36:OFFSET(AU36,0,-$C$37+1)))</f>
        <v>180.5386575</v>
      </c>
      <c r="AW59" s="141">
        <f ca="1">-(AW58/unit)*Assumptions!$H$16*(SUM($O$36:OFFSET(AV36,0,-$C$37+1)))</f>
        <v>180.5386575</v>
      </c>
      <c r="AX59" s="141">
        <f ca="1">-(AX58/unit)*Assumptions!$H$16*(SUM($O$36:OFFSET(AW36,0,-$C$37+1)))</f>
        <v>180.5386575</v>
      </c>
      <c r="AY59" s="141">
        <f ca="1">-(AY58/unit)*Assumptions!$H$16*(SUM($O$36:OFFSET(AX36,0,-$C$37+1)))</f>
        <v>180.5386575</v>
      </c>
      <c r="AZ59" s="141">
        <f ca="1">-(AZ58/unit)*Assumptions!$H$16*(SUM($O$36:OFFSET(AY36,0,-$C$37+1)))</f>
        <v>185.95481722500006</v>
      </c>
      <c r="BA59" s="141">
        <f ca="1">-(BA58/unit)*Assumptions!$H$16*(SUM($O$36:OFFSET(AZ36,0,-$C$37+1)))</f>
        <v>185.95481722500006</v>
      </c>
      <c r="BB59" s="141">
        <f ca="1">-(BB58/unit)*Assumptions!$H$16*(SUM($O$36:OFFSET(BA36,0,-$C$37+1)))</f>
        <v>185.95481722500006</v>
      </c>
      <c r="BC59" s="141">
        <f ca="1">-(BC58/unit)*Assumptions!$H$16*(SUM($O$36:OFFSET(BB36,0,-$C$37+1)))</f>
        <v>185.95481722500006</v>
      </c>
      <c r="BD59" s="141">
        <f ca="1">-(BD58/unit)*Assumptions!$H$16*(SUM($O$36:OFFSET(BC36,0,-$C$37+1)))</f>
        <v>185.95481722500006</v>
      </c>
      <c r="BE59" s="141">
        <f ca="1">-(BE58/unit)*Assumptions!$H$16*(SUM($O$36:OFFSET(BD36,0,-$C$37+1)))</f>
        <v>185.95481722500006</v>
      </c>
      <c r="BF59" s="141">
        <f ca="1">-(BF58/unit)*Assumptions!$H$16*(SUM($O$36:OFFSET(BE36,0,-$C$37+1)))</f>
        <v>185.95481722500006</v>
      </c>
      <c r="BG59" s="141">
        <f ca="1">-(BG58/unit)*Assumptions!$H$16*(SUM($O$36:OFFSET(BF36,0,-$C$37+1)))</f>
        <v>185.95481722500006</v>
      </c>
      <c r="BH59" s="141">
        <f ca="1">-(BH58/unit)*Assumptions!$H$16*(SUM($O$36:OFFSET(BG36,0,-$C$37+1)))</f>
        <v>185.95481722500006</v>
      </c>
      <c r="BI59" s="141">
        <f ca="1">-(BI58/unit)*Assumptions!$H$16*(SUM($O$36:OFFSET(BH36,0,-$C$37+1)))</f>
        <v>185.95481722500006</v>
      </c>
      <c r="BJ59" s="141">
        <f ca="1">-(BJ58/unit)*Assumptions!$H$16*(SUM($O$36:OFFSET(BI36,0,-$C$37+1)))</f>
        <v>185.95481722500006</v>
      </c>
      <c r="BK59" s="141">
        <f ca="1">-(BK58/unit)*Assumptions!$H$16*(SUM($O$36:OFFSET(BJ36,0,-$C$37+1)))</f>
        <v>185.95481722500006</v>
      </c>
      <c r="BL59" s="141">
        <f ca="1">-(BL58/unit)*Assumptions!$H$16*(SUM($O$36:OFFSET(BK36,0,-$C$37+1)))</f>
        <v>191.53346174174999</v>
      </c>
      <c r="BM59" s="141">
        <f ca="1">-(BM58/unit)*Assumptions!$H$16*(SUM($O$36:OFFSET(BL36,0,-$C$37+1)))</f>
        <v>191.53346174174999</v>
      </c>
      <c r="BN59" s="141">
        <f ca="1">-(BN58/unit)*Assumptions!$H$16*(SUM($O$36:OFFSET(BM36,0,-$C$37+1)))</f>
        <v>191.53346174174999</v>
      </c>
      <c r="BO59" s="141">
        <f ca="1">-(BO58/unit)*Assumptions!$H$16*(SUM($O$36:OFFSET(BN36,0,-$C$37+1)))</f>
        <v>191.53346174174999</v>
      </c>
      <c r="BP59" s="141">
        <f ca="1">-(BP58/unit)*Assumptions!$H$16*(SUM($O$36:OFFSET(BO36,0,-$C$37+1)))</f>
        <v>191.53346174174999</v>
      </c>
      <c r="BQ59" s="141">
        <f ca="1">-(BQ58/unit)*Assumptions!$H$16*(SUM($O$36:OFFSET(BP36,0,-$C$37+1)))</f>
        <v>191.53346174174999</v>
      </c>
      <c r="BR59" s="141">
        <f ca="1">-(BR58/unit)*Assumptions!$H$16*(SUM($O$36:OFFSET(BQ36,0,-$C$37+1)))</f>
        <v>191.53346174174999</v>
      </c>
      <c r="BS59" s="141">
        <f ca="1">-(BS58/unit)*Assumptions!$H$16*(SUM($O$36:OFFSET(BR36,0,-$C$37+1)))</f>
        <v>191.53346174174999</v>
      </c>
      <c r="BT59" s="141">
        <f ca="1">-(BT58/unit)*Assumptions!$H$16*(SUM($O$36:OFFSET(BS36,0,-$C$37+1)))</f>
        <v>191.53346174174999</v>
      </c>
      <c r="BU59" s="141">
        <f ca="1">-(BU58/unit)*Assumptions!$H$16*(SUM($O$36:OFFSET(BT36,0,-$C$37+1)))</f>
        <v>191.53346174174999</v>
      </c>
      <c r="BV59" s="141">
        <f ca="1">-(BV58/unit)*Assumptions!$H$16*(SUM($O$36:OFFSET(BU36,0,-$C$37+1)))</f>
        <v>191.53346174174999</v>
      </c>
      <c r="BW59" s="141">
        <f ca="1">-(BW58/unit)*Assumptions!$H$16*(SUM($O$36:OFFSET(BV36,0,-$C$37+1)))</f>
        <v>191.53346174174999</v>
      </c>
      <c r="BX59" s="141">
        <f ca="1">-(BX58/unit)*Assumptions!$H$16*(SUM($O$36:OFFSET(BW36,0,-$C$37+1)))</f>
        <v>197.27946559400249</v>
      </c>
      <c r="BY59" s="141">
        <f ca="1">-(BY58/unit)*Assumptions!$H$16*(SUM($O$36:OFFSET(BX36,0,-$C$37+1)))</f>
        <v>197.27946559400249</v>
      </c>
      <c r="BZ59" s="141">
        <f ca="1">-(BZ58/unit)*Assumptions!$H$16*(SUM($O$36:OFFSET(BY36,0,-$C$37+1)))</f>
        <v>197.27946559400249</v>
      </c>
      <c r="CA59" s="141">
        <f ca="1">-(CA58/unit)*Assumptions!$H$16*(SUM($O$36:OFFSET(BZ36,0,-$C$37+1)))</f>
        <v>197.27946559400249</v>
      </c>
      <c r="CB59" s="141">
        <f ca="1">-(CB58/unit)*Assumptions!$H$16*(SUM($O$36:OFFSET(CA36,0,-$C$37+1)))</f>
        <v>197.27946559400249</v>
      </c>
      <c r="CC59" s="141">
        <f ca="1">-(CC58/unit)*Assumptions!$H$16*(SUM($O$36:OFFSET(CB36,0,-$C$37+1)))</f>
        <v>197.27946559400249</v>
      </c>
      <c r="CD59" s="141">
        <f ca="1">-(CD58/unit)*Assumptions!$H$16*(SUM($O$36:OFFSET(CC36,0,-$C$37+1)))</f>
        <v>197.27946559400249</v>
      </c>
      <c r="CE59" s="141">
        <f ca="1">-(CE58/unit)*Assumptions!$H$16*(SUM($O$36:OFFSET(CD36,0,-$C$37+1)))</f>
        <v>197.27946559400249</v>
      </c>
      <c r="CF59" s="141">
        <f ca="1">-(CF58/unit)*Assumptions!$H$16*(SUM($O$36:OFFSET(CE36,0,-$C$37+1)))</f>
        <v>197.27946559400249</v>
      </c>
      <c r="CG59" s="141">
        <f ca="1">-(CG58/unit)*Assumptions!$H$16*(SUM($O$36:OFFSET(CF36,0,-$C$37+1)))</f>
        <v>197.27946559400249</v>
      </c>
      <c r="CH59" s="141">
        <f ca="1">-(CH58/unit)*Assumptions!$H$16*(SUM($O$36:OFFSET(CG36,0,-$C$37+1)))</f>
        <v>197.27946559400249</v>
      </c>
      <c r="CI59" s="141">
        <f ca="1">-(CI58/unit)*Assumptions!$H$16*(SUM($O$36:OFFSET(CH36,0,-$C$37+1)))</f>
        <v>197.27946559400249</v>
      </c>
      <c r="CJ59" s="141">
        <f ca="1">-(CJ58/unit)*Assumptions!$H$16*(SUM($O$36:OFFSET(CI36,0,-$C$37+1)))</f>
        <v>203.19784956182258</v>
      </c>
      <c r="CK59" s="141">
        <f ca="1">-(CK58/unit)*Assumptions!$H$16*(SUM($O$36:OFFSET(CJ36,0,-$C$37+1)))</f>
        <v>203.19784956182258</v>
      </c>
      <c r="CL59" s="141">
        <f ca="1">-(CL58/unit)*Assumptions!$H$16*(SUM($O$36:OFFSET(CK36,0,-$C$37+1)))</f>
        <v>203.19784956182258</v>
      </c>
      <c r="CM59" s="141">
        <f ca="1">-(CM58/unit)*Assumptions!$H$16*(SUM($O$36:OFFSET(CL36,0,-$C$37+1)))</f>
        <v>203.19784956182258</v>
      </c>
      <c r="CN59" s="141">
        <f ca="1">-(CN58/unit)*Assumptions!$H$16*(SUM($O$36:OFFSET(CM36,0,-$C$37+1)))</f>
        <v>203.19784956182258</v>
      </c>
      <c r="CO59" s="141">
        <f ca="1">-(CO58/unit)*Assumptions!$H$16*(SUM($O$36:OFFSET(CN36,0,-$C$37+1)))</f>
        <v>203.19784956182258</v>
      </c>
      <c r="CP59" s="141">
        <f ca="1">-(CP58/unit)*Assumptions!$H$16*(SUM($O$36:OFFSET(CO36,0,-$C$37+1)))</f>
        <v>203.19784956182258</v>
      </c>
      <c r="CQ59" s="141">
        <f ca="1">-(CQ58/unit)*Assumptions!$H$16*(SUM($O$36:OFFSET(CP36,0,-$C$37+1)))</f>
        <v>203.19784956182258</v>
      </c>
      <c r="CR59" s="141">
        <f ca="1">-(CR58/unit)*Assumptions!$H$16*(SUM($O$36:OFFSET(CQ36,0,-$C$37+1)))</f>
        <v>203.19784956182258</v>
      </c>
      <c r="CS59" s="141">
        <f ca="1">-(CS58/unit)*Assumptions!$H$16*(SUM($O$36:OFFSET(CR36,0,-$C$37+1)))</f>
        <v>203.19784956182258</v>
      </c>
      <c r="CT59" s="141">
        <f ca="1">-(CT58/unit)*Assumptions!$H$16*(SUM($O$36:OFFSET(CS36,0,-$C$37+1)))</f>
        <v>203.19784956182258</v>
      </c>
      <c r="CU59" s="141">
        <f ca="1">-(CU58/unit)*Assumptions!$H$16*(SUM($O$36:OFFSET(CT36,0,-$C$37+1)))</f>
        <v>203.19784956182258</v>
      </c>
      <c r="CV59" s="141">
        <f ca="1">-(CV58/unit)*Assumptions!$H$16*(SUM($O$36:OFFSET(CU36,0,-$C$37+1)))</f>
        <v>209.29378504867725</v>
      </c>
      <c r="CW59" s="141">
        <f ca="1">-(CW58/unit)*Assumptions!$H$16*(SUM($O$36:OFFSET(CV36,0,-$C$37+1)))</f>
        <v>209.29378504867725</v>
      </c>
      <c r="CX59" s="141">
        <f ca="1">-(CX58/unit)*Assumptions!$H$16*(SUM($O$36:OFFSET(CW36,0,-$C$37+1)))</f>
        <v>209.29378504867725</v>
      </c>
      <c r="CY59" s="141">
        <f ca="1">-(CY58/unit)*Assumptions!$H$16*(SUM($O$36:OFFSET(CX36,0,-$C$37+1)))</f>
        <v>209.29378504867725</v>
      </c>
      <c r="CZ59" s="141">
        <f ca="1">-(CZ58/unit)*Assumptions!$H$16*(SUM($O$36:OFFSET(CY36,0,-$C$37+1)))</f>
        <v>209.29378504867725</v>
      </c>
      <c r="DA59" s="141">
        <f ca="1">-(DA58/unit)*Assumptions!$H$16*(SUM($O$36:OFFSET(CZ36,0,-$C$37+1)))</f>
        <v>209.29378504867725</v>
      </c>
      <c r="DB59" s="141">
        <f ca="1">-(DB58/unit)*Assumptions!$H$16*(SUM($O$36:OFFSET(DA36,0,-$C$37+1)))</f>
        <v>209.29378504867725</v>
      </c>
      <c r="DC59" s="141">
        <f ca="1">-(DC58/unit)*Assumptions!$H$16*(SUM($O$36:OFFSET(DB36,0,-$C$37+1)))</f>
        <v>209.29378504867725</v>
      </c>
      <c r="DD59" s="141">
        <f ca="1">-(DD58/unit)*Assumptions!$H$16*(SUM($O$36:OFFSET(DC36,0,-$C$37+1)))</f>
        <v>209.29378504867725</v>
      </c>
      <c r="DE59" s="141">
        <f ca="1">-(DE58/unit)*Assumptions!$H$16*(SUM($O$36:OFFSET(DD36,0,-$C$37+1)))</f>
        <v>209.29378504867725</v>
      </c>
      <c r="DF59" s="141">
        <f ca="1">-(DF58/unit)*Assumptions!$H$16*(SUM($O$36:OFFSET(DE36,0,-$C$37+1)))</f>
        <v>209.29378504867725</v>
      </c>
      <c r="DG59" s="141">
        <f ca="1">-(DG58/unit)*Assumptions!$H$16*(SUM($O$36:OFFSET(DF36,0,-$C$37+1)))</f>
        <v>209.29378504867725</v>
      </c>
      <c r="DH59" s="141">
        <f ca="1">-(DH58/unit)*Assumptions!$H$16*(SUM($O$36:OFFSET(DG36,0,-$C$37+1)))</f>
        <v>215.57259860013755</v>
      </c>
      <c r="DI59" s="141">
        <f ca="1">-(DI58/unit)*Assumptions!$H$16*(SUM($O$36:OFFSET(DH36,0,-$C$37+1)))</f>
        <v>215.57259860013755</v>
      </c>
      <c r="DJ59" s="141">
        <f ca="1">-(DJ58/unit)*Assumptions!$H$16*(SUM($O$36:OFFSET(DI36,0,-$C$37+1)))</f>
        <v>0</v>
      </c>
      <c r="DK59" s="141">
        <f ca="1">-(DK58/unit)*Assumptions!$H$16*(SUM($O$36:OFFSET(DJ36,0,-$C$37+1)))</f>
        <v>0</v>
      </c>
      <c r="DL59" s="141">
        <f ca="1">-(DL58/unit)*Assumptions!$H$16*(SUM($O$36:OFFSET(DK36,0,-$C$37+1)))</f>
        <v>0</v>
      </c>
      <c r="DM59" s="141">
        <f ca="1">-(DM58/unit)*Assumptions!$H$16*(SUM($O$36:OFFSET(DL36,0,-$C$37+1)))</f>
        <v>0</v>
      </c>
      <c r="DN59" s="141">
        <f ca="1">-(DN58/unit)*Assumptions!$H$16*(SUM($O$36:OFFSET(DM36,0,-$C$37+1)))</f>
        <v>0</v>
      </c>
      <c r="DO59" s="141">
        <f ca="1">-(DO58/unit)*Assumptions!$H$16*(SUM($O$36:OFFSET(DN36,0,-$C$37+1)))</f>
        <v>0</v>
      </c>
      <c r="DP59" s="141">
        <f ca="1">-(DP58/unit)*Assumptions!$H$16*(SUM($O$36:OFFSET(DO36,0,-$C$37+1)))</f>
        <v>0</v>
      </c>
      <c r="DQ59" s="141">
        <f ca="1">-(DQ58/unit)*Assumptions!$H$16*(SUM($O$36:OFFSET(DP36,0,-$C$37+1)))</f>
        <v>0</v>
      </c>
      <c r="DR59" s="141">
        <f ca="1">-(DR58/unit)*Assumptions!$H$16*(SUM($O$36:OFFSET(DQ36,0,-$C$37+1)))</f>
        <v>0</v>
      </c>
      <c r="DS59" s="141">
        <f ca="1">-(DS58/unit)*Assumptions!$H$16*(SUM($O$36:OFFSET(DR36,0,-$C$37+1)))</f>
        <v>0</v>
      </c>
      <c r="DT59" s="141">
        <f ca="1">-(DT58/unit)*Assumptions!$H$16*(SUM($O$36:OFFSET(DS36,0,-$C$37+1)))</f>
        <v>0</v>
      </c>
      <c r="DU59" s="141">
        <f ca="1">-(DU58/unit)*Assumptions!$H$16*(SUM($O$36:OFFSET(DT36,0,-$C$37+1)))</f>
        <v>0</v>
      </c>
      <c r="DV59" s="141">
        <f ca="1">-(DV58/unit)*Assumptions!$H$16*(SUM($O$36:OFFSET(DU36,0,-$C$37+1)))</f>
        <v>0</v>
      </c>
      <c r="DW59" s="141">
        <f ca="1">-(DW58/unit)*Assumptions!$H$16*(SUM($O$36:OFFSET(DV36,0,-$C$37+1)))</f>
        <v>0</v>
      </c>
      <c r="DX59" s="141">
        <f ca="1">-(DX58/unit)*Assumptions!$H$16*(SUM($O$36:OFFSET(DW36,0,-$C$37+1)))</f>
        <v>0</v>
      </c>
      <c r="DY59" s="141">
        <f ca="1">-(DY58/unit)*Assumptions!$H$16*(SUM($O$36:OFFSET(DX36,0,-$C$37+1)))</f>
        <v>0</v>
      </c>
      <c r="DZ59" s="141">
        <f ca="1">-(DZ58/unit)*Assumptions!$H$16*(SUM($O$36:OFFSET(DY36,0,-$C$37+1)))</f>
        <v>0</v>
      </c>
      <c r="EA59" s="141">
        <f ca="1">-(EA58/unit)*Assumptions!$H$16*(SUM($O$36:OFFSET(DZ36,0,-$C$37+1)))</f>
        <v>0</v>
      </c>
      <c r="EB59" s="141">
        <f ca="1">-(EB58/unit)*Assumptions!$H$16*(SUM($O$36:OFFSET(EA36,0,-$C$37+1)))</f>
        <v>0</v>
      </c>
      <c r="EC59" s="141">
        <f ca="1">-(EC58/unit)*Assumptions!$H$16*(SUM($O$36:OFFSET(EB36,0,-$C$37+1)))</f>
        <v>0</v>
      </c>
      <c r="ED59" s="141">
        <f ca="1">-(ED58/unit)*Assumptions!$H$16*(SUM($O$36:OFFSET(EC36,0,-$C$37+1)))</f>
        <v>0</v>
      </c>
      <c r="EE59" s="141">
        <f ca="1">-(EE58/unit)*Assumptions!$H$16*(SUM($O$36:OFFSET(ED36,0,-$C$37+1)))</f>
        <v>0</v>
      </c>
      <c r="EF59" s="141">
        <f ca="1">-(EF58/unit)*Assumptions!$H$16*(SUM($O$36:OFFSET(EE36,0,-$C$37+1)))</f>
        <v>0</v>
      </c>
      <c r="EG59" s="141">
        <f ca="1">-(EG58/unit)*Assumptions!$H$16*(SUM($O$36:OFFSET(EF36,0,-$C$37+1)))</f>
        <v>0</v>
      </c>
      <c r="EH59" s="141">
        <f ca="1">-(EH58/unit)*Assumptions!$H$16*(SUM($O$36:OFFSET(EG36,0,-$C$37+1)))</f>
        <v>0</v>
      </c>
      <c r="EI59" s="141">
        <f ca="1">-(EI58/unit)*Assumptions!$H$16*(SUM($O$36:OFFSET(EH36,0,-$C$37+1)))</f>
        <v>0</v>
      </c>
      <c r="EJ59" s="141">
        <f ca="1">-(EJ58/unit)*Assumptions!$H$16*(SUM($O$36:OFFSET(EI36,0,-$C$37+1)))</f>
        <v>0</v>
      </c>
      <c r="EK59" s="141">
        <f ca="1">-(EK58/unit)*Assumptions!$H$16*(SUM($O$36:OFFSET(EJ36,0,-$C$37+1)))</f>
        <v>0</v>
      </c>
      <c r="EL59" s="141">
        <f ca="1">-(EL58/unit)*Assumptions!$H$16*(SUM($O$36:OFFSET(EK36,0,-$C$37+1)))</f>
        <v>0</v>
      </c>
      <c r="EM59" s="141">
        <f ca="1">-(EM58/unit)*Assumptions!$H$16*(SUM($O$36:OFFSET(EL36,0,-$C$37+1)))</f>
        <v>0</v>
      </c>
      <c r="EN59" s="141">
        <f ca="1">-(EN58/unit)*Assumptions!$H$16*(SUM($O$36:OFFSET(EM36,0,-$C$37+1)))</f>
        <v>0</v>
      </c>
      <c r="EO59" s="141">
        <f ca="1">-(EO58/unit)*Assumptions!$H$16*(SUM($O$36:OFFSET(EN36,0,-$C$37+1)))</f>
        <v>0</v>
      </c>
      <c r="EP59" s="141">
        <f ca="1">-(EP58/unit)*Assumptions!$H$16*(SUM($O$36:OFFSET(EO36,0,-$C$37+1)))</f>
        <v>0</v>
      </c>
      <c r="EQ59" s="141">
        <f ca="1">-(EQ58/unit)*Assumptions!$H$16*(SUM($O$36:OFFSET(EP36,0,-$C$37+1)))</f>
        <v>0</v>
      </c>
      <c r="ES59" s="421"/>
      <c r="ET59" s="67"/>
      <c r="EU59" s="195"/>
    </row>
    <row r="60" spans="7:151" ht="15.75">
      <c r="G60" s="145"/>
      <c r="H60" s="128" t="s">
        <v>109</v>
      </c>
      <c r="I60" s="504"/>
      <c r="J60" s="505"/>
      <c r="K60" s="130"/>
      <c r="L60" s="131"/>
      <c r="M60" s="131"/>
      <c r="N60" s="225">
        <f>'Annual Cash Flow'!C40</f>
        <v>0</v>
      </c>
      <c r="O60" s="787"/>
      <c r="P60" s="102">
        <f>-Assumptions!F53/12</f>
        <v>0</v>
      </c>
      <c r="Q60" s="141">
        <f ca="1">IF(P82=0,0,1)*($P$60*(1+Assumptions!$H$69)^(Q11-1))</f>
        <v>0</v>
      </c>
      <c r="R60" s="141">
        <f ca="1">IF(Q82=0,0,1)*($P$60*(1+Assumptions!$H$69)^(R11-1))</f>
        <v>0</v>
      </c>
      <c r="S60" s="141">
        <f ca="1">IF(R82=0,0,1)*($P$60*(1+Assumptions!$H$69)^(S11-1))</f>
        <v>0</v>
      </c>
      <c r="T60" s="141">
        <f ca="1">IF(S82=0,0,1)*($P$60*(1+Assumptions!$H$69)^(T11-1))</f>
        <v>0</v>
      </c>
      <c r="U60" s="141">
        <f ca="1">IF(T82=0,0,1)*($P$60*(1+Assumptions!$H$69)^(U11-1))</f>
        <v>0</v>
      </c>
      <c r="V60" s="141">
        <f ca="1">IF(U82=0,0,1)*($P$60*(1+Assumptions!$H$69)^(V11-1))</f>
        <v>0</v>
      </c>
      <c r="W60" s="141">
        <f ca="1">IF(V82=0,0,1)*($P$60*(1+Assumptions!$H$69)^(W11-1))</f>
        <v>0</v>
      </c>
      <c r="X60" s="141">
        <f ca="1">IF(W82=0,0,1)*($P$60*(1+Assumptions!$H$69)^(X11-1))</f>
        <v>0</v>
      </c>
      <c r="Y60" s="141">
        <f ca="1">IF(X82=0,0,1)*($P$60*(1+Assumptions!$H$69)^(Y11-1))</f>
        <v>0</v>
      </c>
      <c r="Z60" s="141">
        <f ca="1">IF(Y82=0,0,1)*($P$60*(1+Assumptions!$H$69)^(Z11-1))</f>
        <v>0</v>
      </c>
      <c r="AA60" s="141">
        <f ca="1">IF(Z82=0,0,1)*($P$60*(1+Assumptions!$H$69)^(AA11-1))</f>
        <v>0</v>
      </c>
      <c r="AB60" s="141">
        <f ca="1">IF(AA82=0,0,1)*($P$60*(1+Assumptions!$H$69)^(AB11-1))</f>
        <v>0</v>
      </c>
      <c r="AC60" s="141">
        <f ca="1">IF(AB82=0,0,1)*($P$60*(1+Assumptions!$H$69)^(AC11-1))</f>
        <v>0</v>
      </c>
      <c r="AD60" s="141">
        <f ca="1">IF(AC82=0,0,1)*($P$60*(1+Assumptions!$H$69)^(AD11-1))</f>
        <v>0</v>
      </c>
      <c r="AE60" s="141">
        <f ca="1">IF(AD82=0,0,1)*($P$60*(1+Assumptions!$H$69)^(AE11-1))</f>
        <v>0</v>
      </c>
      <c r="AF60" s="141">
        <f ca="1">IF(AE82=0,0,1)*($P$60*(1+Assumptions!$H$69)^(AF11-1))</f>
        <v>0</v>
      </c>
      <c r="AG60" s="141">
        <f ca="1">IF(AF82=0,0,1)*($P$60*(1+Assumptions!$H$69)^(AG11-1))</f>
        <v>0</v>
      </c>
      <c r="AH60" s="141">
        <f ca="1">IF(AG82=0,0,1)*($P$60*(1+Assumptions!$H$69)^(AH11-1))</f>
        <v>0</v>
      </c>
      <c r="AI60" s="141">
        <f ca="1">IF(AH82=0,0,1)*($P$60*(1+Assumptions!$H$69)^(AI11-1))</f>
        <v>0</v>
      </c>
      <c r="AJ60" s="141">
        <f ca="1">IF(AI82=0,0,1)*($P$60*(1+Assumptions!$H$69)^(AJ11-1))</f>
        <v>0</v>
      </c>
      <c r="AK60" s="141">
        <f ca="1">IF(AJ82=0,0,1)*($P$60*(1+Assumptions!$H$69)^(AK11-1))</f>
        <v>0</v>
      </c>
      <c r="AL60" s="141">
        <f ca="1">IF(AK82=0,0,1)*($P$60*(1+Assumptions!$H$69)^(AL11-1))</f>
        <v>0</v>
      </c>
      <c r="AM60" s="141">
        <f ca="1">IF(AL82=0,0,1)*($P$60*(1+Assumptions!$H$69)^(AM11-1))</f>
        <v>0</v>
      </c>
      <c r="AN60" s="141">
        <f ca="1">IF(AM82=0,0,1)*($P$60*(1+Assumptions!$H$69)^(AN11-1))</f>
        <v>0</v>
      </c>
      <c r="AO60" s="141">
        <f ca="1">IF(AN82=0,0,1)*($P$60*(1+Assumptions!$H$69)^(AO11-1))</f>
        <v>0</v>
      </c>
      <c r="AP60" s="141">
        <f ca="1">IF(AO82=0,0,1)*($P$60*(1+Assumptions!$H$69)^(AP11-1))</f>
        <v>0</v>
      </c>
      <c r="AQ60" s="141">
        <f ca="1">IF(AP82=0,0,1)*($P$60*(1+Assumptions!$H$69)^(AQ11-1))</f>
        <v>0</v>
      </c>
      <c r="AR60" s="141">
        <f ca="1">IF(AQ82=0,0,1)*($P$60*(1+Assumptions!$H$69)^(AR11-1))</f>
        <v>0</v>
      </c>
      <c r="AS60" s="141">
        <f ca="1">IF(AR82=0,0,1)*($P$60*(1+Assumptions!$H$69)^(AS11-1))</f>
        <v>0</v>
      </c>
      <c r="AT60" s="141">
        <f ca="1">IF(AS82=0,0,1)*($P$60*(1+Assumptions!$H$69)^(AT11-1))</f>
        <v>0</v>
      </c>
      <c r="AU60" s="141">
        <f ca="1">IF(AT82=0,0,1)*($P$60*(1+Assumptions!$H$69)^(AU11-1))</f>
        <v>0</v>
      </c>
      <c r="AV60" s="141">
        <f ca="1">IF(AU82=0,0,1)*($P$60*(1+Assumptions!$H$69)^(AV11-1))</f>
        <v>0</v>
      </c>
      <c r="AW60" s="141">
        <f ca="1">IF(AV82=0,0,1)*($P$60*(1+Assumptions!$H$69)^(AW11-1))</f>
        <v>0</v>
      </c>
      <c r="AX60" s="141">
        <f ca="1">IF(AW82=0,0,1)*($P$60*(1+Assumptions!$H$69)^(AX11-1))</f>
        <v>0</v>
      </c>
      <c r="AY60" s="141">
        <f ca="1">IF(AX82=0,0,1)*($P$60*(1+Assumptions!$H$69)^(AY11-1))</f>
        <v>0</v>
      </c>
      <c r="AZ60" s="141">
        <f ca="1">IF(AY82=0,0,1)*($P$60*(1+Assumptions!$H$69)^(AZ11-1))</f>
        <v>0</v>
      </c>
      <c r="BA60" s="141">
        <f ca="1">IF(AZ82=0,0,1)*($P$60*(1+Assumptions!$H$69)^(BA11-1))</f>
        <v>0</v>
      </c>
      <c r="BB60" s="141">
        <f ca="1">IF(BA82=0,0,1)*($P$60*(1+Assumptions!$H$69)^(BB11-1))</f>
        <v>0</v>
      </c>
      <c r="BC60" s="141">
        <f ca="1">IF(BB82=0,0,1)*($P$60*(1+Assumptions!$H$69)^(BC11-1))</f>
        <v>0</v>
      </c>
      <c r="BD60" s="141">
        <f ca="1">IF(BC82=0,0,1)*($P$60*(1+Assumptions!$H$69)^(BD11-1))</f>
        <v>0</v>
      </c>
      <c r="BE60" s="141">
        <f ca="1">IF(BD82=0,0,1)*($P$60*(1+Assumptions!$H$69)^(BE11-1))</f>
        <v>0</v>
      </c>
      <c r="BF60" s="141">
        <f ca="1">IF(BE82=0,0,1)*($P$60*(1+Assumptions!$H$69)^(BF11-1))</f>
        <v>0</v>
      </c>
      <c r="BG60" s="141">
        <f ca="1">IF(BF82=0,0,1)*($P$60*(1+Assumptions!$H$69)^(BG11-1))</f>
        <v>0</v>
      </c>
      <c r="BH60" s="141">
        <f ca="1">IF(BG82=0,0,1)*($P$60*(1+Assumptions!$H$69)^(BH11-1))</f>
        <v>0</v>
      </c>
      <c r="BI60" s="141">
        <f ca="1">IF(BH82=0,0,1)*($P$60*(1+Assumptions!$H$69)^(BI11-1))</f>
        <v>0</v>
      </c>
      <c r="BJ60" s="141">
        <f ca="1">IF(BI82=0,0,1)*($P$60*(1+Assumptions!$H$69)^(BJ11-1))</f>
        <v>0</v>
      </c>
      <c r="BK60" s="141">
        <f ca="1">IF(BJ82=0,0,1)*($P$60*(1+Assumptions!$H$69)^(BK11-1))</f>
        <v>0</v>
      </c>
      <c r="BL60" s="141">
        <f ca="1">IF(BK82=0,0,1)*($P$60*(1+Assumptions!$H$69)^(BL11-1))</f>
        <v>0</v>
      </c>
      <c r="BM60" s="141">
        <f ca="1">IF(BL82=0,0,1)*($P$60*(1+Assumptions!$H$69)^(BM11-1))</f>
        <v>0</v>
      </c>
      <c r="BN60" s="141">
        <f ca="1">IF(BM82=0,0,1)*($P$60*(1+Assumptions!$H$69)^(BN11-1))</f>
        <v>0</v>
      </c>
      <c r="BO60" s="141">
        <f ca="1">IF(BN82=0,0,1)*($P$60*(1+Assumptions!$H$69)^(BO11-1))</f>
        <v>0</v>
      </c>
      <c r="BP60" s="141">
        <f ca="1">IF(BO82=0,0,1)*($P$60*(1+Assumptions!$H$69)^(BP11-1))</f>
        <v>0</v>
      </c>
      <c r="BQ60" s="141">
        <f ca="1">IF(BP82=0,0,1)*($P$60*(1+Assumptions!$H$69)^(BQ11-1))</f>
        <v>0</v>
      </c>
      <c r="BR60" s="141">
        <f ca="1">IF(BQ82=0,0,1)*($P$60*(1+Assumptions!$H$69)^(BR11-1))</f>
        <v>0</v>
      </c>
      <c r="BS60" s="141">
        <f ca="1">IF(BR82=0,0,1)*($P$60*(1+Assumptions!$H$69)^(BS11-1))</f>
        <v>0</v>
      </c>
      <c r="BT60" s="141">
        <f ca="1">IF(BS82=0,0,1)*($P$60*(1+Assumptions!$H$69)^(BT11-1))</f>
        <v>0</v>
      </c>
      <c r="BU60" s="141">
        <f ca="1">IF(BT82=0,0,1)*($P$60*(1+Assumptions!$H$69)^(BU11-1))</f>
        <v>0</v>
      </c>
      <c r="BV60" s="141">
        <f ca="1">IF(BU82=0,0,1)*($P$60*(1+Assumptions!$H$69)^(BV11-1))</f>
        <v>0</v>
      </c>
      <c r="BW60" s="141">
        <f ca="1">IF(BV82=0,0,1)*($P$60*(1+Assumptions!$H$69)^(BW11-1))</f>
        <v>0</v>
      </c>
      <c r="BX60" s="141">
        <f ca="1">IF(BW82=0,0,1)*($P$60*(1+Assumptions!$H$69)^(BX11-1))</f>
        <v>0</v>
      </c>
      <c r="BY60" s="141">
        <f ca="1">IF(BX82=0,0,1)*($P$60*(1+Assumptions!$H$69)^(BY11-1))</f>
        <v>0</v>
      </c>
      <c r="BZ60" s="141">
        <f ca="1">IF(BY82=0,0,1)*($P$60*(1+Assumptions!$H$69)^(BZ11-1))</f>
        <v>0</v>
      </c>
      <c r="CA60" s="141">
        <f ca="1">IF(BZ82=0,0,1)*($P$60*(1+Assumptions!$H$69)^(CA11-1))</f>
        <v>0</v>
      </c>
      <c r="CB60" s="141">
        <f ca="1">IF(CA82=0,0,1)*($P$60*(1+Assumptions!$H$69)^(CB11-1))</f>
        <v>0</v>
      </c>
      <c r="CC60" s="141">
        <f ca="1">IF(CB82=0,0,1)*($P$60*(1+Assumptions!$H$69)^(CC11-1))</f>
        <v>0</v>
      </c>
      <c r="CD60" s="141">
        <f ca="1">IF(CC82=0,0,1)*($P$60*(1+Assumptions!$H$69)^(CD11-1))</f>
        <v>0</v>
      </c>
      <c r="CE60" s="141">
        <f ca="1">IF(CD82=0,0,1)*($P$60*(1+Assumptions!$H$69)^(CE11-1))</f>
        <v>0</v>
      </c>
      <c r="CF60" s="141">
        <f ca="1">IF(CE82=0,0,1)*($P$60*(1+Assumptions!$H$69)^(CF11-1))</f>
        <v>0</v>
      </c>
      <c r="CG60" s="141">
        <f ca="1">IF(CF82=0,0,1)*($P$60*(1+Assumptions!$H$69)^(CG11-1))</f>
        <v>0</v>
      </c>
      <c r="CH60" s="141">
        <f ca="1">IF(CG82=0,0,1)*($P$60*(1+Assumptions!$H$69)^(CH11-1))</f>
        <v>0</v>
      </c>
      <c r="CI60" s="141">
        <f ca="1">IF(CH82=0,0,1)*($P$60*(1+Assumptions!$H$69)^(CI11-1))</f>
        <v>0</v>
      </c>
      <c r="CJ60" s="141">
        <f ca="1">IF(CI82=0,0,1)*($P$60*(1+Assumptions!$H$69)^(CJ11-1))</f>
        <v>0</v>
      </c>
      <c r="CK60" s="141">
        <f ca="1">IF(CJ82=0,0,1)*($P$60*(1+Assumptions!$H$69)^(CK11-1))</f>
        <v>0</v>
      </c>
      <c r="CL60" s="141">
        <f ca="1">IF(CK82=0,0,1)*($P$60*(1+Assumptions!$H$69)^(CL11-1))</f>
        <v>0</v>
      </c>
      <c r="CM60" s="141">
        <f ca="1">IF(CL82=0,0,1)*($P$60*(1+Assumptions!$H$69)^(CM11-1))</f>
        <v>0</v>
      </c>
      <c r="CN60" s="141">
        <f ca="1">IF(CM82=0,0,1)*($P$60*(1+Assumptions!$H$69)^(CN11-1))</f>
        <v>0</v>
      </c>
      <c r="CO60" s="141">
        <f ca="1">IF(CN82=0,0,1)*($P$60*(1+Assumptions!$H$69)^(CO11-1))</f>
        <v>0</v>
      </c>
      <c r="CP60" s="141">
        <f ca="1">IF(CO82=0,0,1)*($P$60*(1+Assumptions!$H$69)^(CP11-1))</f>
        <v>0</v>
      </c>
      <c r="CQ60" s="141">
        <f ca="1">IF(CP82=0,0,1)*($P$60*(1+Assumptions!$H$69)^(CQ11-1))</f>
        <v>0</v>
      </c>
      <c r="CR60" s="141">
        <f ca="1">IF(CQ82=0,0,1)*($P$60*(1+Assumptions!$H$69)^(CR11-1))</f>
        <v>0</v>
      </c>
      <c r="CS60" s="141">
        <f ca="1">IF(CR82=0,0,1)*($P$60*(1+Assumptions!$H$69)^(CS11-1))</f>
        <v>0</v>
      </c>
      <c r="CT60" s="141">
        <f ca="1">IF(CS82=0,0,1)*($P$60*(1+Assumptions!$H$69)^(CT11-1))</f>
        <v>0</v>
      </c>
      <c r="CU60" s="141">
        <f ca="1">IF(CT82=0,0,1)*($P$60*(1+Assumptions!$H$69)^(CU11-1))</f>
        <v>0</v>
      </c>
      <c r="CV60" s="141">
        <f ca="1">IF(CU82=0,0,1)*($P$60*(1+Assumptions!$H$69)^(CV11-1))</f>
        <v>0</v>
      </c>
      <c r="CW60" s="141">
        <f ca="1">IF(CV82=0,0,1)*($P$60*(1+Assumptions!$H$69)^(CW11-1))</f>
        <v>0</v>
      </c>
      <c r="CX60" s="141">
        <f ca="1">IF(CW82=0,0,1)*($P$60*(1+Assumptions!$H$69)^(CX11-1))</f>
        <v>0</v>
      </c>
      <c r="CY60" s="141">
        <f ca="1">IF(CX82=0,0,1)*($P$60*(1+Assumptions!$H$69)^(CY11-1))</f>
        <v>0</v>
      </c>
      <c r="CZ60" s="141">
        <f ca="1">IF(CY82=0,0,1)*($P$60*(1+Assumptions!$H$69)^(CZ11-1))</f>
        <v>0</v>
      </c>
      <c r="DA60" s="141">
        <f ca="1">IF(CZ82=0,0,1)*($P$60*(1+Assumptions!$H$69)^(DA11-1))</f>
        <v>0</v>
      </c>
      <c r="DB60" s="141">
        <f ca="1">IF(DA82=0,0,1)*($P$60*(1+Assumptions!$H$69)^(DB11-1))</f>
        <v>0</v>
      </c>
      <c r="DC60" s="141">
        <f ca="1">IF(DB82=0,0,1)*($P$60*(1+Assumptions!$H$69)^(DC11-1))</f>
        <v>0</v>
      </c>
      <c r="DD60" s="141">
        <f ca="1">IF(DC82=0,0,1)*($P$60*(1+Assumptions!$H$69)^(DD11-1))</f>
        <v>0</v>
      </c>
      <c r="DE60" s="141">
        <f ca="1">IF(DD82=0,0,1)*($P$60*(1+Assumptions!$H$69)^(DE11-1))</f>
        <v>0</v>
      </c>
      <c r="DF60" s="141">
        <f ca="1">IF(DE82=0,0,1)*($P$60*(1+Assumptions!$H$69)^(DF11-1))</f>
        <v>0</v>
      </c>
      <c r="DG60" s="141">
        <f ca="1">IF(DF82=0,0,1)*($P$60*(1+Assumptions!$H$69)^(DG11-1))</f>
        <v>0</v>
      </c>
      <c r="DH60" s="141">
        <f ca="1">IF(DG82=0,0,1)*($P$60*(1+Assumptions!$H$69)^(DH11-1))</f>
        <v>0</v>
      </c>
      <c r="DI60" s="141">
        <f ca="1">IF(DH82=0,0,1)*($P$60*(1+Assumptions!$H$69)^(DI11-1))</f>
        <v>0</v>
      </c>
      <c r="DJ60" s="141">
        <f>IF(DI82=0,0,1)*($P$60*(1+Assumptions!$H$69)^(DJ11-1))</f>
        <v>0</v>
      </c>
      <c r="DK60" s="141">
        <f>IF(DJ82=0,0,1)*($P$60*(1+Assumptions!$H$69)^(DK11-1))</f>
        <v>0</v>
      </c>
      <c r="DL60" s="141">
        <f>IF(DK82=0,0,1)*($P$60*(1+Assumptions!$H$69)^(DL11-1))</f>
        <v>0</v>
      </c>
      <c r="DM60" s="141">
        <f>IF(DL82=0,0,1)*($P$60*(1+Assumptions!$H$69)^(DM11-1))</f>
        <v>0</v>
      </c>
      <c r="DN60" s="141">
        <f>IF(DM82=0,0,1)*($P$60*(1+Assumptions!$H$69)^(DN11-1))</f>
        <v>0</v>
      </c>
      <c r="DO60" s="141">
        <f>IF(DN82=0,0,1)*($P$60*(1+Assumptions!$H$69)^(DO11-1))</f>
        <v>0</v>
      </c>
      <c r="DP60" s="141">
        <f>IF(DO82=0,0,1)*($P$60*(1+Assumptions!$H$69)^(DP11-1))</f>
        <v>0</v>
      </c>
      <c r="DQ60" s="141">
        <f>IF(DP82=0,0,1)*($P$60*(1+Assumptions!$H$69)^(DQ11-1))</f>
        <v>0</v>
      </c>
      <c r="DR60" s="141">
        <f>IF(DQ82=0,0,1)*($P$60*(1+Assumptions!$H$69)^(DR11-1))</f>
        <v>0</v>
      </c>
      <c r="DS60" s="141">
        <f>IF(DR82=0,0,1)*($P$60*(1+Assumptions!$H$69)^(DS11-1))</f>
        <v>0</v>
      </c>
      <c r="DT60" s="141">
        <f>IF(DS82=0,0,1)*($P$60*(1+Assumptions!$H$69)^(DT11-1))</f>
        <v>0</v>
      </c>
      <c r="DU60" s="141">
        <f>IF(DT82=0,0,1)*($P$60*(1+Assumptions!$H$69)^(DU11-1))</f>
        <v>0</v>
      </c>
      <c r="DV60" s="141">
        <f>IF(DU82=0,0,1)*($P$60*(1+Assumptions!$H$69)^(DV11-1))</f>
        <v>0</v>
      </c>
      <c r="DW60" s="141">
        <f>IF(DV82=0,0,1)*($P$60*(1+Assumptions!$H$69)^(DW11-1))</f>
        <v>0</v>
      </c>
      <c r="DX60" s="141">
        <f>IF(DW82=0,0,1)*($P$60*(1+Assumptions!$H$69)^(DX11-1))</f>
        <v>0</v>
      </c>
      <c r="DY60" s="141">
        <f>IF(DX82=0,0,1)*($P$60*(1+Assumptions!$H$69)^(DY11-1))</f>
        <v>0</v>
      </c>
      <c r="DZ60" s="141">
        <f>IF(DY82=0,0,1)*($P$60*(1+Assumptions!$H$69)^(DZ11-1))</f>
        <v>0</v>
      </c>
      <c r="EA60" s="141">
        <f>IF(DZ82=0,0,1)*($P$60*(1+Assumptions!$H$69)^(EA11-1))</f>
        <v>0</v>
      </c>
      <c r="EB60" s="141">
        <f>IF(EA82=0,0,1)*($P$60*(1+Assumptions!$H$69)^(EB11-1))</f>
        <v>0</v>
      </c>
      <c r="EC60" s="141">
        <f>IF(EB82=0,0,1)*($P$60*(1+Assumptions!$H$69)^(EC11-1))</f>
        <v>0</v>
      </c>
      <c r="ED60" s="141">
        <f>IF(EC82=0,0,1)*($P$60*(1+Assumptions!$H$69)^(ED11-1))</f>
        <v>0</v>
      </c>
      <c r="EE60" s="141">
        <f>IF(ED82=0,0,1)*($P$60*(1+Assumptions!$H$69)^(EE11-1))</f>
        <v>0</v>
      </c>
      <c r="EF60" s="141">
        <f>IF(EE82=0,0,1)*($P$60*(1+Assumptions!$H$69)^(EF11-1))</f>
        <v>0</v>
      </c>
      <c r="EG60" s="141">
        <f>IF(EF82=0,0,1)*($P$60*(1+Assumptions!$H$69)^(EG11-1))</f>
        <v>0</v>
      </c>
      <c r="EH60" s="141">
        <f>IF(EG82=0,0,1)*($P$60*(1+Assumptions!$H$69)^(EH11-1))</f>
        <v>0</v>
      </c>
      <c r="EI60" s="141">
        <f>IF(EH82=0,0,1)*($P$60*(1+Assumptions!$H$69)^(EI11-1))</f>
        <v>0</v>
      </c>
      <c r="EJ60" s="141">
        <f>IF(EI82=0,0,1)*($P$60*(1+Assumptions!$H$69)^(EJ11-1))</f>
        <v>0</v>
      </c>
      <c r="EK60" s="141">
        <f>IF(EJ82=0,0,1)*($P$60*(1+Assumptions!$H$69)^(EK11-1))</f>
        <v>0</v>
      </c>
      <c r="EL60" s="141">
        <f>IF(EK82=0,0,1)*($P$60*(1+Assumptions!$H$69)^(EL11-1))</f>
        <v>0</v>
      </c>
      <c r="EM60" s="141">
        <f>IF(EL82=0,0,1)*($P$60*(1+Assumptions!$H$69)^(EM11-1))</f>
        <v>0</v>
      </c>
      <c r="EN60" s="141">
        <f>IF(EM82=0,0,1)*($P$60*(1+Assumptions!$H$69)^(EN11-1))</f>
        <v>0</v>
      </c>
      <c r="EO60" s="141">
        <f>IF(EN82=0,0,1)*($P$60*(1+Assumptions!$H$69)^(EO11-1))</f>
        <v>0</v>
      </c>
      <c r="EP60" s="141">
        <f>IF(EO82=0,0,1)*($P$60*(1+Assumptions!$H$69)^(EP11-1))</f>
        <v>0</v>
      </c>
      <c r="EQ60" s="141">
        <f>IF(EP82=0,0,1)*($P$60*(1+Assumptions!$H$69)^(EQ11-1))</f>
        <v>0</v>
      </c>
      <c r="ES60" s="421"/>
      <c r="ET60" s="63"/>
      <c r="EU60" s="98"/>
    </row>
    <row r="61" spans="7:151" ht="15.75">
      <c r="G61" s="145"/>
      <c r="H61" s="128" t="s">
        <v>113</v>
      </c>
      <c r="I61" s="504"/>
      <c r="J61" s="505"/>
      <c r="K61" s="130"/>
      <c r="L61" s="131"/>
      <c r="M61" s="131"/>
      <c r="N61" s="225">
        <f>'Annual Cash Flow'!C41</f>
        <v>0</v>
      </c>
      <c r="O61" s="787"/>
      <c r="P61" s="102">
        <f>-Assumptions!F54/12</f>
        <v>0</v>
      </c>
      <c r="Q61" s="141">
        <f ca="1">IF(P82=0,0,1)*($P$61*(1+Assumptions!$H$69)^(Q11-1))</f>
        <v>0</v>
      </c>
      <c r="R61" s="141">
        <f ca="1">IF(Q82=0,0,1)*($P$61*(1+Assumptions!$H$69)^(R11-1))</f>
        <v>0</v>
      </c>
      <c r="S61" s="141">
        <f ca="1">IF(R82=0,0,1)*($P$61*(1+Assumptions!$H$69)^(S11-1))</f>
        <v>0</v>
      </c>
      <c r="T61" s="141">
        <f ca="1">IF(S82=0,0,1)*($P$61*(1+Assumptions!$H$69)^(T11-1))</f>
        <v>0</v>
      </c>
      <c r="U61" s="141">
        <f ca="1">IF(T82=0,0,1)*($P$61*(1+Assumptions!$H$69)^(U11-1))</f>
        <v>0</v>
      </c>
      <c r="V61" s="141">
        <f ca="1">IF(U82=0,0,1)*($P$61*(1+Assumptions!$H$69)^(V11-1))</f>
        <v>0</v>
      </c>
      <c r="W61" s="141">
        <f ca="1">IF(V82=0,0,1)*($P$61*(1+Assumptions!$H$69)^(W11-1))</f>
        <v>0</v>
      </c>
      <c r="X61" s="141">
        <f ca="1">IF(W82=0,0,1)*($P$61*(1+Assumptions!$H$69)^(X11-1))</f>
        <v>0</v>
      </c>
      <c r="Y61" s="141">
        <f ca="1">IF(X82=0,0,1)*($P$61*(1+Assumptions!$H$69)^(Y11-1))</f>
        <v>0</v>
      </c>
      <c r="Z61" s="141">
        <f ca="1">IF(Y82=0,0,1)*($P$61*(1+Assumptions!$H$69)^(Z11-1))</f>
        <v>0</v>
      </c>
      <c r="AA61" s="141">
        <f ca="1">IF(Z82=0,0,1)*($P$61*(1+Assumptions!$H$69)^(AA11-1))</f>
        <v>0</v>
      </c>
      <c r="AB61" s="141">
        <f ca="1">IF(AA82=0,0,1)*($P$61*(1+Assumptions!$H$69)^(AB11-1))</f>
        <v>0</v>
      </c>
      <c r="AC61" s="141">
        <f ca="1">IF(AB82=0,0,1)*($P$61*(1+Assumptions!$H$69)^(AC11-1))</f>
        <v>0</v>
      </c>
      <c r="AD61" s="141">
        <f ca="1">IF(AC82=0,0,1)*($P$61*(1+Assumptions!$H$69)^(AD11-1))</f>
        <v>0</v>
      </c>
      <c r="AE61" s="141">
        <f ca="1">IF(AD82=0,0,1)*($P$61*(1+Assumptions!$H$69)^(AE11-1))</f>
        <v>0</v>
      </c>
      <c r="AF61" s="141">
        <f ca="1">IF(AE82=0,0,1)*($P$61*(1+Assumptions!$H$69)^(AF11-1))</f>
        <v>0</v>
      </c>
      <c r="AG61" s="141">
        <f ca="1">IF(AF82=0,0,1)*($P$61*(1+Assumptions!$H$69)^(AG11-1))</f>
        <v>0</v>
      </c>
      <c r="AH61" s="141">
        <f ca="1">IF(AG82=0,0,1)*($P$61*(1+Assumptions!$H$69)^(AH11-1))</f>
        <v>0</v>
      </c>
      <c r="AI61" s="141">
        <f ca="1">IF(AH82=0,0,1)*($P$61*(1+Assumptions!$H$69)^(AI11-1))</f>
        <v>0</v>
      </c>
      <c r="AJ61" s="141">
        <f ca="1">IF(AI82=0,0,1)*($P$61*(1+Assumptions!$H$69)^(AJ11-1))</f>
        <v>0</v>
      </c>
      <c r="AK61" s="141">
        <f ca="1">IF(AJ82=0,0,1)*($P$61*(1+Assumptions!$H$69)^(AK11-1))</f>
        <v>0</v>
      </c>
      <c r="AL61" s="141">
        <f ca="1">IF(AK82=0,0,1)*($P$61*(1+Assumptions!$H$69)^(AL11-1))</f>
        <v>0</v>
      </c>
      <c r="AM61" s="141">
        <f ca="1">IF(AL82=0,0,1)*($P$61*(1+Assumptions!$H$69)^(AM11-1))</f>
        <v>0</v>
      </c>
      <c r="AN61" s="141">
        <f ca="1">IF(AM82=0,0,1)*($P$61*(1+Assumptions!$H$69)^(AN11-1))</f>
        <v>0</v>
      </c>
      <c r="AO61" s="141">
        <f ca="1">IF(AN82=0,0,1)*($P$61*(1+Assumptions!$H$69)^(AO11-1))</f>
        <v>0</v>
      </c>
      <c r="AP61" s="141">
        <f ca="1">IF(AO82=0,0,1)*($P$61*(1+Assumptions!$H$69)^(AP11-1))</f>
        <v>0</v>
      </c>
      <c r="AQ61" s="141">
        <f ca="1">IF(AP82=0,0,1)*($P$61*(1+Assumptions!$H$69)^(AQ11-1))</f>
        <v>0</v>
      </c>
      <c r="AR61" s="141">
        <f ca="1">IF(AQ82=0,0,1)*($P$61*(1+Assumptions!$H$69)^(AR11-1))</f>
        <v>0</v>
      </c>
      <c r="AS61" s="141">
        <f ca="1">IF(AR82=0,0,1)*($P$61*(1+Assumptions!$H$69)^(AS11-1))</f>
        <v>0</v>
      </c>
      <c r="AT61" s="141">
        <f ca="1">IF(AS82=0,0,1)*($P$61*(1+Assumptions!$H$69)^(AT11-1))</f>
        <v>0</v>
      </c>
      <c r="AU61" s="141">
        <f ca="1">IF(AT82=0,0,1)*($P$61*(1+Assumptions!$H$69)^(AU11-1))</f>
        <v>0</v>
      </c>
      <c r="AV61" s="141">
        <f ca="1">IF(AU82=0,0,1)*($P$61*(1+Assumptions!$H$69)^(AV11-1))</f>
        <v>0</v>
      </c>
      <c r="AW61" s="141">
        <f ca="1">IF(AV82=0,0,1)*($P$61*(1+Assumptions!$H$69)^(AW11-1))</f>
        <v>0</v>
      </c>
      <c r="AX61" s="141">
        <f ca="1">IF(AW82=0,0,1)*($P$61*(1+Assumptions!$H$69)^(AX11-1))</f>
        <v>0</v>
      </c>
      <c r="AY61" s="141">
        <f ca="1">IF(AX82=0,0,1)*($P$61*(1+Assumptions!$H$69)^(AY11-1))</f>
        <v>0</v>
      </c>
      <c r="AZ61" s="141">
        <f ca="1">IF(AY82=0,0,1)*($P$61*(1+Assumptions!$H$69)^(AZ11-1))</f>
        <v>0</v>
      </c>
      <c r="BA61" s="141">
        <f ca="1">IF(AZ82=0,0,1)*($P$61*(1+Assumptions!$H$69)^(BA11-1))</f>
        <v>0</v>
      </c>
      <c r="BB61" s="141">
        <f ca="1">IF(BA82=0,0,1)*($P$61*(1+Assumptions!$H$69)^(BB11-1))</f>
        <v>0</v>
      </c>
      <c r="BC61" s="141">
        <f ca="1">IF(BB82=0,0,1)*($P$61*(1+Assumptions!$H$69)^(BC11-1))</f>
        <v>0</v>
      </c>
      <c r="BD61" s="141">
        <f ca="1">IF(BC82=0,0,1)*($P$61*(1+Assumptions!$H$69)^(BD11-1))</f>
        <v>0</v>
      </c>
      <c r="BE61" s="141">
        <f ca="1">IF(BD82=0,0,1)*($P$61*(1+Assumptions!$H$69)^(BE11-1))</f>
        <v>0</v>
      </c>
      <c r="BF61" s="141">
        <f ca="1">IF(BE82=0,0,1)*($P$61*(1+Assumptions!$H$69)^(BF11-1))</f>
        <v>0</v>
      </c>
      <c r="BG61" s="141">
        <f ca="1">IF(BF82=0,0,1)*($P$61*(1+Assumptions!$H$69)^(BG11-1))</f>
        <v>0</v>
      </c>
      <c r="BH61" s="141">
        <f ca="1">IF(BG82=0,0,1)*($P$61*(1+Assumptions!$H$69)^(BH11-1))</f>
        <v>0</v>
      </c>
      <c r="BI61" s="141">
        <f ca="1">IF(BH82=0,0,1)*($P$61*(1+Assumptions!$H$69)^(BI11-1))</f>
        <v>0</v>
      </c>
      <c r="BJ61" s="141">
        <f ca="1">IF(BI82=0,0,1)*($P$61*(1+Assumptions!$H$69)^(BJ11-1))</f>
        <v>0</v>
      </c>
      <c r="BK61" s="141">
        <f ca="1">IF(BJ82=0,0,1)*($P$61*(1+Assumptions!$H$69)^(BK11-1))</f>
        <v>0</v>
      </c>
      <c r="BL61" s="141">
        <f ca="1">IF(BK82=0,0,1)*($P$61*(1+Assumptions!$H$69)^(BL11-1))</f>
        <v>0</v>
      </c>
      <c r="BM61" s="141">
        <f ca="1">IF(BL82=0,0,1)*($P$61*(1+Assumptions!$H$69)^(BM11-1))</f>
        <v>0</v>
      </c>
      <c r="BN61" s="141">
        <f ca="1">IF(BM82=0,0,1)*($P$61*(1+Assumptions!$H$69)^(BN11-1))</f>
        <v>0</v>
      </c>
      <c r="BO61" s="141">
        <f ca="1">IF(BN82=0,0,1)*($P$61*(1+Assumptions!$H$69)^(BO11-1))</f>
        <v>0</v>
      </c>
      <c r="BP61" s="141">
        <f ca="1">IF(BO82=0,0,1)*($P$61*(1+Assumptions!$H$69)^(BP11-1))</f>
        <v>0</v>
      </c>
      <c r="BQ61" s="141">
        <f ca="1">IF(BP82=0,0,1)*($P$61*(1+Assumptions!$H$69)^(BQ11-1))</f>
        <v>0</v>
      </c>
      <c r="BR61" s="141">
        <f ca="1">IF(BQ82=0,0,1)*($P$61*(1+Assumptions!$H$69)^(BR11-1))</f>
        <v>0</v>
      </c>
      <c r="BS61" s="141">
        <f ca="1">IF(BR82=0,0,1)*($P$61*(1+Assumptions!$H$69)^(BS11-1))</f>
        <v>0</v>
      </c>
      <c r="BT61" s="141">
        <f ca="1">IF(BS82=0,0,1)*($P$61*(1+Assumptions!$H$69)^(BT11-1))</f>
        <v>0</v>
      </c>
      <c r="BU61" s="141">
        <f ca="1">IF(BT82=0,0,1)*($P$61*(1+Assumptions!$H$69)^(BU11-1))</f>
        <v>0</v>
      </c>
      <c r="BV61" s="141">
        <f ca="1">IF(BU82=0,0,1)*($P$61*(1+Assumptions!$H$69)^(BV11-1))</f>
        <v>0</v>
      </c>
      <c r="BW61" s="141">
        <f ca="1">IF(BV82=0,0,1)*($P$61*(1+Assumptions!$H$69)^(BW11-1))</f>
        <v>0</v>
      </c>
      <c r="BX61" s="141">
        <f ca="1">IF(BW82=0,0,1)*($P$61*(1+Assumptions!$H$69)^(BX11-1))</f>
        <v>0</v>
      </c>
      <c r="BY61" s="141">
        <f ca="1">IF(BX82=0,0,1)*($P$61*(1+Assumptions!$H$69)^(BY11-1))</f>
        <v>0</v>
      </c>
      <c r="BZ61" s="141">
        <f ca="1">IF(BY82=0,0,1)*($P$61*(1+Assumptions!$H$69)^(BZ11-1))</f>
        <v>0</v>
      </c>
      <c r="CA61" s="141">
        <f ca="1">IF(BZ82=0,0,1)*($P$61*(1+Assumptions!$H$69)^(CA11-1))</f>
        <v>0</v>
      </c>
      <c r="CB61" s="141">
        <f ca="1">IF(CA82=0,0,1)*($P$61*(1+Assumptions!$H$69)^(CB11-1))</f>
        <v>0</v>
      </c>
      <c r="CC61" s="141">
        <f ca="1">IF(CB82=0,0,1)*($P$61*(1+Assumptions!$H$69)^(CC11-1))</f>
        <v>0</v>
      </c>
      <c r="CD61" s="141">
        <f ca="1">IF(CC82=0,0,1)*($P$61*(1+Assumptions!$H$69)^(CD11-1))</f>
        <v>0</v>
      </c>
      <c r="CE61" s="141">
        <f ca="1">IF(CD82=0,0,1)*($P$61*(1+Assumptions!$H$69)^(CE11-1))</f>
        <v>0</v>
      </c>
      <c r="CF61" s="141">
        <f ca="1">IF(CE82=0,0,1)*($P$61*(1+Assumptions!$H$69)^(CF11-1))</f>
        <v>0</v>
      </c>
      <c r="CG61" s="141">
        <f ca="1">IF(CF82=0,0,1)*($P$61*(1+Assumptions!$H$69)^(CG11-1))</f>
        <v>0</v>
      </c>
      <c r="CH61" s="141">
        <f ca="1">IF(CG82=0,0,1)*($P$61*(1+Assumptions!$H$69)^(CH11-1))</f>
        <v>0</v>
      </c>
      <c r="CI61" s="141">
        <f ca="1">IF(CH82=0,0,1)*($P$61*(1+Assumptions!$H$69)^(CI11-1))</f>
        <v>0</v>
      </c>
      <c r="CJ61" s="141">
        <f ca="1">IF(CI82=0,0,1)*($P$61*(1+Assumptions!$H$69)^(CJ11-1))</f>
        <v>0</v>
      </c>
      <c r="CK61" s="141">
        <f ca="1">IF(CJ82=0,0,1)*($P$61*(1+Assumptions!$H$69)^(CK11-1))</f>
        <v>0</v>
      </c>
      <c r="CL61" s="141">
        <f ca="1">IF(CK82=0,0,1)*($P$61*(1+Assumptions!$H$69)^(CL11-1))</f>
        <v>0</v>
      </c>
      <c r="CM61" s="141">
        <f ca="1">IF(CL82=0,0,1)*($P$61*(1+Assumptions!$H$69)^(CM11-1))</f>
        <v>0</v>
      </c>
      <c r="CN61" s="141">
        <f ca="1">IF(CM82=0,0,1)*($P$61*(1+Assumptions!$H$69)^(CN11-1))</f>
        <v>0</v>
      </c>
      <c r="CO61" s="141">
        <f ca="1">IF(CN82=0,0,1)*($P$61*(1+Assumptions!$H$69)^(CO11-1))</f>
        <v>0</v>
      </c>
      <c r="CP61" s="141">
        <f ca="1">IF(CO82=0,0,1)*($P$61*(1+Assumptions!$H$69)^(CP11-1))</f>
        <v>0</v>
      </c>
      <c r="CQ61" s="141">
        <f ca="1">IF(CP82=0,0,1)*($P$61*(1+Assumptions!$H$69)^(CQ11-1))</f>
        <v>0</v>
      </c>
      <c r="CR61" s="141">
        <f ca="1">IF(CQ82=0,0,1)*($P$61*(1+Assumptions!$H$69)^(CR11-1))</f>
        <v>0</v>
      </c>
      <c r="CS61" s="141">
        <f ca="1">IF(CR82=0,0,1)*($P$61*(1+Assumptions!$H$69)^(CS11-1))</f>
        <v>0</v>
      </c>
      <c r="CT61" s="141">
        <f ca="1">IF(CS82=0,0,1)*($P$61*(1+Assumptions!$H$69)^(CT11-1))</f>
        <v>0</v>
      </c>
      <c r="CU61" s="141">
        <f ca="1">IF(CT82=0,0,1)*($P$61*(1+Assumptions!$H$69)^(CU11-1))</f>
        <v>0</v>
      </c>
      <c r="CV61" s="141">
        <f ca="1">IF(CU82=0,0,1)*($P$61*(1+Assumptions!$H$69)^(CV11-1))</f>
        <v>0</v>
      </c>
      <c r="CW61" s="141">
        <f ca="1">IF(CV82=0,0,1)*($P$61*(1+Assumptions!$H$69)^(CW11-1))</f>
        <v>0</v>
      </c>
      <c r="CX61" s="141">
        <f ca="1">IF(CW82=0,0,1)*($P$61*(1+Assumptions!$H$69)^(CX11-1))</f>
        <v>0</v>
      </c>
      <c r="CY61" s="141">
        <f ca="1">IF(CX82=0,0,1)*($P$61*(1+Assumptions!$H$69)^(CY11-1))</f>
        <v>0</v>
      </c>
      <c r="CZ61" s="141">
        <f ca="1">IF(CY82=0,0,1)*($P$61*(1+Assumptions!$H$69)^(CZ11-1))</f>
        <v>0</v>
      </c>
      <c r="DA61" s="141">
        <f ca="1">IF(CZ82=0,0,1)*($P$61*(1+Assumptions!$H$69)^(DA11-1))</f>
        <v>0</v>
      </c>
      <c r="DB61" s="141">
        <f ca="1">IF(DA82=0,0,1)*($P$61*(1+Assumptions!$H$69)^(DB11-1))</f>
        <v>0</v>
      </c>
      <c r="DC61" s="141">
        <f ca="1">IF(DB82=0,0,1)*($P$61*(1+Assumptions!$H$69)^(DC11-1))</f>
        <v>0</v>
      </c>
      <c r="DD61" s="141">
        <f ca="1">IF(DC82=0,0,1)*($P$61*(1+Assumptions!$H$69)^(DD11-1))</f>
        <v>0</v>
      </c>
      <c r="DE61" s="141">
        <f ca="1">IF(DD82=0,0,1)*($P$61*(1+Assumptions!$H$69)^(DE11-1))</f>
        <v>0</v>
      </c>
      <c r="DF61" s="141">
        <f ca="1">IF(DE82=0,0,1)*($P$61*(1+Assumptions!$H$69)^(DF11-1))</f>
        <v>0</v>
      </c>
      <c r="DG61" s="141">
        <f ca="1">IF(DF82=0,0,1)*($P$61*(1+Assumptions!$H$69)^(DG11-1))</f>
        <v>0</v>
      </c>
      <c r="DH61" s="141">
        <f ca="1">IF(DG82=0,0,1)*($P$61*(1+Assumptions!$H$69)^(DH11-1))</f>
        <v>0</v>
      </c>
      <c r="DI61" s="141">
        <f ca="1">IF(DH82=0,0,1)*($P$61*(1+Assumptions!$H$69)^(DI11-1))</f>
        <v>0</v>
      </c>
      <c r="DJ61" s="141">
        <f>IF(DI82=0,0,1)*($P$61*(1+Assumptions!$H$69)^(DJ11-1))</f>
        <v>0</v>
      </c>
      <c r="DK61" s="141">
        <f>IF(DJ82=0,0,1)*($P$61*(1+Assumptions!$H$69)^(DK11-1))</f>
        <v>0</v>
      </c>
      <c r="DL61" s="141">
        <f>IF(DK82=0,0,1)*($P$61*(1+Assumptions!$H$69)^(DL11-1))</f>
        <v>0</v>
      </c>
      <c r="DM61" s="141">
        <f>IF(DL82=0,0,1)*($P$61*(1+Assumptions!$H$69)^(DM11-1))</f>
        <v>0</v>
      </c>
      <c r="DN61" s="141">
        <f>IF(DM82=0,0,1)*($P$61*(1+Assumptions!$H$69)^(DN11-1))</f>
        <v>0</v>
      </c>
      <c r="DO61" s="141">
        <f>IF(DN82=0,0,1)*($P$61*(1+Assumptions!$H$69)^(DO11-1))</f>
        <v>0</v>
      </c>
      <c r="DP61" s="141">
        <f>IF(DO82=0,0,1)*($P$61*(1+Assumptions!$H$69)^(DP11-1))</f>
        <v>0</v>
      </c>
      <c r="DQ61" s="141">
        <f>IF(DP82=0,0,1)*($P$61*(1+Assumptions!$H$69)^(DQ11-1))</f>
        <v>0</v>
      </c>
      <c r="DR61" s="141">
        <f>IF(DQ82=0,0,1)*($P$61*(1+Assumptions!$H$69)^(DR11-1))</f>
        <v>0</v>
      </c>
      <c r="DS61" s="141">
        <f>IF(DR82=0,0,1)*($P$61*(1+Assumptions!$H$69)^(DS11-1))</f>
        <v>0</v>
      </c>
      <c r="DT61" s="141">
        <f>IF(DS82=0,0,1)*($P$61*(1+Assumptions!$H$69)^(DT11-1))</f>
        <v>0</v>
      </c>
      <c r="DU61" s="141">
        <f>IF(DT82=0,0,1)*($P$61*(1+Assumptions!$H$69)^(DU11-1))</f>
        <v>0</v>
      </c>
      <c r="DV61" s="141">
        <f>IF(DU82=0,0,1)*($P$61*(1+Assumptions!$H$69)^(DV11-1))</f>
        <v>0</v>
      </c>
      <c r="DW61" s="141">
        <f>IF(DV82=0,0,1)*($P$61*(1+Assumptions!$H$69)^(DW11-1))</f>
        <v>0</v>
      </c>
      <c r="DX61" s="141">
        <f>IF(DW82=0,0,1)*($P$61*(1+Assumptions!$H$69)^(DX11-1))</f>
        <v>0</v>
      </c>
      <c r="DY61" s="141">
        <f>IF(DX82=0,0,1)*($P$61*(1+Assumptions!$H$69)^(DY11-1))</f>
        <v>0</v>
      </c>
      <c r="DZ61" s="141">
        <f>IF(DY82=0,0,1)*($P$61*(1+Assumptions!$H$69)^(DZ11-1))</f>
        <v>0</v>
      </c>
      <c r="EA61" s="141">
        <f>IF(DZ82=0,0,1)*($P$61*(1+Assumptions!$H$69)^(EA11-1))</f>
        <v>0</v>
      </c>
      <c r="EB61" s="141">
        <f>IF(EA82=0,0,1)*($P$61*(1+Assumptions!$H$69)^(EB11-1))</f>
        <v>0</v>
      </c>
      <c r="EC61" s="141">
        <f>IF(EB82=0,0,1)*($P$61*(1+Assumptions!$H$69)^(EC11-1))</f>
        <v>0</v>
      </c>
      <c r="ED61" s="141">
        <f>IF(EC82=0,0,1)*($P$61*(1+Assumptions!$H$69)^(ED11-1))</f>
        <v>0</v>
      </c>
      <c r="EE61" s="141">
        <f>IF(ED82=0,0,1)*($P$61*(1+Assumptions!$H$69)^(EE11-1))</f>
        <v>0</v>
      </c>
      <c r="EF61" s="141">
        <f>IF(EE82=0,0,1)*($P$61*(1+Assumptions!$H$69)^(EF11-1))</f>
        <v>0</v>
      </c>
      <c r="EG61" s="141">
        <f>IF(EF82=0,0,1)*($P$61*(1+Assumptions!$H$69)^(EG11-1))</f>
        <v>0</v>
      </c>
      <c r="EH61" s="141">
        <f>IF(EG82=0,0,1)*($P$61*(1+Assumptions!$H$69)^(EH11-1))</f>
        <v>0</v>
      </c>
      <c r="EI61" s="141">
        <f>IF(EH82=0,0,1)*($P$61*(1+Assumptions!$H$69)^(EI11-1))</f>
        <v>0</v>
      </c>
      <c r="EJ61" s="141">
        <f>IF(EI82=0,0,1)*($P$61*(1+Assumptions!$H$69)^(EJ11-1))</f>
        <v>0</v>
      </c>
      <c r="EK61" s="141">
        <f>IF(EJ82=0,0,1)*($P$61*(1+Assumptions!$H$69)^(EK11-1))</f>
        <v>0</v>
      </c>
      <c r="EL61" s="141">
        <f>IF(EK82=0,0,1)*($P$61*(1+Assumptions!$H$69)^(EL11-1))</f>
        <v>0</v>
      </c>
      <c r="EM61" s="141">
        <f>IF(EL82=0,0,1)*($P$61*(1+Assumptions!$H$69)^(EM11-1))</f>
        <v>0</v>
      </c>
      <c r="EN61" s="141">
        <f>IF(EM82=0,0,1)*($P$61*(1+Assumptions!$H$69)^(EN11-1))</f>
        <v>0</v>
      </c>
      <c r="EO61" s="141">
        <f>IF(EN82=0,0,1)*($P$61*(1+Assumptions!$H$69)^(EO11-1))</f>
        <v>0</v>
      </c>
      <c r="EP61" s="141">
        <f>IF(EO82=0,0,1)*($P$61*(1+Assumptions!$H$69)^(EP11-1))</f>
        <v>0</v>
      </c>
      <c r="EQ61" s="141">
        <f>IF(EP82=0,0,1)*($P$61*(1+Assumptions!$H$69)^(EQ11-1))</f>
        <v>0</v>
      </c>
      <c r="ES61" s="421"/>
      <c r="ET61" s="63"/>
      <c r="EU61" s="98"/>
    </row>
    <row r="62" spans="7:151" ht="15.75">
      <c r="G62" s="145"/>
      <c r="H62" s="128" t="s">
        <v>112</v>
      </c>
      <c r="I62" s="504"/>
      <c r="J62" s="505"/>
      <c r="K62" s="130"/>
      <c r="L62" s="131"/>
      <c r="M62" s="131"/>
      <c r="N62" s="225">
        <f>'Annual Cash Flow'!C42</f>
        <v>0</v>
      </c>
      <c r="O62" s="787"/>
      <c r="P62" s="102">
        <f>-Assumptions!F55/12</f>
        <v>0</v>
      </c>
      <c r="Q62" s="141">
        <f ca="1">IF(P82=0,0,1)*($P$62*(1+Assumptions!$H$69)^(Q11-1))</f>
        <v>0</v>
      </c>
      <c r="R62" s="141">
        <f ca="1">IF(Q82=0,0,1)*($P$62*(1+Assumptions!$H$69)^(R11-1))</f>
        <v>0</v>
      </c>
      <c r="S62" s="141">
        <f ca="1">IF(R82=0,0,1)*($P$62*(1+Assumptions!$H$69)^(S11-1))</f>
        <v>0</v>
      </c>
      <c r="T62" s="141">
        <f ca="1">IF(S82=0,0,1)*($P$62*(1+Assumptions!$H$69)^(T11-1))</f>
        <v>0</v>
      </c>
      <c r="U62" s="141">
        <f ca="1">IF(T82=0,0,1)*($P$62*(1+Assumptions!$H$69)^(U11-1))</f>
        <v>0</v>
      </c>
      <c r="V62" s="141">
        <f ca="1">IF(U82=0,0,1)*($P$62*(1+Assumptions!$H$69)^(V11-1))</f>
        <v>0</v>
      </c>
      <c r="W62" s="141">
        <f ca="1">IF(V82=0,0,1)*($P$62*(1+Assumptions!$H$69)^(W11-1))</f>
        <v>0</v>
      </c>
      <c r="X62" s="141">
        <f ca="1">IF(W82=0,0,1)*($P$62*(1+Assumptions!$H$69)^(X11-1))</f>
        <v>0</v>
      </c>
      <c r="Y62" s="141">
        <f ca="1">IF(X82=0,0,1)*($P$62*(1+Assumptions!$H$69)^(Y11-1))</f>
        <v>0</v>
      </c>
      <c r="Z62" s="141">
        <f ca="1">IF(Y82=0,0,1)*($P$62*(1+Assumptions!$H$69)^(Z11-1))</f>
        <v>0</v>
      </c>
      <c r="AA62" s="141">
        <f ca="1">IF(Z82=0,0,1)*($P$62*(1+Assumptions!$H$69)^(AA11-1))</f>
        <v>0</v>
      </c>
      <c r="AB62" s="141">
        <f ca="1">IF(AA82=0,0,1)*($P$62*(1+Assumptions!$H$69)^(AB11-1))</f>
        <v>0</v>
      </c>
      <c r="AC62" s="141">
        <f ca="1">IF(AB82=0,0,1)*($P$62*(1+Assumptions!$H$69)^(AC11-1))</f>
        <v>0</v>
      </c>
      <c r="AD62" s="141">
        <f ca="1">IF(AC82=0,0,1)*($P$62*(1+Assumptions!$H$69)^(AD11-1))</f>
        <v>0</v>
      </c>
      <c r="AE62" s="141">
        <f ca="1">IF(AD82=0,0,1)*($P$62*(1+Assumptions!$H$69)^(AE11-1))</f>
        <v>0</v>
      </c>
      <c r="AF62" s="141">
        <f ca="1">IF(AE82=0,0,1)*($P$62*(1+Assumptions!$H$69)^(AF11-1))</f>
        <v>0</v>
      </c>
      <c r="AG62" s="141">
        <f ca="1">IF(AF82=0,0,1)*($P$62*(1+Assumptions!$H$69)^(AG11-1))</f>
        <v>0</v>
      </c>
      <c r="AH62" s="141">
        <f ca="1">IF(AG82=0,0,1)*($P$62*(1+Assumptions!$H$69)^(AH11-1))</f>
        <v>0</v>
      </c>
      <c r="AI62" s="141">
        <f ca="1">IF(AH82=0,0,1)*($P$62*(1+Assumptions!$H$69)^(AI11-1))</f>
        <v>0</v>
      </c>
      <c r="AJ62" s="141">
        <f ca="1">IF(AI82=0,0,1)*($P$62*(1+Assumptions!$H$69)^(AJ11-1))</f>
        <v>0</v>
      </c>
      <c r="AK62" s="141">
        <f ca="1">IF(AJ82=0,0,1)*($P$62*(1+Assumptions!$H$69)^(AK11-1))</f>
        <v>0</v>
      </c>
      <c r="AL62" s="141">
        <f ca="1">IF(AK82=0,0,1)*($P$62*(1+Assumptions!$H$69)^(AL11-1))</f>
        <v>0</v>
      </c>
      <c r="AM62" s="141">
        <f ca="1">IF(AL82=0,0,1)*($P$62*(1+Assumptions!$H$69)^(AM11-1))</f>
        <v>0</v>
      </c>
      <c r="AN62" s="141">
        <f ca="1">IF(AM82=0,0,1)*($P$62*(1+Assumptions!$H$69)^(AN11-1))</f>
        <v>0</v>
      </c>
      <c r="AO62" s="141">
        <f ca="1">IF(AN82=0,0,1)*($P$62*(1+Assumptions!$H$69)^(AO11-1))</f>
        <v>0</v>
      </c>
      <c r="AP62" s="141">
        <f ca="1">IF(AO82=0,0,1)*($P$62*(1+Assumptions!$H$69)^(AP11-1))</f>
        <v>0</v>
      </c>
      <c r="AQ62" s="141">
        <f ca="1">IF(AP82=0,0,1)*($P$62*(1+Assumptions!$H$69)^(AQ11-1))</f>
        <v>0</v>
      </c>
      <c r="AR62" s="141">
        <f ca="1">IF(AQ82=0,0,1)*($P$62*(1+Assumptions!$H$69)^(AR11-1))</f>
        <v>0</v>
      </c>
      <c r="AS62" s="141">
        <f ca="1">IF(AR82=0,0,1)*($P$62*(1+Assumptions!$H$69)^(AS11-1))</f>
        <v>0</v>
      </c>
      <c r="AT62" s="141">
        <f ca="1">IF(AS82=0,0,1)*($P$62*(1+Assumptions!$H$69)^(AT11-1))</f>
        <v>0</v>
      </c>
      <c r="AU62" s="141">
        <f ca="1">IF(AT82=0,0,1)*($P$62*(1+Assumptions!$H$69)^(AU11-1))</f>
        <v>0</v>
      </c>
      <c r="AV62" s="141">
        <f ca="1">IF(AU82=0,0,1)*($P$62*(1+Assumptions!$H$69)^(AV11-1))</f>
        <v>0</v>
      </c>
      <c r="AW62" s="141">
        <f ca="1">IF(AV82=0,0,1)*($P$62*(1+Assumptions!$H$69)^(AW11-1))</f>
        <v>0</v>
      </c>
      <c r="AX62" s="141">
        <f ca="1">IF(AW82=0,0,1)*($P$62*(1+Assumptions!$H$69)^(AX11-1))</f>
        <v>0</v>
      </c>
      <c r="AY62" s="141">
        <f ca="1">IF(AX82=0,0,1)*($P$62*(1+Assumptions!$H$69)^(AY11-1))</f>
        <v>0</v>
      </c>
      <c r="AZ62" s="141">
        <f ca="1">IF(AY82=0,0,1)*($P$62*(1+Assumptions!$H$69)^(AZ11-1))</f>
        <v>0</v>
      </c>
      <c r="BA62" s="141">
        <f ca="1">IF(AZ82=0,0,1)*($P$62*(1+Assumptions!$H$69)^(BA11-1))</f>
        <v>0</v>
      </c>
      <c r="BB62" s="141">
        <f ca="1">IF(BA82=0,0,1)*($P$62*(1+Assumptions!$H$69)^(BB11-1))</f>
        <v>0</v>
      </c>
      <c r="BC62" s="141">
        <f ca="1">IF(BB82=0,0,1)*($P$62*(1+Assumptions!$H$69)^(BC11-1))</f>
        <v>0</v>
      </c>
      <c r="BD62" s="141">
        <f ca="1">IF(BC82=0,0,1)*($P$62*(1+Assumptions!$H$69)^(BD11-1))</f>
        <v>0</v>
      </c>
      <c r="BE62" s="141">
        <f ca="1">IF(BD82=0,0,1)*($P$62*(1+Assumptions!$H$69)^(BE11-1))</f>
        <v>0</v>
      </c>
      <c r="BF62" s="141">
        <f ca="1">IF(BE82=0,0,1)*($P$62*(1+Assumptions!$H$69)^(BF11-1))</f>
        <v>0</v>
      </c>
      <c r="BG62" s="141">
        <f ca="1">IF(BF82=0,0,1)*($P$62*(1+Assumptions!$H$69)^(BG11-1))</f>
        <v>0</v>
      </c>
      <c r="BH62" s="141">
        <f ca="1">IF(BG82=0,0,1)*($P$62*(1+Assumptions!$H$69)^(BH11-1))</f>
        <v>0</v>
      </c>
      <c r="BI62" s="141">
        <f ca="1">IF(BH82=0,0,1)*($P$62*(1+Assumptions!$H$69)^(BI11-1))</f>
        <v>0</v>
      </c>
      <c r="BJ62" s="141">
        <f ca="1">IF(BI82=0,0,1)*($P$62*(1+Assumptions!$H$69)^(BJ11-1))</f>
        <v>0</v>
      </c>
      <c r="BK62" s="141">
        <f ca="1">IF(BJ82=0,0,1)*($P$62*(1+Assumptions!$H$69)^(BK11-1))</f>
        <v>0</v>
      </c>
      <c r="BL62" s="141">
        <f ca="1">IF(BK82=0,0,1)*($P$62*(1+Assumptions!$H$69)^(BL11-1))</f>
        <v>0</v>
      </c>
      <c r="BM62" s="141">
        <f ca="1">IF(BL82=0,0,1)*($P$62*(1+Assumptions!$H$69)^(BM11-1))</f>
        <v>0</v>
      </c>
      <c r="BN62" s="141">
        <f ca="1">IF(BM82=0,0,1)*($P$62*(1+Assumptions!$H$69)^(BN11-1))</f>
        <v>0</v>
      </c>
      <c r="BO62" s="141">
        <f ca="1">IF(BN82=0,0,1)*($P$62*(1+Assumptions!$H$69)^(BO11-1))</f>
        <v>0</v>
      </c>
      <c r="BP62" s="141">
        <f ca="1">IF(BO82=0,0,1)*($P$62*(1+Assumptions!$H$69)^(BP11-1))</f>
        <v>0</v>
      </c>
      <c r="BQ62" s="141">
        <f ca="1">IF(BP82=0,0,1)*($P$62*(1+Assumptions!$H$69)^(BQ11-1))</f>
        <v>0</v>
      </c>
      <c r="BR62" s="141">
        <f ca="1">IF(BQ82=0,0,1)*($P$62*(1+Assumptions!$H$69)^(BR11-1))</f>
        <v>0</v>
      </c>
      <c r="BS62" s="141">
        <f ca="1">IF(BR82=0,0,1)*($P$62*(1+Assumptions!$H$69)^(BS11-1))</f>
        <v>0</v>
      </c>
      <c r="BT62" s="141">
        <f ca="1">IF(BS82=0,0,1)*($P$62*(1+Assumptions!$H$69)^(BT11-1))</f>
        <v>0</v>
      </c>
      <c r="BU62" s="141">
        <f ca="1">IF(BT82=0,0,1)*($P$62*(1+Assumptions!$H$69)^(BU11-1))</f>
        <v>0</v>
      </c>
      <c r="BV62" s="141">
        <f ca="1">IF(BU82=0,0,1)*($P$62*(1+Assumptions!$H$69)^(BV11-1))</f>
        <v>0</v>
      </c>
      <c r="BW62" s="141">
        <f ca="1">IF(BV82=0,0,1)*($P$62*(1+Assumptions!$H$69)^(BW11-1))</f>
        <v>0</v>
      </c>
      <c r="BX62" s="141">
        <f ca="1">IF(BW82=0,0,1)*($P$62*(1+Assumptions!$H$69)^(BX11-1))</f>
        <v>0</v>
      </c>
      <c r="BY62" s="141">
        <f ca="1">IF(BX82=0,0,1)*($P$62*(1+Assumptions!$H$69)^(BY11-1))</f>
        <v>0</v>
      </c>
      <c r="BZ62" s="141">
        <f ca="1">IF(BY82=0,0,1)*($P$62*(1+Assumptions!$H$69)^(BZ11-1))</f>
        <v>0</v>
      </c>
      <c r="CA62" s="141">
        <f ca="1">IF(BZ82=0,0,1)*($P$62*(1+Assumptions!$H$69)^(CA11-1))</f>
        <v>0</v>
      </c>
      <c r="CB62" s="141">
        <f ca="1">IF(CA82=0,0,1)*($P$62*(1+Assumptions!$H$69)^(CB11-1))</f>
        <v>0</v>
      </c>
      <c r="CC62" s="141">
        <f ca="1">IF(CB82=0,0,1)*($P$62*(1+Assumptions!$H$69)^(CC11-1))</f>
        <v>0</v>
      </c>
      <c r="CD62" s="141">
        <f ca="1">IF(CC82=0,0,1)*($P$62*(1+Assumptions!$H$69)^(CD11-1))</f>
        <v>0</v>
      </c>
      <c r="CE62" s="141">
        <f ca="1">IF(CD82=0,0,1)*($P$62*(1+Assumptions!$H$69)^(CE11-1))</f>
        <v>0</v>
      </c>
      <c r="CF62" s="141">
        <f ca="1">IF(CE82=0,0,1)*($P$62*(1+Assumptions!$H$69)^(CF11-1))</f>
        <v>0</v>
      </c>
      <c r="CG62" s="141">
        <f ca="1">IF(CF82=0,0,1)*($P$62*(1+Assumptions!$H$69)^(CG11-1))</f>
        <v>0</v>
      </c>
      <c r="CH62" s="141">
        <f ca="1">IF(CG82=0,0,1)*($P$62*(1+Assumptions!$H$69)^(CH11-1))</f>
        <v>0</v>
      </c>
      <c r="CI62" s="141">
        <f ca="1">IF(CH82=0,0,1)*($P$62*(1+Assumptions!$H$69)^(CI11-1))</f>
        <v>0</v>
      </c>
      <c r="CJ62" s="141">
        <f ca="1">IF(CI82=0,0,1)*($P$62*(1+Assumptions!$H$69)^(CJ11-1))</f>
        <v>0</v>
      </c>
      <c r="CK62" s="141">
        <f ca="1">IF(CJ82=0,0,1)*($P$62*(1+Assumptions!$H$69)^(CK11-1))</f>
        <v>0</v>
      </c>
      <c r="CL62" s="141">
        <f ca="1">IF(CK82=0,0,1)*($P$62*(1+Assumptions!$H$69)^(CL11-1))</f>
        <v>0</v>
      </c>
      <c r="CM62" s="141">
        <f ca="1">IF(CL82=0,0,1)*($P$62*(1+Assumptions!$H$69)^(CM11-1))</f>
        <v>0</v>
      </c>
      <c r="CN62" s="141">
        <f ca="1">IF(CM82=0,0,1)*($P$62*(1+Assumptions!$H$69)^(CN11-1))</f>
        <v>0</v>
      </c>
      <c r="CO62" s="141">
        <f ca="1">IF(CN82=0,0,1)*($P$62*(1+Assumptions!$H$69)^(CO11-1))</f>
        <v>0</v>
      </c>
      <c r="CP62" s="141">
        <f ca="1">IF(CO82=0,0,1)*($P$62*(1+Assumptions!$H$69)^(CP11-1))</f>
        <v>0</v>
      </c>
      <c r="CQ62" s="141">
        <f ca="1">IF(CP82=0,0,1)*($P$62*(1+Assumptions!$H$69)^(CQ11-1))</f>
        <v>0</v>
      </c>
      <c r="CR62" s="141">
        <f ca="1">IF(CQ82=0,0,1)*($P$62*(1+Assumptions!$H$69)^(CR11-1))</f>
        <v>0</v>
      </c>
      <c r="CS62" s="141">
        <f ca="1">IF(CR82=0,0,1)*($P$62*(1+Assumptions!$H$69)^(CS11-1))</f>
        <v>0</v>
      </c>
      <c r="CT62" s="141">
        <f ca="1">IF(CS82=0,0,1)*($P$62*(1+Assumptions!$H$69)^(CT11-1))</f>
        <v>0</v>
      </c>
      <c r="CU62" s="141">
        <f ca="1">IF(CT82=0,0,1)*($P$62*(1+Assumptions!$H$69)^(CU11-1))</f>
        <v>0</v>
      </c>
      <c r="CV62" s="141">
        <f ca="1">IF(CU82=0,0,1)*($P$62*(1+Assumptions!$H$69)^(CV11-1))</f>
        <v>0</v>
      </c>
      <c r="CW62" s="141">
        <f ca="1">IF(CV82=0,0,1)*($P$62*(1+Assumptions!$H$69)^(CW11-1))</f>
        <v>0</v>
      </c>
      <c r="CX62" s="141">
        <f ca="1">IF(CW82=0,0,1)*($P$62*(1+Assumptions!$H$69)^(CX11-1))</f>
        <v>0</v>
      </c>
      <c r="CY62" s="141">
        <f ca="1">IF(CX82=0,0,1)*($P$62*(1+Assumptions!$H$69)^(CY11-1))</f>
        <v>0</v>
      </c>
      <c r="CZ62" s="141">
        <f ca="1">IF(CY82=0,0,1)*($P$62*(1+Assumptions!$H$69)^(CZ11-1))</f>
        <v>0</v>
      </c>
      <c r="DA62" s="141">
        <f ca="1">IF(CZ82=0,0,1)*($P$62*(1+Assumptions!$H$69)^(DA11-1))</f>
        <v>0</v>
      </c>
      <c r="DB62" s="141">
        <f ca="1">IF(DA82=0,0,1)*($P$62*(1+Assumptions!$H$69)^(DB11-1))</f>
        <v>0</v>
      </c>
      <c r="DC62" s="141">
        <f ca="1">IF(DB82=0,0,1)*($P$62*(1+Assumptions!$H$69)^(DC11-1))</f>
        <v>0</v>
      </c>
      <c r="DD62" s="141">
        <f ca="1">IF(DC82=0,0,1)*($P$62*(1+Assumptions!$H$69)^(DD11-1))</f>
        <v>0</v>
      </c>
      <c r="DE62" s="141">
        <f ca="1">IF(DD82=0,0,1)*($P$62*(1+Assumptions!$H$69)^(DE11-1))</f>
        <v>0</v>
      </c>
      <c r="DF62" s="141">
        <f ca="1">IF(DE82=0,0,1)*($P$62*(1+Assumptions!$H$69)^(DF11-1))</f>
        <v>0</v>
      </c>
      <c r="DG62" s="141">
        <f ca="1">IF(DF82=0,0,1)*($P$62*(1+Assumptions!$H$69)^(DG11-1))</f>
        <v>0</v>
      </c>
      <c r="DH62" s="141">
        <f ca="1">IF(DG82=0,0,1)*($P$62*(1+Assumptions!$H$69)^(DH11-1))</f>
        <v>0</v>
      </c>
      <c r="DI62" s="141">
        <f ca="1">IF(DH82=0,0,1)*($P$62*(1+Assumptions!$H$69)^(DI11-1))</f>
        <v>0</v>
      </c>
      <c r="DJ62" s="141">
        <f>IF(DI82=0,0,1)*($P$62*(1+Assumptions!$H$69)^(DJ11-1))</f>
        <v>0</v>
      </c>
      <c r="DK62" s="141">
        <f>IF(DJ82=0,0,1)*($P$62*(1+Assumptions!$H$69)^(DK11-1))</f>
        <v>0</v>
      </c>
      <c r="DL62" s="141">
        <f>IF(DK82=0,0,1)*($P$62*(1+Assumptions!$H$69)^(DL11-1))</f>
        <v>0</v>
      </c>
      <c r="DM62" s="141">
        <f>IF(DL82=0,0,1)*($P$62*(1+Assumptions!$H$69)^(DM11-1))</f>
        <v>0</v>
      </c>
      <c r="DN62" s="141">
        <f>IF(DM82=0,0,1)*($P$62*(1+Assumptions!$H$69)^(DN11-1))</f>
        <v>0</v>
      </c>
      <c r="DO62" s="141">
        <f>IF(DN82=0,0,1)*($P$62*(1+Assumptions!$H$69)^(DO11-1))</f>
        <v>0</v>
      </c>
      <c r="DP62" s="141">
        <f>IF(DO82=0,0,1)*($P$62*(1+Assumptions!$H$69)^(DP11-1))</f>
        <v>0</v>
      </c>
      <c r="DQ62" s="141">
        <f>IF(DP82=0,0,1)*($P$62*(1+Assumptions!$H$69)^(DQ11-1))</f>
        <v>0</v>
      </c>
      <c r="DR62" s="141">
        <f>IF(DQ82=0,0,1)*($P$62*(1+Assumptions!$H$69)^(DR11-1))</f>
        <v>0</v>
      </c>
      <c r="DS62" s="141">
        <f>IF(DR82=0,0,1)*($P$62*(1+Assumptions!$H$69)^(DS11-1))</f>
        <v>0</v>
      </c>
      <c r="DT62" s="141">
        <f>IF(DS82=0,0,1)*($P$62*(1+Assumptions!$H$69)^(DT11-1))</f>
        <v>0</v>
      </c>
      <c r="DU62" s="141">
        <f>IF(DT82=0,0,1)*($P$62*(1+Assumptions!$H$69)^(DU11-1))</f>
        <v>0</v>
      </c>
      <c r="DV62" s="141">
        <f>IF(DU82=0,0,1)*($P$62*(1+Assumptions!$H$69)^(DV11-1))</f>
        <v>0</v>
      </c>
      <c r="DW62" s="141">
        <f>IF(DV82=0,0,1)*($P$62*(1+Assumptions!$H$69)^(DW11-1))</f>
        <v>0</v>
      </c>
      <c r="DX62" s="141">
        <f>IF(DW82=0,0,1)*($P$62*(1+Assumptions!$H$69)^(DX11-1))</f>
        <v>0</v>
      </c>
      <c r="DY62" s="141">
        <f>IF(DX82=0,0,1)*($P$62*(1+Assumptions!$H$69)^(DY11-1))</f>
        <v>0</v>
      </c>
      <c r="DZ62" s="141">
        <f>IF(DY82=0,0,1)*($P$62*(1+Assumptions!$H$69)^(DZ11-1))</f>
        <v>0</v>
      </c>
      <c r="EA62" s="141">
        <f>IF(DZ82=0,0,1)*($P$62*(1+Assumptions!$H$69)^(EA11-1))</f>
        <v>0</v>
      </c>
      <c r="EB62" s="141">
        <f>IF(EA82=0,0,1)*($P$62*(1+Assumptions!$H$69)^(EB11-1))</f>
        <v>0</v>
      </c>
      <c r="EC62" s="141">
        <f>IF(EB82=0,0,1)*($P$62*(1+Assumptions!$H$69)^(EC11-1))</f>
        <v>0</v>
      </c>
      <c r="ED62" s="141">
        <f>IF(EC82=0,0,1)*($P$62*(1+Assumptions!$H$69)^(ED11-1))</f>
        <v>0</v>
      </c>
      <c r="EE62" s="141">
        <f>IF(ED82=0,0,1)*($P$62*(1+Assumptions!$H$69)^(EE11-1))</f>
        <v>0</v>
      </c>
      <c r="EF62" s="141">
        <f>IF(EE82=0,0,1)*($P$62*(1+Assumptions!$H$69)^(EF11-1))</f>
        <v>0</v>
      </c>
      <c r="EG62" s="141">
        <f>IF(EF82=0,0,1)*($P$62*(1+Assumptions!$H$69)^(EG11-1))</f>
        <v>0</v>
      </c>
      <c r="EH62" s="141">
        <f>IF(EG82=0,0,1)*($P$62*(1+Assumptions!$H$69)^(EH11-1))</f>
        <v>0</v>
      </c>
      <c r="EI62" s="141">
        <f>IF(EH82=0,0,1)*($P$62*(1+Assumptions!$H$69)^(EI11-1))</f>
        <v>0</v>
      </c>
      <c r="EJ62" s="141">
        <f>IF(EI82=0,0,1)*($P$62*(1+Assumptions!$H$69)^(EJ11-1))</f>
        <v>0</v>
      </c>
      <c r="EK62" s="141">
        <f>IF(EJ82=0,0,1)*($P$62*(1+Assumptions!$H$69)^(EK11-1))</f>
        <v>0</v>
      </c>
      <c r="EL62" s="141">
        <f>IF(EK82=0,0,1)*($P$62*(1+Assumptions!$H$69)^(EL11-1))</f>
        <v>0</v>
      </c>
      <c r="EM62" s="141">
        <f>IF(EL82=0,0,1)*($P$62*(1+Assumptions!$H$69)^(EM11-1))</f>
        <v>0</v>
      </c>
      <c r="EN62" s="141">
        <f>IF(EM82=0,0,1)*($P$62*(1+Assumptions!$H$69)^(EN11-1))</f>
        <v>0</v>
      </c>
      <c r="EO62" s="141">
        <f>IF(EN82=0,0,1)*($P$62*(1+Assumptions!$H$69)^(EO11-1))</f>
        <v>0</v>
      </c>
      <c r="EP62" s="141">
        <f>IF(EO82=0,0,1)*($P$62*(1+Assumptions!$H$69)^(EP11-1))</f>
        <v>0</v>
      </c>
      <c r="EQ62" s="141">
        <f>IF(EP82=0,0,1)*($P$62*(1+Assumptions!$H$69)^(EQ11-1))</f>
        <v>0</v>
      </c>
      <c r="ES62" s="421"/>
      <c r="ET62" s="63"/>
      <c r="EU62" s="98"/>
    </row>
    <row r="63" spans="7:151" ht="15.75">
      <c r="G63" s="145"/>
      <c r="H63" s="128" t="s">
        <v>108</v>
      </c>
      <c r="I63" s="504"/>
      <c r="J63" s="505"/>
      <c r="K63" s="130"/>
      <c r="L63" s="131"/>
      <c r="M63" s="131"/>
      <c r="N63" s="225">
        <f>'Annual Cash Flow'!C43</f>
        <v>0</v>
      </c>
      <c r="O63" s="787"/>
      <c r="P63" s="102">
        <f>-Assumptions!F56/12</f>
        <v>0</v>
      </c>
      <c r="Q63" s="141">
        <f ca="1">IF(P82=0,0,1)*($P$63*(1+Assumptions!$H$69)^(Q11-1))</f>
        <v>0</v>
      </c>
      <c r="R63" s="141">
        <f ca="1">IF(Q82=0,0,1)*($P$63*(1+Assumptions!$H$69)^(R11-1))</f>
        <v>0</v>
      </c>
      <c r="S63" s="141">
        <f ca="1">IF(R82=0,0,1)*($P$63*(1+Assumptions!$H$69)^(S11-1))</f>
        <v>0</v>
      </c>
      <c r="T63" s="141">
        <f ca="1">IF(S82=0,0,1)*($P$63*(1+Assumptions!$H$69)^(T11-1))</f>
        <v>0</v>
      </c>
      <c r="U63" s="141">
        <f ca="1">IF(T82=0,0,1)*($P$63*(1+Assumptions!$H$69)^(U11-1))</f>
        <v>0</v>
      </c>
      <c r="V63" s="141">
        <f ca="1">IF(U82=0,0,1)*($P$63*(1+Assumptions!$H$69)^(V11-1))</f>
        <v>0</v>
      </c>
      <c r="W63" s="141">
        <f ca="1">IF(V82=0,0,1)*($P$63*(1+Assumptions!$H$69)^(W11-1))</f>
        <v>0</v>
      </c>
      <c r="X63" s="141">
        <f ca="1">IF(W82=0,0,1)*($P$63*(1+Assumptions!$H$69)^(X11-1))</f>
        <v>0</v>
      </c>
      <c r="Y63" s="141">
        <f ca="1">IF(X82=0,0,1)*($P$63*(1+Assumptions!$H$69)^(Y11-1))</f>
        <v>0</v>
      </c>
      <c r="Z63" s="141">
        <f ca="1">IF(Y82=0,0,1)*($P$63*(1+Assumptions!$H$69)^(Z11-1))</f>
        <v>0</v>
      </c>
      <c r="AA63" s="141">
        <f ca="1">IF(Z82=0,0,1)*($P$63*(1+Assumptions!$H$69)^(AA11-1))</f>
        <v>0</v>
      </c>
      <c r="AB63" s="141">
        <f ca="1">IF(AA82=0,0,1)*($P$63*(1+Assumptions!$H$69)^(AB11-1))</f>
        <v>0</v>
      </c>
      <c r="AC63" s="141">
        <f ca="1">IF(AB82=0,0,1)*($P$63*(1+Assumptions!$H$69)^(AC11-1))</f>
        <v>0</v>
      </c>
      <c r="AD63" s="141">
        <f ca="1">IF(AC82=0,0,1)*($P$63*(1+Assumptions!$H$69)^(AD11-1))</f>
        <v>0</v>
      </c>
      <c r="AE63" s="141">
        <f ca="1">IF(AD82=0,0,1)*($P$63*(1+Assumptions!$H$69)^(AE11-1))</f>
        <v>0</v>
      </c>
      <c r="AF63" s="141">
        <f ca="1">IF(AE82=0,0,1)*($P$63*(1+Assumptions!$H$69)^(AF11-1))</f>
        <v>0</v>
      </c>
      <c r="AG63" s="141">
        <f ca="1">IF(AF82=0,0,1)*($P$63*(1+Assumptions!$H$69)^(AG11-1))</f>
        <v>0</v>
      </c>
      <c r="AH63" s="141">
        <f ca="1">IF(AG82=0,0,1)*($P$63*(1+Assumptions!$H$69)^(AH11-1))</f>
        <v>0</v>
      </c>
      <c r="AI63" s="141">
        <f ca="1">IF(AH82=0,0,1)*($P$63*(1+Assumptions!$H$69)^(AI11-1))</f>
        <v>0</v>
      </c>
      <c r="AJ63" s="141">
        <f ca="1">IF(AI82=0,0,1)*($P$63*(1+Assumptions!$H$69)^(AJ11-1))</f>
        <v>0</v>
      </c>
      <c r="AK63" s="141">
        <f ca="1">IF(AJ82=0,0,1)*($P$63*(1+Assumptions!$H$69)^(AK11-1))</f>
        <v>0</v>
      </c>
      <c r="AL63" s="141">
        <f ca="1">IF(AK82=0,0,1)*($P$63*(1+Assumptions!$H$69)^(AL11-1))</f>
        <v>0</v>
      </c>
      <c r="AM63" s="141">
        <f ca="1">IF(AL82=0,0,1)*($P$63*(1+Assumptions!$H$69)^(AM11-1))</f>
        <v>0</v>
      </c>
      <c r="AN63" s="141">
        <f ca="1">IF(AM82=0,0,1)*($P$63*(1+Assumptions!$H$69)^(AN11-1))</f>
        <v>0</v>
      </c>
      <c r="AO63" s="141">
        <f ca="1">IF(AN82=0,0,1)*($P$63*(1+Assumptions!$H$69)^(AO11-1))</f>
        <v>0</v>
      </c>
      <c r="AP63" s="141">
        <f ca="1">IF(AO82=0,0,1)*($P$63*(1+Assumptions!$H$69)^(AP11-1))</f>
        <v>0</v>
      </c>
      <c r="AQ63" s="141">
        <f ca="1">IF(AP82=0,0,1)*($P$63*(1+Assumptions!$H$69)^(AQ11-1))</f>
        <v>0</v>
      </c>
      <c r="AR63" s="141">
        <f ca="1">IF(AQ82=0,0,1)*($P$63*(1+Assumptions!$H$69)^(AR11-1))</f>
        <v>0</v>
      </c>
      <c r="AS63" s="141">
        <f ca="1">IF(AR82=0,0,1)*($P$63*(1+Assumptions!$H$69)^(AS11-1))</f>
        <v>0</v>
      </c>
      <c r="AT63" s="141">
        <f ca="1">IF(AS82=0,0,1)*($P$63*(1+Assumptions!$H$69)^(AT11-1))</f>
        <v>0</v>
      </c>
      <c r="AU63" s="141">
        <f ca="1">IF(AT82=0,0,1)*($P$63*(1+Assumptions!$H$69)^(AU11-1))</f>
        <v>0</v>
      </c>
      <c r="AV63" s="141">
        <f ca="1">IF(AU82=0,0,1)*($P$63*(1+Assumptions!$H$69)^(AV11-1))</f>
        <v>0</v>
      </c>
      <c r="AW63" s="141">
        <f ca="1">IF(AV82=0,0,1)*($P$63*(1+Assumptions!$H$69)^(AW11-1))</f>
        <v>0</v>
      </c>
      <c r="AX63" s="141">
        <f ca="1">IF(AW82=0,0,1)*($P$63*(1+Assumptions!$H$69)^(AX11-1))</f>
        <v>0</v>
      </c>
      <c r="AY63" s="141">
        <f ca="1">IF(AX82=0,0,1)*($P$63*(1+Assumptions!$H$69)^(AY11-1))</f>
        <v>0</v>
      </c>
      <c r="AZ63" s="141">
        <f ca="1">IF(AY82=0,0,1)*($P$63*(1+Assumptions!$H$69)^(AZ11-1))</f>
        <v>0</v>
      </c>
      <c r="BA63" s="141">
        <f ca="1">IF(AZ82=0,0,1)*($P$63*(1+Assumptions!$H$69)^(BA11-1))</f>
        <v>0</v>
      </c>
      <c r="BB63" s="141">
        <f ca="1">IF(BA82=0,0,1)*($P$63*(1+Assumptions!$H$69)^(BB11-1))</f>
        <v>0</v>
      </c>
      <c r="BC63" s="141">
        <f ca="1">IF(BB82=0,0,1)*($P$63*(1+Assumptions!$H$69)^(BC11-1))</f>
        <v>0</v>
      </c>
      <c r="BD63" s="141">
        <f ca="1">IF(BC82=0,0,1)*($P$63*(1+Assumptions!$H$69)^(BD11-1))</f>
        <v>0</v>
      </c>
      <c r="BE63" s="141">
        <f ca="1">IF(BD82=0,0,1)*($P$63*(1+Assumptions!$H$69)^(BE11-1))</f>
        <v>0</v>
      </c>
      <c r="BF63" s="141">
        <f ca="1">IF(BE82=0,0,1)*($P$63*(1+Assumptions!$H$69)^(BF11-1))</f>
        <v>0</v>
      </c>
      <c r="BG63" s="141">
        <f ca="1">IF(BF82=0,0,1)*($P$63*(1+Assumptions!$H$69)^(BG11-1))</f>
        <v>0</v>
      </c>
      <c r="BH63" s="141">
        <f ca="1">IF(BG82=0,0,1)*($P$63*(1+Assumptions!$H$69)^(BH11-1))</f>
        <v>0</v>
      </c>
      <c r="BI63" s="141">
        <f ca="1">IF(BH82=0,0,1)*($P$63*(1+Assumptions!$H$69)^(BI11-1))</f>
        <v>0</v>
      </c>
      <c r="BJ63" s="141">
        <f ca="1">IF(BI82=0,0,1)*($P$63*(1+Assumptions!$H$69)^(BJ11-1))</f>
        <v>0</v>
      </c>
      <c r="BK63" s="141">
        <f ca="1">IF(BJ82=0,0,1)*($P$63*(1+Assumptions!$H$69)^(BK11-1))</f>
        <v>0</v>
      </c>
      <c r="BL63" s="141">
        <f ca="1">IF(BK82=0,0,1)*($P$63*(1+Assumptions!$H$69)^(BL11-1))</f>
        <v>0</v>
      </c>
      <c r="BM63" s="141">
        <f ca="1">IF(BL82=0,0,1)*($P$63*(1+Assumptions!$H$69)^(BM11-1))</f>
        <v>0</v>
      </c>
      <c r="BN63" s="141">
        <f ca="1">IF(BM82=0,0,1)*($P$63*(1+Assumptions!$H$69)^(BN11-1))</f>
        <v>0</v>
      </c>
      <c r="BO63" s="141">
        <f ca="1">IF(BN82=0,0,1)*($P$63*(1+Assumptions!$H$69)^(BO11-1))</f>
        <v>0</v>
      </c>
      <c r="BP63" s="141">
        <f ca="1">IF(BO82=0,0,1)*($P$63*(1+Assumptions!$H$69)^(BP11-1))</f>
        <v>0</v>
      </c>
      <c r="BQ63" s="141">
        <f ca="1">IF(BP82=0,0,1)*($P$63*(1+Assumptions!$H$69)^(BQ11-1))</f>
        <v>0</v>
      </c>
      <c r="BR63" s="141">
        <f ca="1">IF(BQ82=0,0,1)*($P$63*(1+Assumptions!$H$69)^(BR11-1))</f>
        <v>0</v>
      </c>
      <c r="BS63" s="141">
        <f ca="1">IF(BR82=0,0,1)*($P$63*(1+Assumptions!$H$69)^(BS11-1))</f>
        <v>0</v>
      </c>
      <c r="BT63" s="141">
        <f ca="1">IF(BS82=0,0,1)*($P$63*(1+Assumptions!$H$69)^(BT11-1))</f>
        <v>0</v>
      </c>
      <c r="BU63" s="141">
        <f ca="1">IF(BT82=0,0,1)*($P$63*(1+Assumptions!$H$69)^(BU11-1))</f>
        <v>0</v>
      </c>
      <c r="BV63" s="141">
        <f ca="1">IF(BU82=0,0,1)*($P$63*(1+Assumptions!$H$69)^(BV11-1))</f>
        <v>0</v>
      </c>
      <c r="BW63" s="141">
        <f ca="1">IF(BV82=0,0,1)*($P$63*(1+Assumptions!$H$69)^(BW11-1))</f>
        <v>0</v>
      </c>
      <c r="BX63" s="141">
        <f ca="1">IF(BW82=0,0,1)*($P$63*(1+Assumptions!$H$69)^(BX11-1))</f>
        <v>0</v>
      </c>
      <c r="BY63" s="141">
        <f ca="1">IF(BX82=0,0,1)*($P$63*(1+Assumptions!$H$69)^(BY11-1))</f>
        <v>0</v>
      </c>
      <c r="BZ63" s="141">
        <f ca="1">IF(BY82=0,0,1)*($P$63*(1+Assumptions!$H$69)^(BZ11-1))</f>
        <v>0</v>
      </c>
      <c r="CA63" s="141">
        <f ca="1">IF(BZ82=0,0,1)*($P$63*(1+Assumptions!$H$69)^(CA11-1))</f>
        <v>0</v>
      </c>
      <c r="CB63" s="141">
        <f ca="1">IF(CA82=0,0,1)*($P$63*(1+Assumptions!$H$69)^(CB11-1))</f>
        <v>0</v>
      </c>
      <c r="CC63" s="141">
        <f ca="1">IF(CB82=0,0,1)*($P$63*(1+Assumptions!$H$69)^(CC11-1))</f>
        <v>0</v>
      </c>
      <c r="CD63" s="141">
        <f ca="1">IF(CC82=0,0,1)*($P$63*(1+Assumptions!$H$69)^(CD11-1))</f>
        <v>0</v>
      </c>
      <c r="CE63" s="141">
        <f ca="1">IF(CD82=0,0,1)*($P$63*(1+Assumptions!$H$69)^(CE11-1))</f>
        <v>0</v>
      </c>
      <c r="CF63" s="141">
        <f ca="1">IF(CE82=0,0,1)*($P$63*(1+Assumptions!$H$69)^(CF11-1))</f>
        <v>0</v>
      </c>
      <c r="CG63" s="141">
        <f ca="1">IF(CF82=0,0,1)*($P$63*(1+Assumptions!$H$69)^(CG11-1))</f>
        <v>0</v>
      </c>
      <c r="CH63" s="141">
        <f ca="1">IF(CG82=0,0,1)*($P$63*(1+Assumptions!$H$69)^(CH11-1))</f>
        <v>0</v>
      </c>
      <c r="CI63" s="141">
        <f ca="1">IF(CH82=0,0,1)*($P$63*(1+Assumptions!$H$69)^(CI11-1))</f>
        <v>0</v>
      </c>
      <c r="CJ63" s="141">
        <f ca="1">IF(CI82=0,0,1)*($P$63*(1+Assumptions!$H$69)^(CJ11-1))</f>
        <v>0</v>
      </c>
      <c r="CK63" s="141">
        <f ca="1">IF(CJ82=0,0,1)*($P$63*(1+Assumptions!$H$69)^(CK11-1))</f>
        <v>0</v>
      </c>
      <c r="CL63" s="141">
        <f ca="1">IF(CK82=0,0,1)*($P$63*(1+Assumptions!$H$69)^(CL11-1))</f>
        <v>0</v>
      </c>
      <c r="CM63" s="141">
        <f ca="1">IF(CL82=0,0,1)*($P$63*(1+Assumptions!$H$69)^(CM11-1))</f>
        <v>0</v>
      </c>
      <c r="CN63" s="141">
        <f ca="1">IF(CM82=0,0,1)*($P$63*(1+Assumptions!$H$69)^(CN11-1))</f>
        <v>0</v>
      </c>
      <c r="CO63" s="141">
        <f ca="1">IF(CN82=0,0,1)*($P$63*(1+Assumptions!$H$69)^(CO11-1))</f>
        <v>0</v>
      </c>
      <c r="CP63" s="141">
        <f ca="1">IF(CO82=0,0,1)*($P$63*(1+Assumptions!$H$69)^(CP11-1))</f>
        <v>0</v>
      </c>
      <c r="CQ63" s="141">
        <f ca="1">IF(CP82=0,0,1)*($P$63*(1+Assumptions!$H$69)^(CQ11-1))</f>
        <v>0</v>
      </c>
      <c r="CR63" s="141">
        <f ca="1">IF(CQ82=0,0,1)*($P$63*(1+Assumptions!$H$69)^(CR11-1))</f>
        <v>0</v>
      </c>
      <c r="CS63" s="141">
        <f ca="1">IF(CR82=0,0,1)*($P$63*(1+Assumptions!$H$69)^(CS11-1))</f>
        <v>0</v>
      </c>
      <c r="CT63" s="141">
        <f ca="1">IF(CS82=0,0,1)*($P$63*(1+Assumptions!$H$69)^(CT11-1))</f>
        <v>0</v>
      </c>
      <c r="CU63" s="141">
        <f ca="1">IF(CT82=0,0,1)*($P$63*(1+Assumptions!$H$69)^(CU11-1))</f>
        <v>0</v>
      </c>
      <c r="CV63" s="141">
        <f ca="1">IF(CU82=0,0,1)*($P$63*(1+Assumptions!$H$69)^(CV11-1))</f>
        <v>0</v>
      </c>
      <c r="CW63" s="141">
        <f ca="1">IF(CV82=0,0,1)*($P$63*(1+Assumptions!$H$69)^(CW11-1))</f>
        <v>0</v>
      </c>
      <c r="CX63" s="141">
        <f ca="1">IF(CW82=0,0,1)*($P$63*(1+Assumptions!$H$69)^(CX11-1))</f>
        <v>0</v>
      </c>
      <c r="CY63" s="141">
        <f ca="1">IF(CX82=0,0,1)*($P$63*(1+Assumptions!$H$69)^(CY11-1))</f>
        <v>0</v>
      </c>
      <c r="CZ63" s="141">
        <f ca="1">IF(CY82=0,0,1)*($P$63*(1+Assumptions!$H$69)^(CZ11-1))</f>
        <v>0</v>
      </c>
      <c r="DA63" s="141">
        <f ca="1">IF(CZ82=0,0,1)*($P$63*(1+Assumptions!$H$69)^(DA11-1))</f>
        <v>0</v>
      </c>
      <c r="DB63" s="141">
        <f ca="1">IF(DA82=0,0,1)*($P$63*(1+Assumptions!$H$69)^(DB11-1))</f>
        <v>0</v>
      </c>
      <c r="DC63" s="141">
        <f ca="1">IF(DB82=0,0,1)*($P$63*(1+Assumptions!$H$69)^(DC11-1))</f>
        <v>0</v>
      </c>
      <c r="DD63" s="141">
        <f ca="1">IF(DC82=0,0,1)*($P$63*(1+Assumptions!$H$69)^(DD11-1))</f>
        <v>0</v>
      </c>
      <c r="DE63" s="141">
        <f ca="1">IF(DD82=0,0,1)*($P$63*(1+Assumptions!$H$69)^(DE11-1))</f>
        <v>0</v>
      </c>
      <c r="DF63" s="141">
        <f ca="1">IF(DE82=0,0,1)*($P$63*(1+Assumptions!$H$69)^(DF11-1))</f>
        <v>0</v>
      </c>
      <c r="DG63" s="141">
        <f ca="1">IF(DF82=0,0,1)*($P$63*(1+Assumptions!$H$69)^(DG11-1))</f>
        <v>0</v>
      </c>
      <c r="DH63" s="141">
        <f ca="1">IF(DG82=0,0,1)*($P$63*(1+Assumptions!$H$69)^(DH11-1))</f>
        <v>0</v>
      </c>
      <c r="DI63" s="141">
        <f ca="1">IF(DH82=0,0,1)*($P$63*(1+Assumptions!$H$69)^(DI11-1))</f>
        <v>0</v>
      </c>
      <c r="DJ63" s="141">
        <f>IF(DI82=0,0,1)*($P$63*(1+Assumptions!$H$69)^(DJ11-1))</f>
        <v>0</v>
      </c>
      <c r="DK63" s="141">
        <f>IF(DJ82=0,0,1)*($P$63*(1+Assumptions!$H$69)^(DK11-1))</f>
        <v>0</v>
      </c>
      <c r="DL63" s="141">
        <f>IF(DK82=0,0,1)*($P$63*(1+Assumptions!$H$69)^(DL11-1))</f>
        <v>0</v>
      </c>
      <c r="DM63" s="141">
        <f>IF(DL82=0,0,1)*($P$63*(1+Assumptions!$H$69)^(DM11-1))</f>
        <v>0</v>
      </c>
      <c r="DN63" s="141">
        <f>IF(DM82=0,0,1)*($P$63*(1+Assumptions!$H$69)^(DN11-1))</f>
        <v>0</v>
      </c>
      <c r="DO63" s="141">
        <f>IF(DN82=0,0,1)*($P$63*(1+Assumptions!$H$69)^(DO11-1))</f>
        <v>0</v>
      </c>
      <c r="DP63" s="141">
        <f>IF(DO82=0,0,1)*($P$63*(1+Assumptions!$H$69)^(DP11-1))</f>
        <v>0</v>
      </c>
      <c r="DQ63" s="141">
        <f>IF(DP82=0,0,1)*($P$63*(1+Assumptions!$H$69)^(DQ11-1))</f>
        <v>0</v>
      </c>
      <c r="DR63" s="141">
        <f>IF(DQ82=0,0,1)*($P$63*(1+Assumptions!$H$69)^(DR11-1))</f>
        <v>0</v>
      </c>
      <c r="DS63" s="141">
        <f>IF(DR82=0,0,1)*($P$63*(1+Assumptions!$H$69)^(DS11-1))</f>
        <v>0</v>
      </c>
      <c r="DT63" s="141">
        <f>IF(DS82=0,0,1)*($P$63*(1+Assumptions!$H$69)^(DT11-1))</f>
        <v>0</v>
      </c>
      <c r="DU63" s="141">
        <f>IF(DT82=0,0,1)*($P$63*(1+Assumptions!$H$69)^(DU11-1))</f>
        <v>0</v>
      </c>
      <c r="DV63" s="141">
        <f>IF(DU82=0,0,1)*($P$63*(1+Assumptions!$H$69)^(DV11-1))</f>
        <v>0</v>
      </c>
      <c r="DW63" s="141">
        <f>IF(DV82=0,0,1)*($P$63*(1+Assumptions!$H$69)^(DW11-1))</f>
        <v>0</v>
      </c>
      <c r="DX63" s="141">
        <f>IF(DW82=0,0,1)*($P$63*(1+Assumptions!$H$69)^(DX11-1))</f>
        <v>0</v>
      </c>
      <c r="DY63" s="141">
        <f>IF(DX82=0,0,1)*($P$63*(1+Assumptions!$H$69)^(DY11-1))</f>
        <v>0</v>
      </c>
      <c r="DZ63" s="141">
        <f>IF(DY82=0,0,1)*($P$63*(1+Assumptions!$H$69)^(DZ11-1))</f>
        <v>0</v>
      </c>
      <c r="EA63" s="141">
        <f>IF(DZ82=0,0,1)*($P$63*(1+Assumptions!$H$69)^(EA11-1))</f>
        <v>0</v>
      </c>
      <c r="EB63" s="141">
        <f>IF(EA82=0,0,1)*($P$63*(1+Assumptions!$H$69)^(EB11-1))</f>
        <v>0</v>
      </c>
      <c r="EC63" s="141">
        <f>IF(EB82=0,0,1)*($P$63*(1+Assumptions!$H$69)^(EC11-1))</f>
        <v>0</v>
      </c>
      <c r="ED63" s="141">
        <f>IF(EC82=0,0,1)*($P$63*(1+Assumptions!$H$69)^(ED11-1))</f>
        <v>0</v>
      </c>
      <c r="EE63" s="141">
        <f>IF(ED82=0,0,1)*($P$63*(1+Assumptions!$H$69)^(EE11-1))</f>
        <v>0</v>
      </c>
      <c r="EF63" s="141">
        <f>IF(EE82=0,0,1)*($P$63*(1+Assumptions!$H$69)^(EF11-1))</f>
        <v>0</v>
      </c>
      <c r="EG63" s="141">
        <f>IF(EF82=0,0,1)*($P$63*(1+Assumptions!$H$69)^(EG11-1))</f>
        <v>0</v>
      </c>
      <c r="EH63" s="141">
        <f>IF(EG82=0,0,1)*($P$63*(1+Assumptions!$H$69)^(EH11-1))</f>
        <v>0</v>
      </c>
      <c r="EI63" s="141">
        <f>IF(EH82=0,0,1)*($P$63*(1+Assumptions!$H$69)^(EI11-1))</f>
        <v>0</v>
      </c>
      <c r="EJ63" s="141">
        <f>IF(EI82=0,0,1)*($P$63*(1+Assumptions!$H$69)^(EJ11-1))</f>
        <v>0</v>
      </c>
      <c r="EK63" s="141">
        <f>IF(EJ82=0,0,1)*($P$63*(1+Assumptions!$H$69)^(EK11-1))</f>
        <v>0</v>
      </c>
      <c r="EL63" s="141">
        <f>IF(EK82=0,0,1)*($P$63*(1+Assumptions!$H$69)^(EL11-1))</f>
        <v>0</v>
      </c>
      <c r="EM63" s="141">
        <f>IF(EL82=0,0,1)*($P$63*(1+Assumptions!$H$69)^(EM11-1))</f>
        <v>0</v>
      </c>
      <c r="EN63" s="141">
        <f>IF(EM82=0,0,1)*($P$63*(1+Assumptions!$H$69)^(EN11-1))</f>
        <v>0</v>
      </c>
      <c r="EO63" s="141">
        <f>IF(EN82=0,0,1)*($P$63*(1+Assumptions!$H$69)^(EO11-1))</f>
        <v>0</v>
      </c>
      <c r="EP63" s="141">
        <f>IF(EO82=0,0,1)*($P$63*(1+Assumptions!$H$69)^(EP11-1))</f>
        <v>0</v>
      </c>
      <c r="EQ63" s="141">
        <f>IF(EP82=0,0,1)*($P$63*(1+Assumptions!$H$69)^(EQ11-1))</f>
        <v>0</v>
      </c>
      <c r="ES63" s="421"/>
      <c r="ET63" s="63"/>
      <c r="EU63" s="98"/>
    </row>
    <row r="64" spans="7:151" ht="15.75">
      <c r="G64" s="145"/>
      <c r="H64" s="128" t="s">
        <v>110</v>
      </c>
      <c r="I64" s="504"/>
      <c r="J64" s="505"/>
      <c r="K64" s="130"/>
      <c r="L64" s="131"/>
      <c r="M64" s="131"/>
      <c r="N64" s="225">
        <f>'Annual Cash Flow'!C44</f>
        <v>0</v>
      </c>
      <c r="O64" s="787"/>
      <c r="P64" s="102">
        <f>-Assumptions!F57/12</f>
        <v>0</v>
      </c>
      <c r="Q64" s="141">
        <f ca="1">IF(P82=0,0,1)*($P$64*(1+Assumptions!$H$69)^(Q11-1))</f>
        <v>0</v>
      </c>
      <c r="R64" s="141">
        <f ca="1">IF(Q82=0,0,1)*($P$64*(1+Assumptions!$H$69)^(R11-1))</f>
        <v>0</v>
      </c>
      <c r="S64" s="141">
        <f ca="1">IF(R82=0,0,1)*($P$64*(1+Assumptions!$H$69)^(S11-1))</f>
        <v>0</v>
      </c>
      <c r="T64" s="141">
        <f ca="1">IF(S82=0,0,1)*($P$64*(1+Assumptions!$H$69)^(T11-1))</f>
        <v>0</v>
      </c>
      <c r="U64" s="141">
        <f ca="1">IF(T82=0,0,1)*($P$64*(1+Assumptions!$H$69)^(U11-1))</f>
        <v>0</v>
      </c>
      <c r="V64" s="141">
        <f ca="1">IF(U82=0,0,1)*($P$64*(1+Assumptions!$H$69)^(V11-1))</f>
        <v>0</v>
      </c>
      <c r="W64" s="141">
        <f ca="1">IF(V82=0,0,1)*($P$64*(1+Assumptions!$H$69)^(W11-1))</f>
        <v>0</v>
      </c>
      <c r="X64" s="141">
        <f ca="1">IF(W82=0,0,1)*($P$64*(1+Assumptions!$H$69)^(X11-1))</f>
        <v>0</v>
      </c>
      <c r="Y64" s="141">
        <f ca="1">IF(X82=0,0,1)*($P$64*(1+Assumptions!$H$69)^(Y11-1))</f>
        <v>0</v>
      </c>
      <c r="Z64" s="141">
        <f ca="1">IF(Y82=0,0,1)*($P$64*(1+Assumptions!$H$69)^(Z11-1))</f>
        <v>0</v>
      </c>
      <c r="AA64" s="141">
        <f ca="1">IF(Z82=0,0,1)*($P$64*(1+Assumptions!$H$69)^(AA11-1))</f>
        <v>0</v>
      </c>
      <c r="AB64" s="141">
        <f ca="1">IF(AA82=0,0,1)*($P$64*(1+Assumptions!$H$69)^(AB11-1))</f>
        <v>0</v>
      </c>
      <c r="AC64" s="141">
        <f ca="1">IF(AB82=0,0,1)*($P$64*(1+Assumptions!$H$69)^(AC11-1))</f>
        <v>0</v>
      </c>
      <c r="AD64" s="141">
        <f ca="1">IF(AC82=0,0,1)*($P$64*(1+Assumptions!$H$69)^(AD11-1))</f>
        <v>0</v>
      </c>
      <c r="AE64" s="141">
        <f ca="1">IF(AD82=0,0,1)*($P$64*(1+Assumptions!$H$69)^(AE11-1))</f>
        <v>0</v>
      </c>
      <c r="AF64" s="141">
        <f ca="1">IF(AE82=0,0,1)*($P$64*(1+Assumptions!$H$69)^(AF11-1))</f>
        <v>0</v>
      </c>
      <c r="AG64" s="141">
        <f ca="1">IF(AF82=0,0,1)*($P$64*(1+Assumptions!$H$69)^(AG11-1))</f>
        <v>0</v>
      </c>
      <c r="AH64" s="141">
        <f ca="1">IF(AG82=0,0,1)*($P$64*(1+Assumptions!$H$69)^(AH11-1))</f>
        <v>0</v>
      </c>
      <c r="AI64" s="141">
        <f ca="1">IF(AH82=0,0,1)*($P$64*(1+Assumptions!$H$69)^(AI11-1))</f>
        <v>0</v>
      </c>
      <c r="AJ64" s="141">
        <f ca="1">IF(AI82=0,0,1)*($P$64*(1+Assumptions!$H$69)^(AJ11-1))</f>
        <v>0</v>
      </c>
      <c r="AK64" s="141">
        <f ca="1">IF(AJ82=0,0,1)*($P$64*(1+Assumptions!$H$69)^(AK11-1))</f>
        <v>0</v>
      </c>
      <c r="AL64" s="141">
        <f ca="1">IF(AK82=0,0,1)*($P$64*(1+Assumptions!$H$69)^(AL11-1))</f>
        <v>0</v>
      </c>
      <c r="AM64" s="141">
        <f ca="1">IF(AL82=0,0,1)*($P$64*(1+Assumptions!$H$69)^(AM11-1))</f>
        <v>0</v>
      </c>
      <c r="AN64" s="141">
        <f ca="1">IF(AM82=0,0,1)*($P$64*(1+Assumptions!$H$69)^(AN11-1))</f>
        <v>0</v>
      </c>
      <c r="AO64" s="141">
        <f ca="1">IF(AN82=0,0,1)*($P$64*(1+Assumptions!$H$69)^(AO11-1))</f>
        <v>0</v>
      </c>
      <c r="AP64" s="141">
        <f ca="1">IF(AO82=0,0,1)*($P$64*(1+Assumptions!$H$69)^(AP11-1))</f>
        <v>0</v>
      </c>
      <c r="AQ64" s="141">
        <f ca="1">IF(AP82=0,0,1)*($P$64*(1+Assumptions!$H$69)^(AQ11-1))</f>
        <v>0</v>
      </c>
      <c r="AR64" s="141">
        <f ca="1">IF(AQ82=0,0,1)*($P$64*(1+Assumptions!$H$69)^(AR11-1))</f>
        <v>0</v>
      </c>
      <c r="AS64" s="141">
        <f ca="1">IF(AR82=0,0,1)*($P$64*(1+Assumptions!$H$69)^(AS11-1))</f>
        <v>0</v>
      </c>
      <c r="AT64" s="141">
        <f ca="1">IF(AS82=0,0,1)*($P$64*(1+Assumptions!$H$69)^(AT11-1))</f>
        <v>0</v>
      </c>
      <c r="AU64" s="141">
        <f ca="1">IF(AT82=0,0,1)*($P$64*(1+Assumptions!$H$69)^(AU11-1))</f>
        <v>0</v>
      </c>
      <c r="AV64" s="141">
        <f ca="1">IF(AU82=0,0,1)*($P$64*(1+Assumptions!$H$69)^(AV11-1))</f>
        <v>0</v>
      </c>
      <c r="AW64" s="141">
        <f ca="1">IF(AV82=0,0,1)*($P$64*(1+Assumptions!$H$69)^(AW11-1))</f>
        <v>0</v>
      </c>
      <c r="AX64" s="141">
        <f ca="1">IF(AW82=0,0,1)*($P$64*(1+Assumptions!$H$69)^(AX11-1))</f>
        <v>0</v>
      </c>
      <c r="AY64" s="141">
        <f ca="1">IF(AX82=0,0,1)*($P$64*(1+Assumptions!$H$69)^(AY11-1))</f>
        <v>0</v>
      </c>
      <c r="AZ64" s="141">
        <f ca="1">IF(AY82=0,0,1)*($P$64*(1+Assumptions!$H$69)^(AZ11-1))</f>
        <v>0</v>
      </c>
      <c r="BA64" s="141">
        <f ca="1">IF(AZ82=0,0,1)*($P$64*(1+Assumptions!$H$69)^(BA11-1))</f>
        <v>0</v>
      </c>
      <c r="BB64" s="141">
        <f ca="1">IF(BA82=0,0,1)*($P$64*(1+Assumptions!$H$69)^(BB11-1))</f>
        <v>0</v>
      </c>
      <c r="BC64" s="141">
        <f ca="1">IF(BB82=0,0,1)*($P$64*(1+Assumptions!$H$69)^(BC11-1))</f>
        <v>0</v>
      </c>
      <c r="BD64" s="141">
        <f ca="1">IF(BC82=0,0,1)*($P$64*(1+Assumptions!$H$69)^(BD11-1))</f>
        <v>0</v>
      </c>
      <c r="BE64" s="141">
        <f ca="1">IF(BD82=0,0,1)*($P$64*(1+Assumptions!$H$69)^(BE11-1))</f>
        <v>0</v>
      </c>
      <c r="BF64" s="141">
        <f ca="1">IF(BE82=0,0,1)*($P$64*(1+Assumptions!$H$69)^(BF11-1))</f>
        <v>0</v>
      </c>
      <c r="BG64" s="141">
        <f ca="1">IF(BF82=0,0,1)*($P$64*(1+Assumptions!$H$69)^(BG11-1))</f>
        <v>0</v>
      </c>
      <c r="BH64" s="141">
        <f ca="1">IF(BG82=0,0,1)*($P$64*(1+Assumptions!$H$69)^(BH11-1))</f>
        <v>0</v>
      </c>
      <c r="BI64" s="141">
        <f ca="1">IF(BH82=0,0,1)*($P$64*(1+Assumptions!$H$69)^(BI11-1))</f>
        <v>0</v>
      </c>
      <c r="BJ64" s="141">
        <f ca="1">IF(BI82=0,0,1)*($P$64*(1+Assumptions!$H$69)^(BJ11-1))</f>
        <v>0</v>
      </c>
      <c r="BK64" s="141">
        <f ca="1">IF(BJ82=0,0,1)*($P$64*(1+Assumptions!$H$69)^(BK11-1))</f>
        <v>0</v>
      </c>
      <c r="BL64" s="141">
        <f ca="1">IF(BK82=0,0,1)*($P$64*(1+Assumptions!$H$69)^(BL11-1))</f>
        <v>0</v>
      </c>
      <c r="BM64" s="141">
        <f ca="1">IF(BL82=0,0,1)*($P$64*(1+Assumptions!$H$69)^(BM11-1))</f>
        <v>0</v>
      </c>
      <c r="BN64" s="141">
        <f ca="1">IF(BM82=0,0,1)*($P$64*(1+Assumptions!$H$69)^(BN11-1))</f>
        <v>0</v>
      </c>
      <c r="BO64" s="141">
        <f ca="1">IF(BN82=0,0,1)*($P$64*(1+Assumptions!$H$69)^(BO11-1))</f>
        <v>0</v>
      </c>
      <c r="BP64" s="141">
        <f ca="1">IF(BO82=0,0,1)*($P$64*(1+Assumptions!$H$69)^(BP11-1))</f>
        <v>0</v>
      </c>
      <c r="BQ64" s="141">
        <f ca="1">IF(BP82=0,0,1)*($P$64*(1+Assumptions!$H$69)^(BQ11-1))</f>
        <v>0</v>
      </c>
      <c r="BR64" s="141">
        <f ca="1">IF(BQ82=0,0,1)*($P$64*(1+Assumptions!$H$69)^(BR11-1))</f>
        <v>0</v>
      </c>
      <c r="BS64" s="141">
        <f ca="1">IF(BR82=0,0,1)*($P$64*(1+Assumptions!$H$69)^(BS11-1))</f>
        <v>0</v>
      </c>
      <c r="BT64" s="141">
        <f ca="1">IF(BS82=0,0,1)*($P$64*(1+Assumptions!$H$69)^(BT11-1))</f>
        <v>0</v>
      </c>
      <c r="BU64" s="141">
        <f ca="1">IF(BT82=0,0,1)*($P$64*(1+Assumptions!$H$69)^(BU11-1))</f>
        <v>0</v>
      </c>
      <c r="BV64" s="141">
        <f ca="1">IF(BU82=0,0,1)*($P$64*(1+Assumptions!$H$69)^(BV11-1))</f>
        <v>0</v>
      </c>
      <c r="BW64" s="141">
        <f ca="1">IF(BV82=0,0,1)*($P$64*(1+Assumptions!$H$69)^(BW11-1))</f>
        <v>0</v>
      </c>
      <c r="BX64" s="141">
        <f ca="1">IF(BW82=0,0,1)*($P$64*(1+Assumptions!$H$69)^(BX11-1))</f>
        <v>0</v>
      </c>
      <c r="BY64" s="141">
        <f ca="1">IF(BX82=0,0,1)*($P$64*(1+Assumptions!$H$69)^(BY11-1))</f>
        <v>0</v>
      </c>
      <c r="BZ64" s="141">
        <f ca="1">IF(BY82=0,0,1)*($P$64*(1+Assumptions!$H$69)^(BZ11-1))</f>
        <v>0</v>
      </c>
      <c r="CA64" s="141">
        <f ca="1">IF(BZ82=0,0,1)*($P$64*(1+Assumptions!$H$69)^(CA11-1))</f>
        <v>0</v>
      </c>
      <c r="CB64" s="141">
        <f ca="1">IF(CA82=0,0,1)*($P$64*(1+Assumptions!$H$69)^(CB11-1))</f>
        <v>0</v>
      </c>
      <c r="CC64" s="141">
        <f ca="1">IF(CB82=0,0,1)*($P$64*(1+Assumptions!$H$69)^(CC11-1))</f>
        <v>0</v>
      </c>
      <c r="CD64" s="141">
        <f ca="1">IF(CC82=0,0,1)*($P$64*(1+Assumptions!$H$69)^(CD11-1))</f>
        <v>0</v>
      </c>
      <c r="CE64" s="141">
        <f ca="1">IF(CD82=0,0,1)*($P$64*(1+Assumptions!$H$69)^(CE11-1))</f>
        <v>0</v>
      </c>
      <c r="CF64" s="141">
        <f ca="1">IF(CE82=0,0,1)*($P$64*(1+Assumptions!$H$69)^(CF11-1))</f>
        <v>0</v>
      </c>
      <c r="CG64" s="141">
        <f ca="1">IF(CF82=0,0,1)*($P$64*(1+Assumptions!$H$69)^(CG11-1))</f>
        <v>0</v>
      </c>
      <c r="CH64" s="141">
        <f ca="1">IF(CG82=0,0,1)*($P$64*(1+Assumptions!$H$69)^(CH11-1))</f>
        <v>0</v>
      </c>
      <c r="CI64" s="141">
        <f ca="1">IF(CH82=0,0,1)*($P$64*(1+Assumptions!$H$69)^(CI11-1))</f>
        <v>0</v>
      </c>
      <c r="CJ64" s="141">
        <f ca="1">IF(CI82=0,0,1)*($P$64*(1+Assumptions!$H$69)^(CJ11-1))</f>
        <v>0</v>
      </c>
      <c r="CK64" s="141">
        <f ca="1">IF(CJ82=0,0,1)*($P$64*(1+Assumptions!$H$69)^(CK11-1))</f>
        <v>0</v>
      </c>
      <c r="CL64" s="141">
        <f ca="1">IF(CK82=0,0,1)*($P$64*(1+Assumptions!$H$69)^(CL11-1))</f>
        <v>0</v>
      </c>
      <c r="CM64" s="141">
        <f ca="1">IF(CL82=0,0,1)*($P$64*(1+Assumptions!$H$69)^(CM11-1))</f>
        <v>0</v>
      </c>
      <c r="CN64" s="141">
        <f ca="1">IF(CM82=0,0,1)*($P$64*(1+Assumptions!$H$69)^(CN11-1))</f>
        <v>0</v>
      </c>
      <c r="CO64" s="141">
        <f ca="1">IF(CN82=0,0,1)*($P$64*(1+Assumptions!$H$69)^(CO11-1))</f>
        <v>0</v>
      </c>
      <c r="CP64" s="141">
        <f ca="1">IF(CO82=0,0,1)*($P$64*(1+Assumptions!$H$69)^(CP11-1))</f>
        <v>0</v>
      </c>
      <c r="CQ64" s="141">
        <f ca="1">IF(CP82=0,0,1)*($P$64*(1+Assumptions!$H$69)^(CQ11-1))</f>
        <v>0</v>
      </c>
      <c r="CR64" s="141">
        <f ca="1">IF(CQ82=0,0,1)*($P$64*(1+Assumptions!$H$69)^(CR11-1))</f>
        <v>0</v>
      </c>
      <c r="CS64" s="141">
        <f ca="1">IF(CR82=0,0,1)*($P$64*(1+Assumptions!$H$69)^(CS11-1))</f>
        <v>0</v>
      </c>
      <c r="CT64" s="141">
        <f ca="1">IF(CS82=0,0,1)*($P$64*(1+Assumptions!$H$69)^(CT11-1))</f>
        <v>0</v>
      </c>
      <c r="CU64" s="141">
        <f ca="1">IF(CT82=0,0,1)*($P$64*(1+Assumptions!$H$69)^(CU11-1))</f>
        <v>0</v>
      </c>
      <c r="CV64" s="141">
        <f ca="1">IF(CU82=0,0,1)*($P$64*(1+Assumptions!$H$69)^(CV11-1))</f>
        <v>0</v>
      </c>
      <c r="CW64" s="141">
        <f ca="1">IF(CV82=0,0,1)*($P$64*(1+Assumptions!$H$69)^(CW11-1))</f>
        <v>0</v>
      </c>
      <c r="CX64" s="141">
        <f ca="1">IF(CW82=0,0,1)*($P$64*(1+Assumptions!$H$69)^(CX11-1))</f>
        <v>0</v>
      </c>
      <c r="CY64" s="141">
        <f ca="1">IF(CX82=0,0,1)*($P$64*(1+Assumptions!$H$69)^(CY11-1))</f>
        <v>0</v>
      </c>
      <c r="CZ64" s="141">
        <f ca="1">IF(CY82=0,0,1)*($P$64*(1+Assumptions!$H$69)^(CZ11-1))</f>
        <v>0</v>
      </c>
      <c r="DA64" s="141">
        <f ca="1">IF(CZ82=0,0,1)*($P$64*(1+Assumptions!$H$69)^(DA11-1))</f>
        <v>0</v>
      </c>
      <c r="DB64" s="141">
        <f ca="1">IF(DA82=0,0,1)*($P$64*(1+Assumptions!$H$69)^(DB11-1))</f>
        <v>0</v>
      </c>
      <c r="DC64" s="141">
        <f ca="1">IF(DB82=0,0,1)*($P$64*(1+Assumptions!$H$69)^(DC11-1))</f>
        <v>0</v>
      </c>
      <c r="DD64" s="141">
        <f ca="1">IF(DC82=0,0,1)*($P$64*(1+Assumptions!$H$69)^(DD11-1))</f>
        <v>0</v>
      </c>
      <c r="DE64" s="141">
        <f ca="1">IF(DD82=0,0,1)*($P$64*(1+Assumptions!$H$69)^(DE11-1))</f>
        <v>0</v>
      </c>
      <c r="DF64" s="141">
        <f ca="1">IF(DE82=0,0,1)*($P$64*(1+Assumptions!$H$69)^(DF11-1))</f>
        <v>0</v>
      </c>
      <c r="DG64" s="141">
        <f ca="1">IF(DF82=0,0,1)*($P$64*(1+Assumptions!$H$69)^(DG11-1))</f>
        <v>0</v>
      </c>
      <c r="DH64" s="141">
        <f ca="1">IF(DG82=0,0,1)*($P$64*(1+Assumptions!$H$69)^(DH11-1))</f>
        <v>0</v>
      </c>
      <c r="DI64" s="141">
        <f ca="1">IF(DH82=0,0,1)*($P$64*(1+Assumptions!$H$69)^(DI11-1))</f>
        <v>0</v>
      </c>
      <c r="DJ64" s="141">
        <f>IF(DI82=0,0,1)*($P$64*(1+Assumptions!$H$69)^(DJ11-1))</f>
        <v>0</v>
      </c>
      <c r="DK64" s="141">
        <f>IF(DJ82=0,0,1)*($P$64*(1+Assumptions!$H$69)^(DK11-1))</f>
        <v>0</v>
      </c>
      <c r="DL64" s="141">
        <f>IF(DK82=0,0,1)*($P$64*(1+Assumptions!$H$69)^(DL11-1))</f>
        <v>0</v>
      </c>
      <c r="DM64" s="141">
        <f>IF(DL82=0,0,1)*($P$64*(1+Assumptions!$H$69)^(DM11-1))</f>
        <v>0</v>
      </c>
      <c r="DN64" s="141">
        <f>IF(DM82=0,0,1)*($P$64*(1+Assumptions!$H$69)^(DN11-1))</f>
        <v>0</v>
      </c>
      <c r="DO64" s="141">
        <f>IF(DN82=0,0,1)*($P$64*(1+Assumptions!$H$69)^(DO11-1))</f>
        <v>0</v>
      </c>
      <c r="DP64" s="141">
        <f>IF(DO82=0,0,1)*($P$64*(1+Assumptions!$H$69)^(DP11-1))</f>
        <v>0</v>
      </c>
      <c r="DQ64" s="141">
        <f>IF(DP82=0,0,1)*($P$64*(1+Assumptions!$H$69)^(DQ11-1))</f>
        <v>0</v>
      </c>
      <c r="DR64" s="141">
        <f>IF(DQ82=0,0,1)*($P$64*(1+Assumptions!$H$69)^(DR11-1))</f>
        <v>0</v>
      </c>
      <c r="DS64" s="141">
        <f>IF(DR82=0,0,1)*($P$64*(1+Assumptions!$H$69)^(DS11-1))</f>
        <v>0</v>
      </c>
      <c r="DT64" s="141">
        <f>IF(DS82=0,0,1)*($P$64*(1+Assumptions!$H$69)^(DT11-1))</f>
        <v>0</v>
      </c>
      <c r="DU64" s="141">
        <f>IF(DT82=0,0,1)*($P$64*(1+Assumptions!$H$69)^(DU11-1))</f>
        <v>0</v>
      </c>
      <c r="DV64" s="141">
        <f>IF(DU82=0,0,1)*($P$64*(1+Assumptions!$H$69)^(DV11-1))</f>
        <v>0</v>
      </c>
      <c r="DW64" s="141">
        <f>IF(DV82=0,0,1)*($P$64*(1+Assumptions!$H$69)^(DW11-1))</f>
        <v>0</v>
      </c>
      <c r="DX64" s="141">
        <f>IF(DW82=0,0,1)*($P$64*(1+Assumptions!$H$69)^(DX11-1))</f>
        <v>0</v>
      </c>
      <c r="DY64" s="141">
        <f>IF(DX82=0,0,1)*($P$64*(1+Assumptions!$H$69)^(DY11-1))</f>
        <v>0</v>
      </c>
      <c r="DZ64" s="141">
        <f>IF(DY82=0,0,1)*($P$64*(1+Assumptions!$H$69)^(DZ11-1))</f>
        <v>0</v>
      </c>
      <c r="EA64" s="141">
        <f>IF(DZ82=0,0,1)*($P$64*(1+Assumptions!$H$69)^(EA11-1))</f>
        <v>0</v>
      </c>
      <c r="EB64" s="141">
        <f>IF(EA82=0,0,1)*($P$64*(1+Assumptions!$H$69)^(EB11-1))</f>
        <v>0</v>
      </c>
      <c r="EC64" s="141">
        <f>IF(EB82=0,0,1)*($P$64*(1+Assumptions!$H$69)^(EC11-1))</f>
        <v>0</v>
      </c>
      <c r="ED64" s="141">
        <f>IF(EC82=0,0,1)*($P$64*(1+Assumptions!$H$69)^(ED11-1))</f>
        <v>0</v>
      </c>
      <c r="EE64" s="141">
        <f>IF(ED82=0,0,1)*($P$64*(1+Assumptions!$H$69)^(EE11-1))</f>
        <v>0</v>
      </c>
      <c r="EF64" s="141">
        <f>IF(EE82=0,0,1)*($P$64*(1+Assumptions!$H$69)^(EF11-1))</f>
        <v>0</v>
      </c>
      <c r="EG64" s="141">
        <f>IF(EF82=0,0,1)*($P$64*(1+Assumptions!$H$69)^(EG11-1))</f>
        <v>0</v>
      </c>
      <c r="EH64" s="141">
        <f>IF(EG82=0,0,1)*($P$64*(1+Assumptions!$H$69)^(EH11-1))</f>
        <v>0</v>
      </c>
      <c r="EI64" s="141">
        <f>IF(EH82=0,0,1)*($P$64*(1+Assumptions!$H$69)^(EI11-1))</f>
        <v>0</v>
      </c>
      <c r="EJ64" s="141">
        <f>IF(EI82=0,0,1)*($P$64*(1+Assumptions!$H$69)^(EJ11-1))</f>
        <v>0</v>
      </c>
      <c r="EK64" s="141">
        <f>IF(EJ82=0,0,1)*($P$64*(1+Assumptions!$H$69)^(EK11-1))</f>
        <v>0</v>
      </c>
      <c r="EL64" s="141">
        <f>IF(EK82=0,0,1)*($P$64*(1+Assumptions!$H$69)^(EL11-1))</f>
        <v>0</v>
      </c>
      <c r="EM64" s="141">
        <f>IF(EL82=0,0,1)*($P$64*(1+Assumptions!$H$69)^(EM11-1))</f>
        <v>0</v>
      </c>
      <c r="EN64" s="141">
        <f>IF(EM82=0,0,1)*($P$64*(1+Assumptions!$H$69)^(EN11-1))</f>
        <v>0</v>
      </c>
      <c r="EO64" s="141">
        <f>IF(EN82=0,0,1)*($P$64*(1+Assumptions!$H$69)^(EO11-1))</f>
        <v>0</v>
      </c>
      <c r="EP64" s="141">
        <f>IF(EO82=0,0,1)*($P$64*(1+Assumptions!$H$69)^(EP11-1))</f>
        <v>0</v>
      </c>
      <c r="EQ64" s="141">
        <f>IF(EP82=0,0,1)*($P$64*(1+Assumptions!$H$69)^(EQ11-1))</f>
        <v>0</v>
      </c>
      <c r="ES64" s="421"/>
      <c r="ET64" s="63"/>
      <c r="EU64" s="98"/>
    </row>
    <row r="65" spans="2:151" s="65" customFormat="1" ht="15.75">
      <c r="G65" s="482"/>
      <c r="H65" s="198" t="s">
        <v>41</v>
      </c>
      <c r="I65" s="502"/>
      <c r="J65" s="503"/>
      <c r="K65" s="199"/>
      <c r="L65" s="200"/>
      <c r="M65" s="200"/>
      <c r="N65" s="224">
        <f>'Annual Cash Flow'!C45</f>
        <v>-9821</v>
      </c>
      <c r="O65" s="787"/>
      <c r="P65" s="140">
        <f>-Assumptions!F58/12</f>
        <v>-818.41666666666663</v>
      </c>
      <c r="Q65" s="141">
        <f ca="1">IF(P82=0,0,1)*($P$65*(1+Assumptions!$H$69)^(Q11-1))</f>
        <v>-818.41666666666663</v>
      </c>
      <c r="R65" s="141">
        <f ca="1">IF(Q82=0,0,1)*($P$65*(1+Assumptions!$H$69)^(R11-1))</f>
        <v>-818.41666666666663</v>
      </c>
      <c r="S65" s="141">
        <f ca="1">IF(R82=0,0,1)*($P$65*(1+Assumptions!$H$69)^(S11-1))</f>
        <v>-818.41666666666663</v>
      </c>
      <c r="T65" s="141">
        <f ca="1">IF(S82=0,0,1)*($P$65*(1+Assumptions!$H$69)^(T11-1))</f>
        <v>-818.41666666666663</v>
      </c>
      <c r="U65" s="141">
        <f ca="1">IF(T82=0,0,1)*($P$65*(1+Assumptions!$H$69)^(U11-1))</f>
        <v>-818.41666666666663</v>
      </c>
      <c r="V65" s="141">
        <f ca="1">IF(U82=0,0,1)*($P$65*(1+Assumptions!$H$69)^(V11-1))</f>
        <v>-818.41666666666663</v>
      </c>
      <c r="W65" s="141">
        <f ca="1">IF(V82=0,0,1)*($P$65*(1+Assumptions!$H$69)^(W11-1))</f>
        <v>-818.41666666666663</v>
      </c>
      <c r="X65" s="141">
        <f ca="1">IF(W82=0,0,1)*($P$65*(1+Assumptions!$H$69)^(X11-1))</f>
        <v>-818.41666666666663</v>
      </c>
      <c r="Y65" s="141">
        <f ca="1">IF(X82=0,0,1)*($P$65*(1+Assumptions!$H$69)^(Y11-1))</f>
        <v>-818.41666666666663</v>
      </c>
      <c r="Z65" s="141">
        <f ca="1">IF(Y82=0,0,1)*($P$65*(1+Assumptions!$H$69)^(Z11-1))</f>
        <v>-818.41666666666663</v>
      </c>
      <c r="AA65" s="141">
        <f ca="1">IF(Z82=0,0,1)*($P$65*(1+Assumptions!$H$69)^(AA11-1))</f>
        <v>-818.41666666666663</v>
      </c>
      <c r="AB65" s="141">
        <f ca="1">IF(AA82=0,0,1)*($P$65*(1+Assumptions!$H$69)^(AB11-1))</f>
        <v>-842.96916666666664</v>
      </c>
      <c r="AC65" s="141">
        <f ca="1">IF(AB82=0,0,1)*($P$65*(1+Assumptions!$H$69)^(AC11-1))</f>
        <v>-842.96916666666664</v>
      </c>
      <c r="AD65" s="141">
        <f ca="1">IF(AC82=0,0,1)*($P$65*(1+Assumptions!$H$69)^(AD11-1))</f>
        <v>-842.96916666666664</v>
      </c>
      <c r="AE65" s="141">
        <f ca="1">IF(AD82=0,0,1)*($P$65*(1+Assumptions!$H$69)^(AE11-1))</f>
        <v>-842.96916666666664</v>
      </c>
      <c r="AF65" s="141">
        <f ca="1">IF(AE82=0,0,1)*($P$65*(1+Assumptions!$H$69)^(AF11-1))</f>
        <v>-842.96916666666664</v>
      </c>
      <c r="AG65" s="141">
        <f ca="1">IF(AF82=0,0,1)*($P$65*(1+Assumptions!$H$69)^(AG11-1))</f>
        <v>-842.96916666666664</v>
      </c>
      <c r="AH65" s="141">
        <f ca="1">IF(AG82=0,0,1)*($P$65*(1+Assumptions!$H$69)^(AH11-1))</f>
        <v>-842.96916666666664</v>
      </c>
      <c r="AI65" s="141">
        <f ca="1">IF(AH82=0,0,1)*($P$65*(1+Assumptions!$H$69)^(AI11-1))</f>
        <v>-842.96916666666664</v>
      </c>
      <c r="AJ65" s="141">
        <f ca="1">IF(AI82=0,0,1)*($P$65*(1+Assumptions!$H$69)^(AJ11-1))</f>
        <v>-842.96916666666664</v>
      </c>
      <c r="AK65" s="141">
        <f ca="1">IF(AJ82=0,0,1)*($P$65*(1+Assumptions!$H$69)^(AK11-1))</f>
        <v>-842.96916666666664</v>
      </c>
      <c r="AL65" s="141">
        <f ca="1">IF(AK82=0,0,1)*($P$65*(1+Assumptions!$H$69)^(AL11-1))</f>
        <v>-842.96916666666664</v>
      </c>
      <c r="AM65" s="141">
        <f ca="1">IF(AL82=0,0,1)*($P$65*(1+Assumptions!$H$69)^(AM11-1))</f>
        <v>-842.96916666666664</v>
      </c>
      <c r="AN65" s="141">
        <f ca="1">IF(AM82=0,0,1)*($P$65*(1+Assumptions!$H$69)^(AN11-1))</f>
        <v>-868.25824166666655</v>
      </c>
      <c r="AO65" s="141">
        <f ca="1">IF(AN82=0,0,1)*($P$65*(1+Assumptions!$H$69)^(AO11-1))</f>
        <v>-868.25824166666655</v>
      </c>
      <c r="AP65" s="141">
        <f ca="1">IF(AO82=0,0,1)*($P$65*(1+Assumptions!$H$69)^(AP11-1))</f>
        <v>-868.25824166666655</v>
      </c>
      <c r="AQ65" s="141">
        <f ca="1">IF(AP82=0,0,1)*($P$65*(1+Assumptions!$H$69)^(AQ11-1))</f>
        <v>-868.25824166666655</v>
      </c>
      <c r="AR65" s="141">
        <f ca="1">IF(AQ82=0,0,1)*($P$65*(1+Assumptions!$H$69)^(AR11-1))</f>
        <v>-868.25824166666655</v>
      </c>
      <c r="AS65" s="141">
        <f ca="1">IF(AR82=0,0,1)*($P$65*(1+Assumptions!$H$69)^(AS11-1))</f>
        <v>-868.25824166666655</v>
      </c>
      <c r="AT65" s="141">
        <f ca="1">IF(AS82=0,0,1)*($P$65*(1+Assumptions!$H$69)^(AT11-1))</f>
        <v>-868.25824166666655</v>
      </c>
      <c r="AU65" s="141">
        <f ca="1">IF(AT82=0,0,1)*($P$65*(1+Assumptions!$H$69)^(AU11-1))</f>
        <v>-868.25824166666655</v>
      </c>
      <c r="AV65" s="141">
        <f ca="1">IF(AU82=0,0,1)*($P$65*(1+Assumptions!$H$69)^(AV11-1))</f>
        <v>-868.25824166666655</v>
      </c>
      <c r="AW65" s="141">
        <f ca="1">IF(AV82=0,0,1)*($P$65*(1+Assumptions!$H$69)^(AW11-1))</f>
        <v>-868.25824166666655</v>
      </c>
      <c r="AX65" s="141">
        <f ca="1">IF(AW82=0,0,1)*($P$65*(1+Assumptions!$H$69)^(AX11-1))</f>
        <v>-868.25824166666655</v>
      </c>
      <c r="AY65" s="141">
        <f ca="1">IF(AX82=0,0,1)*($P$65*(1+Assumptions!$H$69)^(AY11-1))</f>
        <v>-868.25824166666655</v>
      </c>
      <c r="AZ65" s="141">
        <f ca="1">IF(AY82=0,0,1)*($P$65*(1+Assumptions!$H$69)^(AZ11-1))</f>
        <v>-894.30598891666659</v>
      </c>
      <c r="BA65" s="141">
        <f ca="1">IF(AZ82=0,0,1)*($P$65*(1+Assumptions!$H$69)^(BA11-1))</f>
        <v>-894.30598891666659</v>
      </c>
      <c r="BB65" s="141">
        <f ca="1">IF(BA82=0,0,1)*($P$65*(1+Assumptions!$H$69)^(BB11-1))</f>
        <v>-894.30598891666659</v>
      </c>
      <c r="BC65" s="141">
        <f ca="1">IF(BB82=0,0,1)*($P$65*(1+Assumptions!$H$69)^(BC11-1))</f>
        <v>-894.30598891666659</v>
      </c>
      <c r="BD65" s="141">
        <f ca="1">IF(BC82=0,0,1)*($P$65*(1+Assumptions!$H$69)^(BD11-1))</f>
        <v>-894.30598891666659</v>
      </c>
      <c r="BE65" s="141">
        <f ca="1">IF(BD82=0,0,1)*($P$65*(1+Assumptions!$H$69)^(BE11-1))</f>
        <v>-894.30598891666659</v>
      </c>
      <c r="BF65" s="141">
        <f ca="1">IF(BE82=0,0,1)*($P$65*(1+Assumptions!$H$69)^(BF11-1))</f>
        <v>-894.30598891666659</v>
      </c>
      <c r="BG65" s="141">
        <f ca="1">IF(BF82=0,0,1)*($P$65*(1+Assumptions!$H$69)^(BG11-1))</f>
        <v>-894.30598891666659</v>
      </c>
      <c r="BH65" s="141">
        <f ca="1">IF(BG82=0,0,1)*($P$65*(1+Assumptions!$H$69)^(BH11-1))</f>
        <v>-894.30598891666659</v>
      </c>
      <c r="BI65" s="141">
        <f ca="1">IF(BH82=0,0,1)*($P$65*(1+Assumptions!$H$69)^(BI11-1))</f>
        <v>-894.30598891666659</v>
      </c>
      <c r="BJ65" s="141">
        <f ca="1">IF(BI82=0,0,1)*($P$65*(1+Assumptions!$H$69)^(BJ11-1))</f>
        <v>-894.30598891666659</v>
      </c>
      <c r="BK65" s="141">
        <f ca="1">IF(BJ82=0,0,1)*($P$65*(1+Assumptions!$H$69)^(BK11-1))</f>
        <v>-894.30598891666659</v>
      </c>
      <c r="BL65" s="141">
        <f ca="1">IF(BK82=0,0,1)*($P$65*(1+Assumptions!$H$69)^(BL11-1))</f>
        <v>-921.13516858416654</v>
      </c>
      <c r="BM65" s="141">
        <f ca="1">IF(BL82=0,0,1)*($P$65*(1+Assumptions!$H$69)^(BM11-1))</f>
        <v>-921.13516858416654</v>
      </c>
      <c r="BN65" s="141">
        <f ca="1">IF(BM82=0,0,1)*($P$65*(1+Assumptions!$H$69)^(BN11-1))</f>
        <v>-921.13516858416654</v>
      </c>
      <c r="BO65" s="141">
        <f ca="1">IF(BN82=0,0,1)*($P$65*(1+Assumptions!$H$69)^(BO11-1))</f>
        <v>-921.13516858416654</v>
      </c>
      <c r="BP65" s="141">
        <f ca="1">IF(BO82=0,0,1)*($P$65*(1+Assumptions!$H$69)^(BP11-1))</f>
        <v>-921.13516858416654</v>
      </c>
      <c r="BQ65" s="141">
        <f ca="1">IF(BP82=0,0,1)*($P$65*(1+Assumptions!$H$69)^(BQ11-1))</f>
        <v>-921.13516858416654</v>
      </c>
      <c r="BR65" s="141">
        <f ca="1">IF(BQ82=0,0,1)*($P$65*(1+Assumptions!$H$69)^(BR11-1))</f>
        <v>-921.13516858416654</v>
      </c>
      <c r="BS65" s="141">
        <f ca="1">IF(BR82=0,0,1)*($P$65*(1+Assumptions!$H$69)^(BS11-1))</f>
        <v>-921.13516858416654</v>
      </c>
      <c r="BT65" s="141">
        <f ca="1">IF(BS82=0,0,1)*($P$65*(1+Assumptions!$H$69)^(BT11-1))</f>
        <v>-921.13516858416654</v>
      </c>
      <c r="BU65" s="141">
        <f ca="1">IF(BT82=0,0,1)*($P$65*(1+Assumptions!$H$69)^(BU11-1))</f>
        <v>-921.13516858416654</v>
      </c>
      <c r="BV65" s="141">
        <f ca="1">IF(BU82=0,0,1)*($P$65*(1+Assumptions!$H$69)^(BV11-1))</f>
        <v>-921.13516858416654</v>
      </c>
      <c r="BW65" s="141">
        <f ca="1">IF(BV82=0,0,1)*($P$65*(1+Assumptions!$H$69)^(BW11-1))</f>
        <v>-921.13516858416654</v>
      </c>
      <c r="BX65" s="141">
        <f ca="1">IF(BW82=0,0,1)*($P$65*(1+Assumptions!$H$69)^(BX11-1))</f>
        <v>-948.7692236416915</v>
      </c>
      <c r="BY65" s="141">
        <f ca="1">IF(BX82=0,0,1)*($P$65*(1+Assumptions!$H$69)^(BY11-1))</f>
        <v>-948.7692236416915</v>
      </c>
      <c r="BZ65" s="141">
        <f ca="1">IF(BY82=0,0,1)*($P$65*(1+Assumptions!$H$69)^(BZ11-1))</f>
        <v>-948.7692236416915</v>
      </c>
      <c r="CA65" s="141">
        <f ca="1">IF(BZ82=0,0,1)*($P$65*(1+Assumptions!$H$69)^(CA11-1))</f>
        <v>-948.7692236416915</v>
      </c>
      <c r="CB65" s="141">
        <f ca="1">IF(CA82=0,0,1)*($P$65*(1+Assumptions!$H$69)^(CB11-1))</f>
        <v>-948.7692236416915</v>
      </c>
      <c r="CC65" s="141">
        <f ca="1">IF(CB82=0,0,1)*($P$65*(1+Assumptions!$H$69)^(CC11-1))</f>
        <v>-948.7692236416915</v>
      </c>
      <c r="CD65" s="141">
        <f ca="1">IF(CC82=0,0,1)*($P$65*(1+Assumptions!$H$69)^(CD11-1))</f>
        <v>-948.7692236416915</v>
      </c>
      <c r="CE65" s="141">
        <f ca="1">IF(CD82=0,0,1)*($P$65*(1+Assumptions!$H$69)^(CE11-1))</f>
        <v>-948.7692236416915</v>
      </c>
      <c r="CF65" s="141">
        <f ca="1">IF(CE82=0,0,1)*($P$65*(1+Assumptions!$H$69)^(CF11-1))</f>
        <v>-948.7692236416915</v>
      </c>
      <c r="CG65" s="141">
        <f ca="1">IF(CF82=0,0,1)*($P$65*(1+Assumptions!$H$69)^(CG11-1))</f>
        <v>-948.7692236416915</v>
      </c>
      <c r="CH65" s="141">
        <f ca="1">IF(CG82=0,0,1)*($P$65*(1+Assumptions!$H$69)^(CH11-1))</f>
        <v>-948.7692236416915</v>
      </c>
      <c r="CI65" s="141">
        <f ca="1">IF(CH82=0,0,1)*($P$65*(1+Assumptions!$H$69)^(CI11-1))</f>
        <v>-948.7692236416915</v>
      </c>
      <c r="CJ65" s="141">
        <f ca="1">IF(CI82=0,0,1)*($P$65*(1+Assumptions!$H$69)^(CJ11-1))</f>
        <v>-977.2323003509423</v>
      </c>
      <c r="CK65" s="141">
        <f ca="1">IF(CJ82=0,0,1)*($P$65*(1+Assumptions!$H$69)^(CK11-1))</f>
        <v>-977.2323003509423</v>
      </c>
      <c r="CL65" s="141">
        <f ca="1">IF(CK82=0,0,1)*($P$65*(1+Assumptions!$H$69)^(CL11-1))</f>
        <v>-977.2323003509423</v>
      </c>
      <c r="CM65" s="141">
        <f ca="1">IF(CL82=0,0,1)*($P$65*(1+Assumptions!$H$69)^(CM11-1))</f>
        <v>-977.2323003509423</v>
      </c>
      <c r="CN65" s="141">
        <f ca="1">IF(CM82=0,0,1)*($P$65*(1+Assumptions!$H$69)^(CN11-1))</f>
        <v>-977.2323003509423</v>
      </c>
      <c r="CO65" s="141">
        <f ca="1">IF(CN82=0,0,1)*($P$65*(1+Assumptions!$H$69)^(CO11-1))</f>
        <v>-977.2323003509423</v>
      </c>
      <c r="CP65" s="141">
        <f ca="1">IF(CO82=0,0,1)*($P$65*(1+Assumptions!$H$69)^(CP11-1))</f>
        <v>-977.2323003509423</v>
      </c>
      <c r="CQ65" s="141">
        <f ca="1">IF(CP82=0,0,1)*($P$65*(1+Assumptions!$H$69)^(CQ11-1))</f>
        <v>-977.2323003509423</v>
      </c>
      <c r="CR65" s="141">
        <f ca="1">IF(CQ82=0,0,1)*($P$65*(1+Assumptions!$H$69)^(CR11-1))</f>
        <v>-977.2323003509423</v>
      </c>
      <c r="CS65" s="141">
        <f ca="1">IF(CR82=0,0,1)*($P$65*(1+Assumptions!$H$69)^(CS11-1))</f>
        <v>-977.2323003509423</v>
      </c>
      <c r="CT65" s="141">
        <f ca="1">IF(CS82=0,0,1)*($P$65*(1+Assumptions!$H$69)^(CT11-1))</f>
        <v>-977.2323003509423</v>
      </c>
      <c r="CU65" s="141">
        <f ca="1">IF(CT82=0,0,1)*($P$65*(1+Assumptions!$H$69)^(CU11-1))</f>
        <v>-977.2323003509423</v>
      </c>
      <c r="CV65" s="141">
        <f ca="1">IF(CU82=0,0,1)*($P$65*(1+Assumptions!$H$69)^(CV11-1))</f>
        <v>-1006.5492693614706</v>
      </c>
      <c r="CW65" s="141">
        <f ca="1">IF(CV82=0,0,1)*($P$65*(1+Assumptions!$H$69)^(CW11-1))</f>
        <v>-1006.5492693614706</v>
      </c>
      <c r="CX65" s="141">
        <f ca="1">IF(CW82=0,0,1)*($P$65*(1+Assumptions!$H$69)^(CX11-1))</f>
        <v>-1006.5492693614706</v>
      </c>
      <c r="CY65" s="141">
        <f ca="1">IF(CX82=0,0,1)*($P$65*(1+Assumptions!$H$69)^(CY11-1))</f>
        <v>-1006.5492693614706</v>
      </c>
      <c r="CZ65" s="141">
        <f ca="1">IF(CY82=0,0,1)*($P$65*(1+Assumptions!$H$69)^(CZ11-1))</f>
        <v>-1006.5492693614706</v>
      </c>
      <c r="DA65" s="141">
        <f ca="1">IF(CZ82=0,0,1)*($P$65*(1+Assumptions!$H$69)^(DA11-1))</f>
        <v>-1006.5492693614706</v>
      </c>
      <c r="DB65" s="141">
        <f ca="1">IF(DA82=0,0,1)*($P$65*(1+Assumptions!$H$69)^(DB11-1))</f>
        <v>-1006.5492693614706</v>
      </c>
      <c r="DC65" s="141">
        <f ca="1">IF(DB82=0,0,1)*($P$65*(1+Assumptions!$H$69)^(DC11-1))</f>
        <v>-1006.5492693614706</v>
      </c>
      <c r="DD65" s="141">
        <f ca="1">IF(DC82=0,0,1)*($P$65*(1+Assumptions!$H$69)^(DD11-1))</f>
        <v>-1006.5492693614706</v>
      </c>
      <c r="DE65" s="141">
        <f ca="1">IF(DD82=0,0,1)*($P$65*(1+Assumptions!$H$69)^(DE11-1))</f>
        <v>-1006.5492693614706</v>
      </c>
      <c r="DF65" s="141">
        <f ca="1">IF(DE82=0,0,1)*($P$65*(1+Assumptions!$H$69)^(DF11-1))</f>
        <v>-1006.5492693614706</v>
      </c>
      <c r="DG65" s="141">
        <f ca="1">IF(DF82=0,0,1)*($P$65*(1+Assumptions!$H$69)^(DG11-1))</f>
        <v>-1006.5492693614706</v>
      </c>
      <c r="DH65" s="141">
        <f ca="1">IF(DG82=0,0,1)*($P$65*(1+Assumptions!$H$69)^(DH11-1))</f>
        <v>-1036.7457474423147</v>
      </c>
      <c r="DI65" s="141">
        <f ca="1">IF(DH82=0,0,1)*($P$65*(1+Assumptions!$H$69)^(DI11-1))</f>
        <v>-1036.7457474423147</v>
      </c>
      <c r="DJ65" s="141">
        <f>IF(DI82=0,0,1)*($P$65*(1+Assumptions!$H$69)^(DJ11-1))</f>
        <v>0</v>
      </c>
      <c r="DK65" s="141">
        <f>IF(DJ82=0,0,1)*($P$65*(1+Assumptions!$H$69)^(DK11-1))</f>
        <v>0</v>
      </c>
      <c r="DL65" s="141">
        <f>IF(DK82=0,0,1)*($P$65*(1+Assumptions!$H$69)^(DL11-1))</f>
        <v>0</v>
      </c>
      <c r="DM65" s="141">
        <f>IF(DL82=0,0,1)*($P$65*(1+Assumptions!$H$69)^(DM11-1))</f>
        <v>0</v>
      </c>
      <c r="DN65" s="141">
        <f>IF(DM82=0,0,1)*($P$65*(1+Assumptions!$H$69)^(DN11-1))</f>
        <v>0</v>
      </c>
      <c r="DO65" s="141">
        <f>IF(DN82=0,0,1)*($P$65*(1+Assumptions!$H$69)^(DO11-1))</f>
        <v>0</v>
      </c>
      <c r="DP65" s="141">
        <f>IF(DO82=0,0,1)*($P$65*(1+Assumptions!$H$69)^(DP11-1))</f>
        <v>0</v>
      </c>
      <c r="DQ65" s="141">
        <f>IF(DP82=0,0,1)*($P$65*(1+Assumptions!$H$69)^(DQ11-1))</f>
        <v>0</v>
      </c>
      <c r="DR65" s="141">
        <f>IF(DQ82=0,0,1)*($P$65*(1+Assumptions!$H$69)^(DR11-1))</f>
        <v>0</v>
      </c>
      <c r="DS65" s="141">
        <f>IF(DR82=0,0,1)*($P$65*(1+Assumptions!$H$69)^(DS11-1))</f>
        <v>0</v>
      </c>
      <c r="DT65" s="141">
        <f>IF(DS82=0,0,1)*($P$65*(1+Assumptions!$H$69)^(DT11-1))</f>
        <v>0</v>
      </c>
      <c r="DU65" s="141">
        <f>IF(DT82=0,0,1)*($P$65*(1+Assumptions!$H$69)^(DU11-1))</f>
        <v>0</v>
      </c>
      <c r="DV65" s="141">
        <f>IF(DU82=0,0,1)*($P$65*(1+Assumptions!$H$69)^(DV11-1))</f>
        <v>0</v>
      </c>
      <c r="DW65" s="141">
        <f>IF(DV82=0,0,1)*($P$65*(1+Assumptions!$H$69)^(DW11-1))</f>
        <v>0</v>
      </c>
      <c r="DX65" s="141">
        <f>IF(DW82=0,0,1)*($P$65*(1+Assumptions!$H$69)^(DX11-1))</f>
        <v>0</v>
      </c>
      <c r="DY65" s="141">
        <f>IF(DX82=0,0,1)*($P$65*(1+Assumptions!$H$69)^(DY11-1))</f>
        <v>0</v>
      </c>
      <c r="DZ65" s="141">
        <f>IF(DY82=0,0,1)*($P$65*(1+Assumptions!$H$69)^(DZ11-1))</f>
        <v>0</v>
      </c>
      <c r="EA65" s="141">
        <f>IF(DZ82=0,0,1)*($P$65*(1+Assumptions!$H$69)^(EA11-1))</f>
        <v>0</v>
      </c>
      <c r="EB65" s="141">
        <f>IF(EA82=0,0,1)*($P$65*(1+Assumptions!$H$69)^(EB11-1))</f>
        <v>0</v>
      </c>
      <c r="EC65" s="141">
        <f>IF(EB82=0,0,1)*($P$65*(1+Assumptions!$H$69)^(EC11-1))</f>
        <v>0</v>
      </c>
      <c r="ED65" s="141">
        <f>IF(EC82=0,0,1)*($P$65*(1+Assumptions!$H$69)^(ED11-1))</f>
        <v>0</v>
      </c>
      <c r="EE65" s="141">
        <f>IF(ED82=0,0,1)*($P$65*(1+Assumptions!$H$69)^(EE11-1))</f>
        <v>0</v>
      </c>
      <c r="EF65" s="141">
        <f>IF(EE82=0,0,1)*($P$65*(1+Assumptions!$H$69)^(EF11-1))</f>
        <v>0</v>
      </c>
      <c r="EG65" s="141">
        <f>IF(EF82=0,0,1)*($P$65*(1+Assumptions!$H$69)^(EG11-1))</f>
        <v>0</v>
      </c>
      <c r="EH65" s="141">
        <f>IF(EG82=0,0,1)*($P$65*(1+Assumptions!$H$69)^(EH11-1))</f>
        <v>0</v>
      </c>
      <c r="EI65" s="141">
        <f>IF(EH82=0,0,1)*($P$65*(1+Assumptions!$H$69)^(EI11-1))</f>
        <v>0</v>
      </c>
      <c r="EJ65" s="141">
        <f>IF(EI82=0,0,1)*($P$65*(1+Assumptions!$H$69)^(EJ11-1))</f>
        <v>0</v>
      </c>
      <c r="EK65" s="141">
        <f>IF(EJ82=0,0,1)*($P$65*(1+Assumptions!$H$69)^(EK11-1))</f>
        <v>0</v>
      </c>
      <c r="EL65" s="141">
        <f>IF(EK82=0,0,1)*($P$65*(1+Assumptions!$H$69)^(EL11-1))</f>
        <v>0</v>
      </c>
      <c r="EM65" s="141">
        <f>IF(EL82=0,0,1)*($P$65*(1+Assumptions!$H$69)^(EM11-1))</f>
        <v>0</v>
      </c>
      <c r="EN65" s="141">
        <f>IF(EM82=0,0,1)*($P$65*(1+Assumptions!$H$69)^(EN11-1))</f>
        <v>0</v>
      </c>
      <c r="EO65" s="141">
        <f>IF(EN82=0,0,1)*($P$65*(1+Assumptions!$H$69)^(EO11-1))</f>
        <v>0</v>
      </c>
      <c r="EP65" s="141">
        <f>IF(EO82=0,0,1)*($P$65*(1+Assumptions!$H$69)^(EP11-1))</f>
        <v>0</v>
      </c>
      <c r="EQ65" s="141">
        <f>IF(EP82=0,0,1)*($P$65*(1+Assumptions!$H$69)^(EQ11-1))</f>
        <v>0</v>
      </c>
      <c r="ES65" s="421"/>
      <c r="ET65" s="67"/>
      <c r="EU65" s="195"/>
    </row>
    <row r="66" spans="2:151" s="65" customFormat="1" ht="15.75">
      <c r="G66" s="482"/>
      <c r="H66" s="274" t="s">
        <v>114</v>
      </c>
      <c r="I66" s="502"/>
      <c r="J66" s="503"/>
      <c r="K66" s="199"/>
      <c r="L66" s="200"/>
      <c r="M66" s="200"/>
      <c r="N66" s="224"/>
      <c r="O66" s="787"/>
      <c r="P66" s="799"/>
      <c r="Q66" s="799"/>
      <c r="R66" s="799"/>
      <c r="S66" s="799"/>
      <c r="T66" s="799"/>
      <c r="U66" s="799"/>
      <c r="V66" s="799"/>
      <c r="W66" s="799"/>
      <c r="X66" s="799"/>
      <c r="Y66" s="799"/>
      <c r="Z66" s="799"/>
      <c r="AA66" s="799"/>
      <c r="AB66" s="799"/>
      <c r="AC66" s="799"/>
      <c r="AD66" s="799"/>
      <c r="AE66" s="799"/>
      <c r="AF66" s="799"/>
      <c r="AG66" s="799"/>
      <c r="AH66" s="799"/>
      <c r="AI66" s="799"/>
      <c r="AJ66" s="799"/>
      <c r="AK66" s="799"/>
      <c r="AL66" s="799"/>
      <c r="AM66" s="799"/>
      <c r="AN66" s="799"/>
      <c r="AO66" s="799"/>
      <c r="AP66" s="799"/>
      <c r="AQ66" s="799"/>
      <c r="AR66" s="799"/>
      <c r="AS66" s="799"/>
      <c r="AT66" s="799"/>
      <c r="AU66" s="799"/>
      <c r="AV66" s="799"/>
      <c r="AW66" s="799"/>
      <c r="AX66" s="799"/>
      <c r="AY66" s="799"/>
      <c r="AZ66" s="799"/>
      <c r="BA66" s="799"/>
      <c r="BB66" s="799"/>
      <c r="BC66" s="799"/>
      <c r="BD66" s="799"/>
      <c r="BE66" s="799"/>
      <c r="BF66" s="799"/>
      <c r="BG66" s="799"/>
      <c r="BH66" s="799"/>
      <c r="BI66" s="799"/>
      <c r="BJ66" s="799"/>
      <c r="BK66" s="799"/>
      <c r="BL66" s="799"/>
      <c r="BM66" s="799"/>
      <c r="BN66" s="799"/>
      <c r="BO66" s="799"/>
      <c r="BP66" s="799"/>
      <c r="BQ66" s="799"/>
      <c r="BR66" s="799"/>
      <c r="BS66" s="799"/>
      <c r="BT66" s="799"/>
      <c r="BU66" s="799"/>
      <c r="BV66" s="799"/>
      <c r="BW66" s="799"/>
      <c r="BX66" s="799"/>
      <c r="BY66" s="799"/>
      <c r="BZ66" s="799"/>
      <c r="CA66" s="799"/>
      <c r="CB66" s="799"/>
      <c r="CC66" s="799"/>
      <c r="CD66" s="799"/>
      <c r="CE66" s="799"/>
      <c r="CF66" s="799"/>
      <c r="CG66" s="799"/>
      <c r="CH66" s="799"/>
      <c r="CI66" s="799"/>
      <c r="CJ66" s="799"/>
      <c r="CK66" s="799"/>
      <c r="CL66" s="799"/>
      <c r="CM66" s="799"/>
      <c r="CN66" s="799"/>
      <c r="CO66" s="799"/>
      <c r="CP66" s="799"/>
      <c r="CQ66" s="799"/>
      <c r="CR66" s="799"/>
      <c r="CS66" s="799"/>
      <c r="CT66" s="799"/>
      <c r="CU66" s="799"/>
      <c r="CV66" s="799"/>
      <c r="CW66" s="799"/>
      <c r="CX66" s="799"/>
      <c r="CY66" s="799"/>
      <c r="CZ66" s="799"/>
      <c r="DA66" s="799"/>
      <c r="DB66" s="799"/>
      <c r="DC66" s="799"/>
      <c r="DD66" s="799"/>
      <c r="DE66" s="799"/>
      <c r="DF66" s="799"/>
      <c r="DG66" s="799"/>
      <c r="DH66" s="799"/>
      <c r="DI66" s="799"/>
      <c r="DJ66" s="799"/>
      <c r="DK66" s="799"/>
      <c r="DL66" s="799"/>
      <c r="DM66" s="799"/>
      <c r="DN66" s="799"/>
      <c r="DO66" s="799"/>
      <c r="DP66" s="799"/>
      <c r="DQ66" s="799"/>
      <c r="DR66" s="799"/>
      <c r="DS66" s="799"/>
      <c r="DT66" s="799"/>
      <c r="DU66" s="799"/>
      <c r="DV66" s="799"/>
      <c r="DW66" s="799"/>
      <c r="DX66" s="799"/>
      <c r="DY66" s="799"/>
      <c r="DZ66" s="799"/>
      <c r="EA66" s="799"/>
      <c r="EB66" s="799"/>
      <c r="EC66" s="799"/>
      <c r="ED66" s="799"/>
      <c r="EE66" s="799"/>
      <c r="EF66" s="799"/>
      <c r="EG66" s="799"/>
      <c r="EH66" s="799"/>
      <c r="EI66" s="799"/>
      <c r="EJ66" s="799"/>
      <c r="EK66" s="799"/>
      <c r="EL66" s="799"/>
      <c r="EM66" s="799"/>
      <c r="EN66" s="799"/>
      <c r="EO66" s="799"/>
      <c r="EP66" s="799"/>
      <c r="EQ66" s="799"/>
      <c r="ES66" s="421"/>
      <c r="ET66" s="67"/>
      <c r="EU66" s="195"/>
    </row>
    <row r="67" spans="2:151" ht="15.75">
      <c r="G67" s="145"/>
      <c r="H67" s="128" t="s">
        <v>5</v>
      </c>
      <c r="I67" s="504"/>
      <c r="J67" s="505"/>
      <c r="K67" s="130"/>
      <c r="L67" s="131"/>
      <c r="M67" s="131"/>
      <c r="N67" s="225">
        <f>'Annual Cash Flow'!C47</f>
        <v>-17748</v>
      </c>
      <c r="O67" s="787"/>
      <c r="P67" s="102">
        <f>-Assumptions!F59/12</f>
        <v>-1479</v>
      </c>
      <c r="Q67" s="141">
        <f ca="1">IF(P82=0,0,1)*($P$67*(1+Assumptions!$H$69)^(Q11-1))</f>
        <v>-1479</v>
      </c>
      <c r="R67" s="141">
        <f ca="1">IF(Q82=0,0,1)*($P$67*(1+Assumptions!$H$69)^(R11-1))</f>
        <v>-1479</v>
      </c>
      <c r="S67" s="141">
        <f ca="1">IF(R82=0,0,1)*($P$67*(1+Assumptions!$H$69)^(S11-1))</f>
        <v>-1479</v>
      </c>
      <c r="T67" s="141">
        <f ca="1">IF(S82=0,0,1)*($P$67*(1+Assumptions!$H$69)^(T11-1))</f>
        <v>-1479</v>
      </c>
      <c r="U67" s="141">
        <f ca="1">IF(T82=0,0,1)*($P$67*(1+Assumptions!$H$69)^(U11-1))</f>
        <v>-1479</v>
      </c>
      <c r="V67" s="141">
        <f ca="1">IF(U82=0,0,1)*($P$67*(1+Assumptions!$H$69)^(V11-1))</f>
        <v>-1479</v>
      </c>
      <c r="W67" s="141">
        <f ca="1">IF(V82=0,0,1)*($P$67*(1+Assumptions!$H$69)^(W11-1))</f>
        <v>-1479</v>
      </c>
      <c r="X67" s="141">
        <f ca="1">IF(W82=0,0,1)*($P$67*(1+Assumptions!$H$69)^(X11-1))</f>
        <v>-1479</v>
      </c>
      <c r="Y67" s="141">
        <f ca="1">IF(X82=0,0,1)*($P$67*(1+Assumptions!$H$69)^(Y11-1))</f>
        <v>-1479</v>
      </c>
      <c r="Z67" s="141">
        <f ca="1">IF(Y82=0,0,1)*($P$67*(1+Assumptions!$H$69)^(Z11-1))</f>
        <v>-1479</v>
      </c>
      <c r="AA67" s="141">
        <f ca="1">IF(Z82=0,0,1)*($P$67*(1+Assumptions!$H$69)^(AA11-1))</f>
        <v>-1479</v>
      </c>
      <c r="AB67" s="141">
        <f ca="1">IF(AA82=0,0,1)*($P$67*(1+Assumptions!$H$69)^(AB11-1))</f>
        <v>-1523.3700000000001</v>
      </c>
      <c r="AC67" s="141">
        <f ca="1">IF(AB82=0,0,1)*($P$67*(1+Assumptions!$H$69)^(AC11-1))</f>
        <v>-1523.3700000000001</v>
      </c>
      <c r="AD67" s="141">
        <f ca="1">IF(AC82=0,0,1)*($P$67*(1+Assumptions!$H$69)^(AD11-1))</f>
        <v>-1523.3700000000001</v>
      </c>
      <c r="AE67" s="141">
        <f ca="1">IF(AD82=0,0,1)*($P$67*(1+Assumptions!$H$69)^(AE11-1))</f>
        <v>-1523.3700000000001</v>
      </c>
      <c r="AF67" s="141">
        <f ca="1">IF(AE82=0,0,1)*($P$67*(1+Assumptions!$H$69)^(AF11-1))</f>
        <v>-1523.3700000000001</v>
      </c>
      <c r="AG67" s="141">
        <f ca="1">IF(AF82=0,0,1)*($P$67*(1+Assumptions!$H$69)^(AG11-1))</f>
        <v>-1523.3700000000001</v>
      </c>
      <c r="AH67" s="141">
        <f ca="1">IF(AG82=0,0,1)*($P$67*(1+Assumptions!$H$69)^(AH11-1))</f>
        <v>-1523.3700000000001</v>
      </c>
      <c r="AI67" s="141">
        <f ca="1">IF(AH82=0,0,1)*($P$67*(1+Assumptions!$H$69)^(AI11-1))</f>
        <v>-1523.3700000000001</v>
      </c>
      <c r="AJ67" s="141">
        <f ca="1">IF(AI82=0,0,1)*($P$67*(1+Assumptions!$H$69)^(AJ11-1))</f>
        <v>-1523.3700000000001</v>
      </c>
      <c r="AK67" s="141">
        <f ca="1">IF(AJ82=0,0,1)*($P$67*(1+Assumptions!$H$69)^(AK11-1))</f>
        <v>-1523.3700000000001</v>
      </c>
      <c r="AL67" s="141">
        <f ca="1">IF(AK82=0,0,1)*($P$67*(1+Assumptions!$H$69)^(AL11-1))</f>
        <v>-1523.3700000000001</v>
      </c>
      <c r="AM67" s="141">
        <f ca="1">IF(AL82=0,0,1)*($P$67*(1+Assumptions!$H$69)^(AM11-1))</f>
        <v>-1523.3700000000001</v>
      </c>
      <c r="AN67" s="141">
        <f ca="1">IF(AM82=0,0,1)*($P$67*(1+Assumptions!$H$69)^(AN11-1))</f>
        <v>-1569.0710999999999</v>
      </c>
      <c r="AO67" s="141">
        <f ca="1">IF(AN82=0,0,1)*($P$67*(1+Assumptions!$H$69)^(AO11-1))</f>
        <v>-1569.0710999999999</v>
      </c>
      <c r="AP67" s="141">
        <f ca="1">IF(AO82=0,0,1)*($P$67*(1+Assumptions!$H$69)^(AP11-1))</f>
        <v>-1569.0710999999999</v>
      </c>
      <c r="AQ67" s="141">
        <f ca="1">IF(AP82=0,0,1)*($P$67*(1+Assumptions!$H$69)^(AQ11-1))</f>
        <v>-1569.0710999999999</v>
      </c>
      <c r="AR67" s="141">
        <f ca="1">IF(AQ82=0,0,1)*($P$67*(1+Assumptions!$H$69)^(AR11-1))</f>
        <v>-1569.0710999999999</v>
      </c>
      <c r="AS67" s="141">
        <f ca="1">IF(AR82=0,0,1)*($P$67*(1+Assumptions!$H$69)^(AS11-1))</f>
        <v>-1569.0710999999999</v>
      </c>
      <c r="AT67" s="141">
        <f ca="1">IF(AS82=0,0,1)*($P$67*(1+Assumptions!$H$69)^(AT11-1))</f>
        <v>-1569.0710999999999</v>
      </c>
      <c r="AU67" s="141">
        <f ca="1">IF(AT82=0,0,1)*($P$67*(1+Assumptions!$H$69)^(AU11-1))</f>
        <v>-1569.0710999999999</v>
      </c>
      <c r="AV67" s="141">
        <f ca="1">IF(AU82=0,0,1)*($P$67*(1+Assumptions!$H$69)^(AV11-1))</f>
        <v>-1569.0710999999999</v>
      </c>
      <c r="AW67" s="141">
        <f ca="1">IF(AV82=0,0,1)*($P$67*(1+Assumptions!$H$69)^(AW11-1))</f>
        <v>-1569.0710999999999</v>
      </c>
      <c r="AX67" s="141">
        <f ca="1">IF(AW82=0,0,1)*($P$67*(1+Assumptions!$H$69)^(AX11-1))</f>
        <v>-1569.0710999999999</v>
      </c>
      <c r="AY67" s="141">
        <f ca="1">IF(AX82=0,0,1)*($P$67*(1+Assumptions!$H$69)^(AY11-1))</f>
        <v>-1569.0710999999999</v>
      </c>
      <c r="AZ67" s="141">
        <f ca="1">IF(AY82=0,0,1)*($P$67*(1+Assumptions!$H$69)^(AZ11-1))</f>
        <v>-1616.143233</v>
      </c>
      <c r="BA67" s="141">
        <f ca="1">IF(AZ82=0,0,1)*($P$67*(1+Assumptions!$H$69)^(BA11-1))</f>
        <v>-1616.143233</v>
      </c>
      <c r="BB67" s="141">
        <f ca="1">IF(BA82=0,0,1)*($P$67*(1+Assumptions!$H$69)^(BB11-1))</f>
        <v>-1616.143233</v>
      </c>
      <c r="BC67" s="141">
        <f ca="1">IF(BB82=0,0,1)*($P$67*(1+Assumptions!$H$69)^(BC11-1))</f>
        <v>-1616.143233</v>
      </c>
      <c r="BD67" s="141">
        <f ca="1">IF(BC82=0,0,1)*($P$67*(1+Assumptions!$H$69)^(BD11-1))</f>
        <v>-1616.143233</v>
      </c>
      <c r="BE67" s="141">
        <f ca="1">IF(BD82=0,0,1)*($P$67*(1+Assumptions!$H$69)^(BE11-1))</f>
        <v>-1616.143233</v>
      </c>
      <c r="BF67" s="141">
        <f ca="1">IF(BE82=0,0,1)*($P$67*(1+Assumptions!$H$69)^(BF11-1))</f>
        <v>-1616.143233</v>
      </c>
      <c r="BG67" s="141">
        <f ca="1">IF(BF82=0,0,1)*($P$67*(1+Assumptions!$H$69)^(BG11-1))</f>
        <v>-1616.143233</v>
      </c>
      <c r="BH67" s="141">
        <f ca="1">IF(BG82=0,0,1)*($P$67*(1+Assumptions!$H$69)^(BH11-1))</f>
        <v>-1616.143233</v>
      </c>
      <c r="BI67" s="141">
        <f ca="1">IF(BH82=0,0,1)*($P$67*(1+Assumptions!$H$69)^(BI11-1))</f>
        <v>-1616.143233</v>
      </c>
      <c r="BJ67" s="141">
        <f ca="1">IF(BI82=0,0,1)*($P$67*(1+Assumptions!$H$69)^(BJ11-1))</f>
        <v>-1616.143233</v>
      </c>
      <c r="BK67" s="141">
        <f ca="1">IF(BJ82=0,0,1)*($P$67*(1+Assumptions!$H$69)^(BK11-1))</f>
        <v>-1616.143233</v>
      </c>
      <c r="BL67" s="141">
        <f ca="1">IF(BK82=0,0,1)*($P$67*(1+Assumptions!$H$69)^(BL11-1))</f>
        <v>-1664.6275299899999</v>
      </c>
      <c r="BM67" s="141">
        <f ca="1">IF(BL82=0,0,1)*($P$67*(1+Assumptions!$H$69)^(BM11-1))</f>
        <v>-1664.6275299899999</v>
      </c>
      <c r="BN67" s="141">
        <f ca="1">IF(BM82=0,0,1)*($P$67*(1+Assumptions!$H$69)^(BN11-1))</f>
        <v>-1664.6275299899999</v>
      </c>
      <c r="BO67" s="141">
        <f ca="1">IF(BN82=0,0,1)*($P$67*(1+Assumptions!$H$69)^(BO11-1))</f>
        <v>-1664.6275299899999</v>
      </c>
      <c r="BP67" s="141">
        <f ca="1">IF(BO82=0,0,1)*($P$67*(1+Assumptions!$H$69)^(BP11-1))</f>
        <v>-1664.6275299899999</v>
      </c>
      <c r="BQ67" s="141">
        <f ca="1">IF(BP82=0,0,1)*($P$67*(1+Assumptions!$H$69)^(BQ11-1))</f>
        <v>-1664.6275299899999</v>
      </c>
      <c r="BR67" s="141">
        <f ca="1">IF(BQ82=0,0,1)*($P$67*(1+Assumptions!$H$69)^(BR11-1))</f>
        <v>-1664.6275299899999</v>
      </c>
      <c r="BS67" s="141">
        <f ca="1">IF(BR82=0,0,1)*($P$67*(1+Assumptions!$H$69)^(BS11-1))</f>
        <v>-1664.6275299899999</v>
      </c>
      <c r="BT67" s="141">
        <f ca="1">IF(BS82=0,0,1)*($P$67*(1+Assumptions!$H$69)^(BT11-1))</f>
        <v>-1664.6275299899999</v>
      </c>
      <c r="BU67" s="141">
        <f ca="1">IF(BT82=0,0,1)*($P$67*(1+Assumptions!$H$69)^(BU11-1))</f>
        <v>-1664.6275299899999</v>
      </c>
      <c r="BV67" s="141">
        <f ca="1">IF(BU82=0,0,1)*($P$67*(1+Assumptions!$H$69)^(BV11-1))</f>
        <v>-1664.6275299899999</v>
      </c>
      <c r="BW67" s="141">
        <f ca="1">IF(BV82=0,0,1)*($P$67*(1+Assumptions!$H$69)^(BW11-1))</f>
        <v>-1664.6275299899999</v>
      </c>
      <c r="BX67" s="141">
        <f ca="1">IF(BW82=0,0,1)*($P$67*(1+Assumptions!$H$69)^(BX11-1))</f>
        <v>-1714.5663558896997</v>
      </c>
      <c r="BY67" s="141">
        <f ca="1">IF(BX82=0,0,1)*($P$67*(1+Assumptions!$H$69)^(BY11-1))</f>
        <v>-1714.5663558896997</v>
      </c>
      <c r="BZ67" s="141">
        <f ca="1">IF(BY82=0,0,1)*($P$67*(1+Assumptions!$H$69)^(BZ11-1))</f>
        <v>-1714.5663558896997</v>
      </c>
      <c r="CA67" s="141">
        <f ca="1">IF(BZ82=0,0,1)*($P$67*(1+Assumptions!$H$69)^(CA11-1))</f>
        <v>-1714.5663558896997</v>
      </c>
      <c r="CB67" s="141">
        <f ca="1">IF(CA82=0,0,1)*($P$67*(1+Assumptions!$H$69)^(CB11-1))</f>
        <v>-1714.5663558896997</v>
      </c>
      <c r="CC67" s="141">
        <f ca="1">IF(CB82=0,0,1)*($P$67*(1+Assumptions!$H$69)^(CC11-1))</f>
        <v>-1714.5663558896997</v>
      </c>
      <c r="CD67" s="141">
        <f ca="1">IF(CC82=0,0,1)*($P$67*(1+Assumptions!$H$69)^(CD11-1))</f>
        <v>-1714.5663558896997</v>
      </c>
      <c r="CE67" s="141">
        <f ca="1">IF(CD82=0,0,1)*($P$67*(1+Assumptions!$H$69)^(CE11-1))</f>
        <v>-1714.5663558896997</v>
      </c>
      <c r="CF67" s="141">
        <f ca="1">IF(CE82=0,0,1)*($P$67*(1+Assumptions!$H$69)^(CF11-1))</f>
        <v>-1714.5663558896997</v>
      </c>
      <c r="CG67" s="141">
        <f ca="1">IF(CF82=0,0,1)*($P$67*(1+Assumptions!$H$69)^(CG11-1))</f>
        <v>-1714.5663558896997</v>
      </c>
      <c r="CH67" s="141">
        <f ca="1">IF(CG82=0,0,1)*($P$67*(1+Assumptions!$H$69)^(CH11-1))</f>
        <v>-1714.5663558896997</v>
      </c>
      <c r="CI67" s="141">
        <f ca="1">IF(CH82=0,0,1)*($P$67*(1+Assumptions!$H$69)^(CI11-1))</f>
        <v>-1714.5663558896997</v>
      </c>
      <c r="CJ67" s="141">
        <f ca="1">IF(CI82=0,0,1)*($P$67*(1+Assumptions!$H$69)^(CJ11-1))</f>
        <v>-1766.003346566391</v>
      </c>
      <c r="CK67" s="141">
        <f ca="1">IF(CJ82=0,0,1)*($P$67*(1+Assumptions!$H$69)^(CK11-1))</f>
        <v>-1766.003346566391</v>
      </c>
      <c r="CL67" s="141">
        <f ca="1">IF(CK82=0,0,1)*($P$67*(1+Assumptions!$H$69)^(CL11-1))</f>
        <v>-1766.003346566391</v>
      </c>
      <c r="CM67" s="141">
        <f ca="1">IF(CL82=0,0,1)*($P$67*(1+Assumptions!$H$69)^(CM11-1))</f>
        <v>-1766.003346566391</v>
      </c>
      <c r="CN67" s="141">
        <f ca="1">IF(CM82=0,0,1)*($P$67*(1+Assumptions!$H$69)^(CN11-1))</f>
        <v>-1766.003346566391</v>
      </c>
      <c r="CO67" s="141">
        <f ca="1">IF(CN82=0,0,1)*($P$67*(1+Assumptions!$H$69)^(CO11-1))</f>
        <v>-1766.003346566391</v>
      </c>
      <c r="CP67" s="141">
        <f ca="1">IF(CO82=0,0,1)*($P$67*(1+Assumptions!$H$69)^(CP11-1))</f>
        <v>-1766.003346566391</v>
      </c>
      <c r="CQ67" s="141">
        <f ca="1">IF(CP82=0,0,1)*($P$67*(1+Assumptions!$H$69)^(CQ11-1))</f>
        <v>-1766.003346566391</v>
      </c>
      <c r="CR67" s="141">
        <f ca="1">IF(CQ82=0,0,1)*($P$67*(1+Assumptions!$H$69)^(CR11-1))</f>
        <v>-1766.003346566391</v>
      </c>
      <c r="CS67" s="141">
        <f ca="1">IF(CR82=0,0,1)*($P$67*(1+Assumptions!$H$69)^(CS11-1))</f>
        <v>-1766.003346566391</v>
      </c>
      <c r="CT67" s="141">
        <f ca="1">IF(CS82=0,0,1)*($P$67*(1+Assumptions!$H$69)^(CT11-1))</f>
        <v>-1766.003346566391</v>
      </c>
      <c r="CU67" s="141">
        <f ca="1">IF(CT82=0,0,1)*($P$67*(1+Assumptions!$H$69)^(CU11-1))</f>
        <v>-1766.003346566391</v>
      </c>
      <c r="CV67" s="141">
        <f ca="1">IF(CU82=0,0,1)*($P$67*(1+Assumptions!$H$69)^(CV11-1))</f>
        <v>-1818.9834469633827</v>
      </c>
      <c r="CW67" s="141">
        <f ca="1">IF(CV82=0,0,1)*($P$67*(1+Assumptions!$H$69)^(CW11-1))</f>
        <v>-1818.9834469633827</v>
      </c>
      <c r="CX67" s="141">
        <f ca="1">IF(CW82=0,0,1)*($P$67*(1+Assumptions!$H$69)^(CX11-1))</f>
        <v>-1818.9834469633827</v>
      </c>
      <c r="CY67" s="141">
        <f ca="1">IF(CX82=0,0,1)*($P$67*(1+Assumptions!$H$69)^(CY11-1))</f>
        <v>-1818.9834469633827</v>
      </c>
      <c r="CZ67" s="141">
        <f ca="1">IF(CY82=0,0,1)*($P$67*(1+Assumptions!$H$69)^(CZ11-1))</f>
        <v>-1818.9834469633827</v>
      </c>
      <c r="DA67" s="141">
        <f ca="1">IF(CZ82=0,0,1)*($P$67*(1+Assumptions!$H$69)^(DA11-1))</f>
        <v>-1818.9834469633827</v>
      </c>
      <c r="DB67" s="141">
        <f ca="1">IF(DA82=0,0,1)*($P$67*(1+Assumptions!$H$69)^(DB11-1))</f>
        <v>-1818.9834469633827</v>
      </c>
      <c r="DC67" s="141">
        <f ca="1">IF(DB82=0,0,1)*($P$67*(1+Assumptions!$H$69)^(DC11-1))</f>
        <v>-1818.9834469633827</v>
      </c>
      <c r="DD67" s="141">
        <f ca="1">IF(DC82=0,0,1)*($P$67*(1+Assumptions!$H$69)^(DD11-1))</f>
        <v>-1818.9834469633827</v>
      </c>
      <c r="DE67" s="141">
        <f ca="1">IF(DD82=0,0,1)*($P$67*(1+Assumptions!$H$69)^(DE11-1))</f>
        <v>-1818.9834469633827</v>
      </c>
      <c r="DF67" s="141">
        <f ca="1">IF(DE82=0,0,1)*($P$67*(1+Assumptions!$H$69)^(DF11-1))</f>
        <v>-1818.9834469633827</v>
      </c>
      <c r="DG67" s="141">
        <f ca="1">IF(DF82=0,0,1)*($P$67*(1+Assumptions!$H$69)^(DG11-1))</f>
        <v>-1818.9834469633827</v>
      </c>
      <c r="DH67" s="141">
        <f ca="1">IF(DG82=0,0,1)*($P$67*(1+Assumptions!$H$69)^(DH11-1))</f>
        <v>-1873.5529503722839</v>
      </c>
      <c r="DI67" s="141">
        <f ca="1">IF(DH82=0,0,1)*($P$67*(1+Assumptions!$H$69)^(DI11-1))</f>
        <v>-1873.5529503722839</v>
      </c>
      <c r="DJ67" s="141">
        <f>IF(DI82=0,0,1)*($P$67*(1+Assumptions!$H$69)^(DJ11-1))</f>
        <v>0</v>
      </c>
      <c r="DK67" s="141">
        <f>IF(DJ82=0,0,1)*($P$67*(1+Assumptions!$H$69)^(DK11-1))</f>
        <v>0</v>
      </c>
      <c r="DL67" s="141">
        <f>IF(DK82=0,0,1)*($P$67*(1+Assumptions!$H$69)^(DL11-1))</f>
        <v>0</v>
      </c>
      <c r="DM67" s="141">
        <f>IF(DL82=0,0,1)*($P$67*(1+Assumptions!$H$69)^(DM11-1))</f>
        <v>0</v>
      </c>
      <c r="DN67" s="141">
        <f>IF(DM82=0,0,1)*($P$67*(1+Assumptions!$H$69)^(DN11-1))</f>
        <v>0</v>
      </c>
      <c r="DO67" s="141">
        <f>IF(DN82=0,0,1)*($P$67*(1+Assumptions!$H$69)^(DO11-1))</f>
        <v>0</v>
      </c>
      <c r="DP67" s="141">
        <f>IF(DO82=0,0,1)*($P$67*(1+Assumptions!$H$69)^(DP11-1))</f>
        <v>0</v>
      </c>
      <c r="DQ67" s="141">
        <f>IF(DP82=0,0,1)*($P$67*(1+Assumptions!$H$69)^(DQ11-1))</f>
        <v>0</v>
      </c>
      <c r="DR67" s="141">
        <f>IF(DQ82=0,0,1)*($P$67*(1+Assumptions!$H$69)^(DR11-1))</f>
        <v>0</v>
      </c>
      <c r="DS67" s="141">
        <f>IF(DR82=0,0,1)*($P$67*(1+Assumptions!$H$69)^(DS11-1))</f>
        <v>0</v>
      </c>
      <c r="DT67" s="141">
        <f>IF(DS82=0,0,1)*($P$67*(1+Assumptions!$H$69)^(DT11-1))</f>
        <v>0</v>
      </c>
      <c r="DU67" s="141">
        <f>IF(DT82=0,0,1)*($P$67*(1+Assumptions!$H$69)^(DU11-1))</f>
        <v>0</v>
      </c>
      <c r="DV67" s="141">
        <f>IF(DU82=0,0,1)*($P$67*(1+Assumptions!$H$69)^(DV11-1))</f>
        <v>0</v>
      </c>
      <c r="DW67" s="141">
        <f>IF(DV82=0,0,1)*($P$67*(1+Assumptions!$H$69)^(DW11-1))</f>
        <v>0</v>
      </c>
      <c r="DX67" s="141">
        <f>IF(DW82=0,0,1)*($P$67*(1+Assumptions!$H$69)^(DX11-1))</f>
        <v>0</v>
      </c>
      <c r="DY67" s="141">
        <f>IF(DX82=0,0,1)*($P$67*(1+Assumptions!$H$69)^(DY11-1))</f>
        <v>0</v>
      </c>
      <c r="DZ67" s="141">
        <f>IF(DY82=0,0,1)*($P$67*(1+Assumptions!$H$69)^(DZ11-1))</f>
        <v>0</v>
      </c>
      <c r="EA67" s="141">
        <f>IF(DZ82=0,0,1)*($P$67*(1+Assumptions!$H$69)^(EA11-1))</f>
        <v>0</v>
      </c>
      <c r="EB67" s="141">
        <f>IF(EA82=0,0,1)*($P$67*(1+Assumptions!$H$69)^(EB11-1))</f>
        <v>0</v>
      </c>
      <c r="EC67" s="141">
        <f>IF(EB82=0,0,1)*($P$67*(1+Assumptions!$H$69)^(EC11-1))</f>
        <v>0</v>
      </c>
      <c r="ED67" s="141">
        <f>IF(EC82=0,0,1)*($P$67*(1+Assumptions!$H$69)^(ED11-1))</f>
        <v>0</v>
      </c>
      <c r="EE67" s="141">
        <f>IF(ED82=0,0,1)*($P$67*(1+Assumptions!$H$69)^(EE11-1))</f>
        <v>0</v>
      </c>
      <c r="EF67" s="141">
        <f>IF(EE82=0,0,1)*($P$67*(1+Assumptions!$H$69)^(EF11-1))</f>
        <v>0</v>
      </c>
      <c r="EG67" s="141">
        <f>IF(EF82=0,0,1)*($P$67*(1+Assumptions!$H$69)^(EG11-1))</f>
        <v>0</v>
      </c>
      <c r="EH67" s="141">
        <f>IF(EG82=0,0,1)*($P$67*(1+Assumptions!$H$69)^(EH11-1))</f>
        <v>0</v>
      </c>
      <c r="EI67" s="141">
        <f>IF(EH82=0,0,1)*($P$67*(1+Assumptions!$H$69)^(EI11-1))</f>
        <v>0</v>
      </c>
      <c r="EJ67" s="141">
        <f>IF(EI82=0,0,1)*($P$67*(1+Assumptions!$H$69)^(EJ11-1))</f>
        <v>0</v>
      </c>
      <c r="EK67" s="141">
        <f>IF(EJ82=0,0,1)*($P$67*(1+Assumptions!$H$69)^(EK11-1))</f>
        <v>0</v>
      </c>
      <c r="EL67" s="141">
        <f>IF(EK82=0,0,1)*($P$67*(1+Assumptions!$H$69)^(EL11-1))</f>
        <v>0</v>
      </c>
      <c r="EM67" s="141">
        <f>IF(EL82=0,0,1)*($P$67*(1+Assumptions!$H$69)^(EM11-1))</f>
        <v>0</v>
      </c>
      <c r="EN67" s="141">
        <f>IF(EM82=0,0,1)*($P$67*(1+Assumptions!$H$69)^(EN11-1))</f>
        <v>0</v>
      </c>
      <c r="EO67" s="141">
        <f>IF(EN82=0,0,1)*($P$67*(1+Assumptions!$H$69)^(EO11-1))</f>
        <v>0</v>
      </c>
      <c r="EP67" s="141">
        <f>IF(EO82=0,0,1)*($P$67*(1+Assumptions!$H$69)^(EP11-1))</f>
        <v>0</v>
      </c>
      <c r="EQ67" s="141">
        <f>IF(EP82=0,0,1)*($P$67*(1+Assumptions!$H$69)^(EQ11-1))</f>
        <v>0</v>
      </c>
      <c r="ES67" s="421"/>
      <c r="ET67" s="63"/>
      <c r="EU67" s="98"/>
    </row>
    <row r="68" spans="2:151" ht="15.75">
      <c r="G68" s="145"/>
      <c r="H68" s="128" t="s">
        <v>45</v>
      </c>
      <c r="I68" s="504"/>
      <c r="J68" s="505"/>
      <c r="K68" s="130"/>
      <c r="L68" s="131"/>
      <c r="M68" s="131"/>
      <c r="N68" s="225">
        <f>'Annual Cash Flow'!C48</f>
        <v>0</v>
      </c>
      <c r="O68" s="787"/>
      <c r="P68" s="102">
        <f>-Assumptions!F60/12</f>
        <v>0</v>
      </c>
      <c r="Q68" s="141">
        <f ca="1">IF(P82=0,0,1)*($P$68*(1+Assumptions!$H$69)^(Q11-1))</f>
        <v>0</v>
      </c>
      <c r="R68" s="141">
        <f ca="1">IF(Q82=0,0,1)*($P$68*(1+Assumptions!$H$69)^(R11-1))</f>
        <v>0</v>
      </c>
      <c r="S68" s="141">
        <f ca="1">IF(R82=0,0,1)*($P$68*(1+Assumptions!$H$69)^(S11-1))</f>
        <v>0</v>
      </c>
      <c r="T68" s="141">
        <f ca="1">IF(S82=0,0,1)*($P$68*(1+Assumptions!$H$69)^(T11-1))</f>
        <v>0</v>
      </c>
      <c r="U68" s="141">
        <f ca="1">IF(T82=0,0,1)*($P$68*(1+Assumptions!$H$69)^(U11-1))</f>
        <v>0</v>
      </c>
      <c r="V68" s="141">
        <f ca="1">IF(U82=0,0,1)*($P$68*(1+Assumptions!$H$69)^(V11-1))</f>
        <v>0</v>
      </c>
      <c r="W68" s="141">
        <f ca="1">IF(V82=0,0,1)*($P$68*(1+Assumptions!$H$69)^(W11-1))</f>
        <v>0</v>
      </c>
      <c r="X68" s="141">
        <f ca="1">IF(W82=0,0,1)*($P$68*(1+Assumptions!$H$69)^(X11-1))</f>
        <v>0</v>
      </c>
      <c r="Y68" s="141">
        <f ca="1">IF(X82=0,0,1)*($P$68*(1+Assumptions!$H$69)^(Y11-1))</f>
        <v>0</v>
      </c>
      <c r="Z68" s="141">
        <f ca="1">IF(Y82=0,0,1)*($P$68*(1+Assumptions!$H$69)^(Z11-1))</f>
        <v>0</v>
      </c>
      <c r="AA68" s="141">
        <f ca="1">IF(Z82=0,0,1)*($P$68*(1+Assumptions!$H$69)^(AA11-1))</f>
        <v>0</v>
      </c>
      <c r="AB68" s="141">
        <f ca="1">IF(AA82=0,0,1)*($P$68*(1+Assumptions!$H$69)^(AB11-1))</f>
        <v>0</v>
      </c>
      <c r="AC68" s="141">
        <f ca="1">IF(AB82=0,0,1)*($P$68*(1+Assumptions!$H$69)^(AC11-1))</f>
        <v>0</v>
      </c>
      <c r="AD68" s="141">
        <f ca="1">IF(AC82=0,0,1)*($P$68*(1+Assumptions!$H$69)^(AD11-1))</f>
        <v>0</v>
      </c>
      <c r="AE68" s="141">
        <f ca="1">IF(AD82=0,0,1)*($P$68*(1+Assumptions!$H$69)^(AE11-1))</f>
        <v>0</v>
      </c>
      <c r="AF68" s="141">
        <f ca="1">IF(AE82=0,0,1)*($P$68*(1+Assumptions!$H$69)^(AF11-1))</f>
        <v>0</v>
      </c>
      <c r="AG68" s="141">
        <f ca="1">IF(AF82=0,0,1)*($P$68*(1+Assumptions!$H$69)^(AG11-1))</f>
        <v>0</v>
      </c>
      <c r="AH68" s="141">
        <f ca="1">IF(AG82=0,0,1)*($P$68*(1+Assumptions!$H$69)^(AH11-1))</f>
        <v>0</v>
      </c>
      <c r="AI68" s="141">
        <f ca="1">IF(AH82=0,0,1)*($P$68*(1+Assumptions!$H$69)^(AI11-1))</f>
        <v>0</v>
      </c>
      <c r="AJ68" s="141">
        <f ca="1">IF(AI82=0,0,1)*($P$68*(1+Assumptions!$H$69)^(AJ11-1))</f>
        <v>0</v>
      </c>
      <c r="AK68" s="141">
        <f ca="1">IF(AJ82=0,0,1)*($P$68*(1+Assumptions!$H$69)^(AK11-1))</f>
        <v>0</v>
      </c>
      <c r="AL68" s="141">
        <f ca="1">IF(AK82=0,0,1)*($P$68*(1+Assumptions!$H$69)^(AL11-1))</f>
        <v>0</v>
      </c>
      <c r="AM68" s="141">
        <f ca="1">IF(AL82=0,0,1)*($P$68*(1+Assumptions!$H$69)^(AM11-1))</f>
        <v>0</v>
      </c>
      <c r="AN68" s="141">
        <f ca="1">IF(AM82=0,0,1)*($P$68*(1+Assumptions!$H$69)^(AN11-1))</f>
        <v>0</v>
      </c>
      <c r="AO68" s="141">
        <f ca="1">IF(AN82=0,0,1)*($P$68*(1+Assumptions!$H$69)^(AO11-1))</f>
        <v>0</v>
      </c>
      <c r="AP68" s="141">
        <f ca="1">IF(AO82=0,0,1)*($P$68*(1+Assumptions!$H$69)^(AP11-1))</f>
        <v>0</v>
      </c>
      <c r="AQ68" s="141">
        <f ca="1">IF(AP82=0,0,1)*($P$68*(1+Assumptions!$H$69)^(AQ11-1))</f>
        <v>0</v>
      </c>
      <c r="AR68" s="141">
        <f ca="1">IF(AQ82=0,0,1)*($P$68*(1+Assumptions!$H$69)^(AR11-1))</f>
        <v>0</v>
      </c>
      <c r="AS68" s="141">
        <f ca="1">IF(AR82=0,0,1)*($P$68*(1+Assumptions!$H$69)^(AS11-1))</f>
        <v>0</v>
      </c>
      <c r="AT68" s="141">
        <f ca="1">IF(AS82=0,0,1)*($P$68*(1+Assumptions!$H$69)^(AT11-1))</f>
        <v>0</v>
      </c>
      <c r="AU68" s="141">
        <f ca="1">IF(AT82=0,0,1)*($P$68*(1+Assumptions!$H$69)^(AU11-1))</f>
        <v>0</v>
      </c>
      <c r="AV68" s="141">
        <f ca="1">IF(AU82=0,0,1)*($P$68*(1+Assumptions!$H$69)^(AV11-1))</f>
        <v>0</v>
      </c>
      <c r="AW68" s="141">
        <f ca="1">IF(AV82=0,0,1)*($P$68*(1+Assumptions!$H$69)^(AW11-1))</f>
        <v>0</v>
      </c>
      <c r="AX68" s="141">
        <f ca="1">IF(AW82=0,0,1)*($P$68*(1+Assumptions!$H$69)^(AX11-1))</f>
        <v>0</v>
      </c>
      <c r="AY68" s="141">
        <f ca="1">IF(AX82=0,0,1)*($P$68*(1+Assumptions!$H$69)^(AY11-1))</f>
        <v>0</v>
      </c>
      <c r="AZ68" s="141">
        <f ca="1">IF(AY82=0,0,1)*($P$68*(1+Assumptions!$H$69)^(AZ11-1))</f>
        <v>0</v>
      </c>
      <c r="BA68" s="141">
        <f ca="1">IF(AZ82=0,0,1)*($P$68*(1+Assumptions!$H$69)^(BA11-1))</f>
        <v>0</v>
      </c>
      <c r="BB68" s="141">
        <f ca="1">IF(BA82=0,0,1)*($P$68*(1+Assumptions!$H$69)^(BB11-1))</f>
        <v>0</v>
      </c>
      <c r="BC68" s="141">
        <f ca="1">IF(BB82=0,0,1)*($P$68*(1+Assumptions!$H$69)^(BC11-1))</f>
        <v>0</v>
      </c>
      <c r="BD68" s="141">
        <f ca="1">IF(BC82=0,0,1)*($P$68*(1+Assumptions!$H$69)^(BD11-1))</f>
        <v>0</v>
      </c>
      <c r="BE68" s="141">
        <f ca="1">IF(BD82=0,0,1)*($P$68*(1+Assumptions!$H$69)^(BE11-1))</f>
        <v>0</v>
      </c>
      <c r="BF68" s="141">
        <f ca="1">IF(BE82=0,0,1)*($P$68*(1+Assumptions!$H$69)^(BF11-1))</f>
        <v>0</v>
      </c>
      <c r="BG68" s="141">
        <f ca="1">IF(BF82=0,0,1)*($P$68*(1+Assumptions!$H$69)^(BG11-1))</f>
        <v>0</v>
      </c>
      <c r="BH68" s="141">
        <f ca="1">IF(BG82=0,0,1)*($P$68*(1+Assumptions!$H$69)^(BH11-1))</f>
        <v>0</v>
      </c>
      <c r="BI68" s="141">
        <f ca="1">IF(BH82=0,0,1)*($P$68*(1+Assumptions!$H$69)^(BI11-1))</f>
        <v>0</v>
      </c>
      <c r="BJ68" s="141">
        <f ca="1">IF(BI82=0,0,1)*($P$68*(1+Assumptions!$H$69)^(BJ11-1))</f>
        <v>0</v>
      </c>
      <c r="BK68" s="141">
        <f ca="1">IF(BJ82=0,0,1)*($P$68*(1+Assumptions!$H$69)^(BK11-1))</f>
        <v>0</v>
      </c>
      <c r="BL68" s="141">
        <f ca="1">IF(BK82=0,0,1)*($P$68*(1+Assumptions!$H$69)^(BL11-1))</f>
        <v>0</v>
      </c>
      <c r="BM68" s="141">
        <f ca="1">IF(BL82=0,0,1)*($P$68*(1+Assumptions!$H$69)^(BM11-1))</f>
        <v>0</v>
      </c>
      <c r="BN68" s="141">
        <f ca="1">IF(BM82=0,0,1)*($P$68*(1+Assumptions!$H$69)^(BN11-1))</f>
        <v>0</v>
      </c>
      <c r="BO68" s="141">
        <f ca="1">IF(BN82=0,0,1)*($P$68*(1+Assumptions!$H$69)^(BO11-1))</f>
        <v>0</v>
      </c>
      <c r="BP68" s="141">
        <f ca="1">IF(BO82=0,0,1)*($P$68*(1+Assumptions!$H$69)^(BP11-1))</f>
        <v>0</v>
      </c>
      <c r="BQ68" s="141">
        <f ca="1">IF(BP82=0,0,1)*($P$68*(1+Assumptions!$H$69)^(BQ11-1))</f>
        <v>0</v>
      </c>
      <c r="BR68" s="141">
        <f ca="1">IF(BQ82=0,0,1)*($P$68*(1+Assumptions!$H$69)^(BR11-1))</f>
        <v>0</v>
      </c>
      <c r="BS68" s="141">
        <f ca="1">IF(BR82=0,0,1)*($P$68*(1+Assumptions!$H$69)^(BS11-1))</f>
        <v>0</v>
      </c>
      <c r="BT68" s="141">
        <f ca="1">IF(BS82=0,0,1)*($P$68*(1+Assumptions!$H$69)^(BT11-1))</f>
        <v>0</v>
      </c>
      <c r="BU68" s="141">
        <f ca="1">IF(BT82=0,0,1)*($P$68*(1+Assumptions!$H$69)^(BU11-1))</f>
        <v>0</v>
      </c>
      <c r="BV68" s="141">
        <f ca="1">IF(BU82=0,0,1)*($P$68*(1+Assumptions!$H$69)^(BV11-1))</f>
        <v>0</v>
      </c>
      <c r="BW68" s="141">
        <f ca="1">IF(BV82=0,0,1)*($P$68*(1+Assumptions!$H$69)^(BW11-1))</f>
        <v>0</v>
      </c>
      <c r="BX68" s="141">
        <f ca="1">IF(BW82=0,0,1)*($P$68*(1+Assumptions!$H$69)^(BX11-1))</f>
        <v>0</v>
      </c>
      <c r="BY68" s="141">
        <f ca="1">IF(BX82=0,0,1)*($P$68*(1+Assumptions!$H$69)^(BY11-1))</f>
        <v>0</v>
      </c>
      <c r="BZ68" s="141">
        <f ca="1">IF(BY82=0,0,1)*($P$68*(1+Assumptions!$H$69)^(BZ11-1))</f>
        <v>0</v>
      </c>
      <c r="CA68" s="141">
        <f ca="1">IF(BZ82=0,0,1)*($P$68*(1+Assumptions!$H$69)^(CA11-1))</f>
        <v>0</v>
      </c>
      <c r="CB68" s="141">
        <f ca="1">IF(CA82=0,0,1)*($P$68*(1+Assumptions!$H$69)^(CB11-1))</f>
        <v>0</v>
      </c>
      <c r="CC68" s="141">
        <f ca="1">IF(CB82=0,0,1)*($P$68*(1+Assumptions!$H$69)^(CC11-1))</f>
        <v>0</v>
      </c>
      <c r="CD68" s="141">
        <f ca="1">IF(CC82=0,0,1)*($P$68*(1+Assumptions!$H$69)^(CD11-1))</f>
        <v>0</v>
      </c>
      <c r="CE68" s="141">
        <f ca="1">IF(CD82=0,0,1)*($P$68*(1+Assumptions!$H$69)^(CE11-1))</f>
        <v>0</v>
      </c>
      <c r="CF68" s="141">
        <f ca="1">IF(CE82=0,0,1)*($P$68*(1+Assumptions!$H$69)^(CF11-1))</f>
        <v>0</v>
      </c>
      <c r="CG68" s="141">
        <f ca="1">IF(CF82=0,0,1)*($P$68*(1+Assumptions!$H$69)^(CG11-1))</f>
        <v>0</v>
      </c>
      <c r="CH68" s="141">
        <f ca="1">IF(CG82=0,0,1)*($P$68*(1+Assumptions!$H$69)^(CH11-1))</f>
        <v>0</v>
      </c>
      <c r="CI68" s="141">
        <f ca="1">IF(CH82=0,0,1)*($P$68*(1+Assumptions!$H$69)^(CI11-1))</f>
        <v>0</v>
      </c>
      <c r="CJ68" s="141">
        <f ca="1">IF(CI82=0,0,1)*($P$68*(1+Assumptions!$H$69)^(CJ11-1))</f>
        <v>0</v>
      </c>
      <c r="CK68" s="141">
        <f ca="1">IF(CJ82=0,0,1)*($P$68*(1+Assumptions!$H$69)^(CK11-1))</f>
        <v>0</v>
      </c>
      <c r="CL68" s="141">
        <f ca="1">IF(CK82=0,0,1)*($P$68*(1+Assumptions!$H$69)^(CL11-1))</f>
        <v>0</v>
      </c>
      <c r="CM68" s="141">
        <f ca="1">IF(CL82=0,0,1)*($P$68*(1+Assumptions!$H$69)^(CM11-1))</f>
        <v>0</v>
      </c>
      <c r="CN68" s="141">
        <f ca="1">IF(CM82=0,0,1)*($P$68*(1+Assumptions!$H$69)^(CN11-1))</f>
        <v>0</v>
      </c>
      <c r="CO68" s="141">
        <f ca="1">IF(CN82=0,0,1)*($P$68*(1+Assumptions!$H$69)^(CO11-1))</f>
        <v>0</v>
      </c>
      <c r="CP68" s="141">
        <f ca="1">IF(CO82=0,0,1)*($P$68*(1+Assumptions!$H$69)^(CP11-1))</f>
        <v>0</v>
      </c>
      <c r="CQ68" s="141">
        <f ca="1">IF(CP82=0,0,1)*($P$68*(1+Assumptions!$H$69)^(CQ11-1))</f>
        <v>0</v>
      </c>
      <c r="CR68" s="141">
        <f ca="1">IF(CQ82=0,0,1)*($P$68*(1+Assumptions!$H$69)^(CR11-1))</f>
        <v>0</v>
      </c>
      <c r="CS68" s="141">
        <f ca="1">IF(CR82=0,0,1)*($P$68*(1+Assumptions!$H$69)^(CS11-1))</f>
        <v>0</v>
      </c>
      <c r="CT68" s="141">
        <f ca="1">IF(CS82=0,0,1)*($P$68*(1+Assumptions!$H$69)^(CT11-1))</f>
        <v>0</v>
      </c>
      <c r="CU68" s="141">
        <f ca="1">IF(CT82=0,0,1)*($P$68*(1+Assumptions!$H$69)^(CU11-1))</f>
        <v>0</v>
      </c>
      <c r="CV68" s="141">
        <f ca="1">IF(CU82=0,0,1)*($P$68*(1+Assumptions!$H$69)^(CV11-1))</f>
        <v>0</v>
      </c>
      <c r="CW68" s="141">
        <f ca="1">IF(CV82=0,0,1)*($P$68*(1+Assumptions!$H$69)^(CW11-1))</f>
        <v>0</v>
      </c>
      <c r="CX68" s="141">
        <f ca="1">IF(CW82=0,0,1)*($P$68*(1+Assumptions!$H$69)^(CX11-1))</f>
        <v>0</v>
      </c>
      <c r="CY68" s="141">
        <f ca="1">IF(CX82=0,0,1)*($P$68*(1+Assumptions!$H$69)^(CY11-1))</f>
        <v>0</v>
      </c>
      <c r="CZ68" s="141">
        <f ca="1">IF(CY82=0,0,1)*($P$68*(1+Assumptions!$H$69)^(CZ11-1))</f>
        <v>0</v>
      </c>
      <c r="DA68" s="141">
        <f ca="1">IF(CZ82=0,0,1)*($P$68*(1+Assumptions!$H$69)^(DA11-1))</f>
        <v>0</v>
      </c>
      <c r="DB68" s="141">
        <f ca="1">IF(DA82=0,0,1)*($P$68*(1+Assumptions!$H$69)^(DB11-1))</f>
        <v>0</v>
      </c>
      <c r="DC68" s="141">
        <f ca="1">IF(DB82=0,0,1)*($P$68*(1+Assumptions!$H$69)^(DC11-1))</f>
        <v>0</v>
      </c>
      <c r="DD68" s="141">
        <f ca="1">IF(DC82=0,0,1)*($P$68*(1+Assumptions!$H$69)^(DD11-1))</f>
        <v>0</v>
      </c>
      <c r="DE68" s="141">
        <f ca="1">IF(DD82=0,0,1)*($P$68*(1+Assumptions!$H$69)^(DE11-1))</f>
        <v>0</v>
      </c>
      <c r="DF68" s="141">
        <f ca="1">IF(DE82=0,0,1)*($P$68*(1+Assumptions!$H$69)^(DF11-1))</f>
        <v>0</v>
      </c>
      <c r="DG68" s="141">
        <f ca="1">IF(DF82=0,0,1)*($P$68*(1+Assumptions!$H$69)^(DG11-1))</f>
        <v>0</v>
      </c>
      <c r="DH68" s="141">
        <f ca="1">IF(DG82=0,0,1)*($P$68*(1+Assumptions!$H$69)^(DH11-1))</f>
        <v>0</v>
      </c>
      <c r="DI68" s="141">
        <f ca="1">IF(DH82=0,0,1)*($P$68*(1+Assumptions!$H$69)^(DI11-1))</f>
        <v>0</v>
      </c>
      <c r="DJ68" s="141">
        <f>IF(DI82=0,0,1)*($P$68*(1+Assumptions!$H$69)^(DJ11-1))</f>
        <v>0</v>
      </c>
      <c r="DK68" s="141">
        <f>IF(DJ82=0,0,1)*($P$68*(1+Assumptions!$H$69)^(DK11-1))</f>
        <v>0</v>
      </c>
      <c r="DL68" s="141">
        <f>IF(DK82=0,0,1)*($P$68*(1+Assumptions!$H$69)^(DL11-1))</f>
        <v>0</v>
      </c>
      <c r="DM68" s="141">
        <f>IF(DL82=0,0,1)*($P$68*(1+Assumptions!$H$69)^(DM11-1))</f>
        <v>0</v>
      </c>
      <c r="DN68" s="141">
        <f>IF(DM82=0,0,1)*($P$68*(1+Assumptions!$H$69)^(DN11-1))</f>
        <v>0</v>
      </c>
      <c r="DO68" s="141">
        <f>IF(DN82=0,0,1)*($P$68*(1+Assumptions!$H$69)^(DO11-1))</f>
        <v>0</v>
      </c>
      <c r="DP68" s="141">
        <f>IF(DO82=0,0,1)*($P$68*(1+Assumptions!$H$69)^(DP11-1))</f>
        <v>0</v>
      </c>
      <c r="DQ68" s="141">
        <f>IF(DP82=0,0,1)*($P$68*(1+Assumptions!$H$69)^(DQ11-1))</f>
        <v>0</v>
      </c>
      <c r="DR68" s="141">
        <f>IF(DQ82=0,0,1)*($P$68*(1+Assumptions!$H$69)^(DR11-1))</f>
        <v>0</v>
      </c>
      <c r="DS68" s="141">
        <f>IF(DR82=0,0,1)*($P$68*(1+Assumptions!$H$69)^(DS11-1))</f>
        <v>0</v>
      </c>
      <c r="DT68" s="141">
        <f>IF(DS82=0,0,1)*($P$68*(1+Assumptions!$H$69)^(DT11-1))</f>
        <v>0</v>
      </c>
      <c r="DU68" s="141">
        <f>IF(DT82=0,0,1)*($P$68*(1+Assumptions!$H$69)^(DU11-1))</f>
        <v>0</v>
      </c>
      <c r="DV68" s="141">
        <f>IF(DU82=0,0,1)*($P$68*(1+Assumptions!$H$69)^(DV11-1))</f>
        <v>0</v>
      </c>
      <c r="DW68" s="141">
        <f>IF(DV82=0,0,1)*($P$68*(1+Assumptions!$H$69)^(DW11-1))</f>
        <v>0</v>
      </c>
      <c r="DX68" s="141">
        <f>IF(DW82=0,0,1)*($P$68*(1+Assumptions!$H$69)^(DX11-1))</f>
        <v>0</v>
      </c>
      <c r="DY68" s="141">
        <f>IF(DX82=0,0,1)*($P$68*(1+Assumptions!$H$69)^(DY11-1))</f>
        <v>0</v>
      </c>
      <c r="DZ68" s="141">
        <f>IF(DY82=0,0,1)*($P$68*(1+Assumptions!$H$69)^(DZ11-1))</f>
        <v>0</v>
      </c>
      <c r="EA68" s="141">
        <f>IF(DZ82=0,0,1)*($P$68*(1+Assumptions!$H$69)^(EA11-1))</f>
        <v>0</v>
      </c>
      <c r="EB68" s="141">
        <f>IF(EA82=0,0,1)*($P$68*(1+Assumptions!$H$69)^(EB11-1))</f>
        <v>0</v>
      </c>
      <c r="EC68" s="141">
        <f>IF(EB82=0,0,1)*($P$68*(1+Assumptions!$H$69)^(EC11-1))</f>
        <v>0</v>
      </c>
      <c r="ED68" s="141">
        <f>IF(EC82=0,0,1)*($P$68*(1+Assumptions!$H$69)^(ED11-1))</f>
        <v>0</v>
      </c>
      <c r="EE68" s="141">
        <f>IF(ED82=0,0,1)*($P$68*(1+Assumptions!$H$69)^(EE11-1))</f>
        <v>0</v>
      </c>
      <c r="EF68" s="141">
        <f>IF(EE82=0,0,1)*($P$68*(1+Assumptions!$H$69)^(EF11-1))</f>
        <v>0</v>
      </c>
      <c r="EG68" s="141">
        <f>IF(EF82=0,0,1)*($P$68*(1+Assumptions!$H$69)^(EG11-1))</f>
        <v>0</v>
      </c>
      <c r="EH68" s="141">
        <f>IF(EG82=0,0,1)*($P$68*(1+Assumptions!$H$69)^(EH11-1))</f>
        <v>0</v>
      </c>
      <c r="EI68" s="141">
        <f>IF(EH82=0,0,1)*($P$68*(1+Assumptions!$H$69)^(EI11-1))</f>
        <v>0</v>
      </c>
      <c r="EJ68" s="141">
        <f>IF(EI82=0,0,1)*($P$68*(1+Assumptions!$H$69)^(EJ11-1))</f>
        <v>0</v>
      </c>
      <c r="EK68" s="141">
        <f>IF(EJ82=0,0,1)*($P$68*(1+Assumptions!$H$69)^(EK11-1))</f>
        <v>0</v>
      </c>
      <c r="EL68" s="141">
        <f>IF(EK82=0,0,1)*($P$68*(1+Assumptions!$H$69)^(EL11-1))</f>
        <v>0</v>
      </c>
      <c r="EM68" s="141">
        <f>IF(EL82=0,0,1)*($P$68*(1+Assumptions!$H$69)^(EM11-1))</f>
        <v>0</v>
      </c>
      <c r="EN68" s="141">
        <f>IF(EM82=0,0,1)*($P$68*(1+Assumptions!$H$69)^(EN11-1))</f>
        <v>0</v>
      </c>
      <c r="EO68" s="141">
        <f>IF(EN82=0,0,1)*($P$68*(1+Assumptions!$H$69)^(EO11-1))</f>
        <v>0</v>
      </c>
      <c r="EP68" s="141">
        <f>IF(EO82=0,0,1)*($P$68*(1+Assumptions!$H$69)^(EP11-1))</f>
        <v>0</v>
      </c>
      <c r="EQ68" s="141">
        <f>IF(EP82=0,0,1)*($P$68*(1+Assumptions!$H$69)^(EQ11-1))</f>
        <v>0</v>
      </c>
      <c r="ES68" s="421"/>
      <c r="ET68" s="63"/>
      <c r="EU68" s="98"/>
    </row>
    <row r="69" spans="2:151" ht="15.75">
      <c r="G69" s="145"/>
      <c r="H69" s="128" t="s">
        <v>111</v>
      </c>
      <c r="I69" s="504"/>
      <c r="J69" s="506"/>
      <c r="K69" s="130"/>
      <c r="L69" s="131"/>
      <c r="M69" s="131"/>
      <c r="N69" s="225">
        <f>'Annual Cash Flow'!C49</f>
        <v>-23604</v>
      </c>
      <c r="O69" s="787"/>
      <c r="P69" s="102">
        <f>-Assumptions!F63/12</f>
        <v>-1967</v>
      </c>
      <c r="Q69" s="141">
        <f ca="1">IF(P82=0,0,1)*($P$69*(1+Assumptions!$H$69)^(Q11-1))</f>
        <v>-1967</v>
      </c>
      <c r="R69" s="141">
        <f ca="1">IF(Q82=0,0,1)*($P$69*(1+Assumptions!$H$69)^(R11-1))</f>
        <v>-1967</v>
      </c>
      <c r="S69" s="141">
        <f ca="1">IF(R82=0,0,1)*($P$69*(1+Assumptions!$H$69)^(S11-1))</f>
        <v>-1967</v>
      </c>
      <c r="T69" s="141">
        <f ca="1">IF(S82=0,0,1)*($P$69*(1+Assumptions!$H$69)^(T11-1))</f>
        <v>-1967</v>
      </c>
      <c r="U69" s="141">
        <f ca="1">IF(T82=0,0,1)*($P$69*(1+Assumptions!$H$69)^(U11-1))</f>
        <v>-1967</v>
      </c>
      <c r="V69" s="141">
        <f ca="1">IF(U82=0,0,1)*($P$69*(1+Assumptions!$H$69)^(V11-1))</f>
        <v>-1967</v>
      </c>
      <c r="W69" s="141">
        <f ca="1">IF(V82=0,0,1)*($P$69*(1+Assumptions!$H$69)^(W11-1))</f>
        <v>-1967</v>
      </c>
      <c r="X69" s="141">
        <f ca="1">IF(W82=0,0,1)*($P$69*(1+Assumptions!$H$69)^(X11-1))</f>
        <v>-1967</v>
      </c>
      <c r="Y69" s="141">
        <f ca="1">IF(X82=0,0,1)*($P$69*(1+Assumptions!$H$69)^(Y11-1))</f>
        <v>-1967</v>
      </c>
      <c r="Z69" s="141">
        <f ca="1">IF(Y82=0,0,1)*($P$69*(1+Assumptions!$H$69)^(Z11-1))</f>
        <v>-1967</v>
      </c>
      <c r="AA69" s="141">
        <f ca="1">IF(Z82=0,0,1)*($P$69*(1+Assumptions!$H$69)^(AA11-1))</f>
        <v>-1967</v>
      </c>
      <c r="AB69" s="141">
        <f ca="1">IF(AA82=0,0,1)*($P$69*(1+Assumptions!$H$69)^(AB11-1))</f>
        <v>-2026.01</v>
      </c>
      <c r="AC69" s="141">
        <f ca="1">IF(AB82=0,0,1)*($P$69*(1+Assumptions!$H$69)^(AC11-1))</f>
        <v>-2026.01</v>
      </c>
      <c r="AD69" s="141">
        <f ca="1">IF(AC82=0,0,1)*($P$69*(1+Assumptions!$H$69)^(AD11-1))</f>
        <v>-2026.01</v>
      </c>
      <c r="AE69" s="141">
        <f ca="1">IF(AD82=0,0,1)*($P$69*(1+Assumptions!$H$69)^(AE11-1))</f>
        <v>-2026.01</v>
      </c>
      <c r="AF69" s="141">
        <f ca="1">IF(AE82=0,0,1)*($P$69*(1+Assumptions!$H$69)^(AF11-1))</f>
        <v>-2026.01</v>
      </c>
      <c r="AG69" s="141">
        <f ca="1">IF(AF82=0,0,1)*($P$69*(1+Assumptions!$H$69)^(AG11-1))</f>
        <v>-2026.01</v>
      </c>
      <c r="AH69" s="141">
        <f ca="1">IF(AG82=0,0,1)*($P$69*(1+Assumptions!$H$69)^(AH11-1))</f>
        <v>-2026.01</v>
      </c>
      <c r="AI69" s="141">
        <f ca="1">IF(AH82=0,0,1)*($P$69*(1+Assumptions!$H$69)^(AI11-1))</f>
        <v>-2026.01</v>
      </c>
      <c r="AJ69" s="141">
        <f ca="1">IF(AI82=0,0,1)*($P$69*(1+Assumptions!$H$69)^(AJ11-1))</f>
        <v>-2026.01</v>
      </c>
      <c r="AK69" s="141">
        <f ca="1">IF(AJ82=0,0,1)*($P$69*(1+Assumptions!$H$69)^(AK11-1))</f>
        <v>-2026.01</v>
      </c>
      <c r="AL69" s="141">
        <f ca="1">IF(AK82=0,0,1)*($P$69*(1+Assumptions!$H$69)^(AL11-1))</f>
        <v>-2026.01</v>
      </c>
      <c r="AM69" s="141">
        <f ca="1">IF(AL82=0,0,1)*($P$69*(1+Assumptions!$H$69)^(AM11-1))</f>
        <v>-2026.01</v>
      </c>
      <c r="AN69" s="141">
        <f ca="1">IF(AM82=0,0,1)*($P$69*(1+Assumptions!$H$69)^(AN11-1))</f>
        <v>-2086.7903000000001</v>
      </c>
      <c r="AO69" s="141">
        <f ca="1">IF(AN82=0,0,1)*($P$69*(1+Assumptions!$H$69)^(AO11-1))</f>
        <v>-2086.7903000000001</v>
      </c>
      <c r="AP69" s="141">
        <f ca="1">IF(AO82=0,0,1)*($P$69*(1+Assumptions!$H$69)^(AP11-1))</f>
        <v>-2086.7903000000001</v>
      </c>
      <c r="AQ69" s="141">
        <f ca="1">IF(AP82=0,0,1)*($P$69*(1+Assumptions!$H$69)^(AQ11-1))</f>
        <v>-2086.7903000000001</v>
      </c>
      <c r="AR69" s="141">
        <f ca="1">IF(AQ82=0,0,1)*($P$69*(1+Assumptions!$H$69)^(AR11-1))</f>
        <v>-2086.7903000000001</v>
      </c>
      <c r="AS69" s="141">
        <f ca="1">IF(AR82=0,0,1)*($P$69*(1+Assumptions!$H$69)^(AS11-1))</f>
        <v>-2086.7903000000001</v>
      </c>
      <c r="AT69" s="141">
        <f ca="1">IF(AS82=0,0,1)*($P$69*(1+Assumptions!$H$69)^(AT11-1))</f>
        <v>-2086.7903000000001</v>
      </c>
      <c r="AU69" s="141">
        <f ca="1">IF(AT82=0,0,1)*($P$69*(1+Assumptions!$H$69)^(AU11-1))</f>
        <v>-2086.7903000000001</v>
      </c>
      <c r="AV69" s="141">
        <f ca="1">IF(AU82=0,0,1)*($P$69*(1+Assumptions!$H$69)^(AV11-1))</f>
        <v>-2086.7903000000001</v>
      </c>
      <c r="AW69" s="141">
        <f ca="1">IF(AV82=0,0,1)*($P$69*(1+Assumptions!$H$69)^(AW11-1))</f>
        <v>-2086.7903000000001</v>
      </c>
      <c r="AX69" s="141">
        <f ca="1">IF(AW82=0,0,1)*($P$69*(1+Assumptions!$H$69)^(AX11-1))</f>
        <v>-2086.7903000000001</v>
      </c>
      <c r="AY69" s="141">
        <f ca="1">IF(AX82=0,0,1)*($P$69*(1+Assumptions!$H$69)^(AY11-1))</f>
        <v>-2086.7903000000001</v>
      </c>
      <c r="AZ69" s="141">
        <f ca="1">IF(AY82=0,0,1)*($P$69*(1+Assumptions!$H$69)^(AZ11-1))</f>
        <v>-2149.3940090000001</v>
      </c>
      <c r="BA69" s="141">
        <f ca="1">IF(AZ82=0,0,1)*($P$69*(1+Assumptions!$H$69)^(BA11-1))</f>
        <v>-2149.3940090000001</v>
      </c>
      <c r="BB69" s="141">
        <f ca="1">IF(BA82=0,0,1)*($P$69*(1+Assumptions!$H$69)^(BB11-1))</f>
        <v>-2149.3940090000001</v>
      </c>
      <c r="BC69" s="141">
        <f ca="1">IF(BB82=0,0,1)*($P$69*(1+Assumptions!$H$69)^(BC11-1))</f>
        <v>-2149.3940090000001</v>
      </c>
      <c r="BD69" s="141">
        <f ca="1">IF(BC82=0,0,1)*($P$69*(1+Assumptions!$H$69)^(BD11-1))</f>
        <v>-2149.3940090000001</v>
      </c>
      <c r="BE69" s="141">
        <f ca="1">IF(BD82=0,0,1)*($P$69*(1+Assumptions!$H$69)^(BE11-1))</f>
        <v>-2149.3940090000001</v>
      </c>
      <c r="BF69" s="141">
        <f ca="1">IF(BE82=0,0,1)*($P$69*(1+Assumptions!$H$69)^(BF11-1))</f>
        <v>-2149.3940090000001</v>
      </c>
      <c r="BG69" s="141">
        <f ca="1">IF(BF82=0,0,1)*($P$69*(1+Assumptions!$H$69)^(BG11-1))</f>
        <v>-2149.3940090000001</v>
      </c>
      <c r="BH69" s="141">
        <f ca="1">IF(BG82=0,0,1)*($P$69*(1+Assumptions!$H$69)^(BH11-1))</f>
        <v>-2149.3940090000001</v>
      </c>
      <c r="BI69" s="141">
        <f ca="1">IF(BH82=0,0,1)*($P$69*(1+Assumptions!$H$69)^(BI11-1))</f>
        <v>-2149.3940090000001</v>
      </c>
      <c r="BJ69" s="141">
        <f ca="1">IF(BI82=0,0,1)*($P$69*(1+Assumptions!$H$69)^(BJ11-1))</f>
        <v>-2149.3940090000001</v>
      </c>
      <c r="BK69" s="141">
        <f ca="1">IF(BJ82=0,0,1)*($P$69*(1+Assumptions!$H$69)^(BK11-1))</f>
        <v>-2149.3940090000001</v>
      </c>
      <c r="BL69" s="141">
        <f ca="1">IF(BK82=0,0,1)*($P$69*(1+Assumptions!$H$69)^(BL11-1))</f>
        <v>-2213.8758292699999</v>
      </c>
      <c r="BM69" s="141">
        <f ca="1">IF(BL82=0,0,1)*($P$69*(1+Assumptions!$H$69)^(BM11-1))</f>
        <v>-2213.8758292699999</v>
      </c>
      <c r="BN69" s="141">
        <f ca="1">IF(BM82=0,0,1)*($P$69*(1+Assumptions!$H$69)^(BN11-1))</f>
        <v>-2213.8758292699999</v>
      </c>
      <c r="BO69" s="141">
        <f ca="1">IF(BN82=0,0,1)*($P$69*(1+Assumptions!$H$69)^(BO11-1))</f>
        <v>-2213.8758292699999</v>
      </c>
      <c r="BP69" s="141">
        <f ca="1">IF(BO82=0,0,1)*($P$69*(1+Assumptions!$H$69)^(BP11-1))</f>
        <v>-2213.8758292699999</v>
      </c>
      <c r="BQ69" s="141">
        <f ca="1">IF(BP82=0,0,1)*($P$69*(1+Assumptions!$H$69)^(BQ11-1))</f>
        <v>-2213.8758292699999</v>
      </c>
      <c r="BR69" s="141">
        <f ca="1">IF(BQ82=0,0,1)*($P$69*(1+Assumptions!$H$69)^(BR11-1))</f>
        <v>-2213.8758292699999</v>
      </c>
      <c r="BS69" s="141">
        <f ca="1">IF(BR82=0,0,1)*($P$69*(1+Assumptions!$H$69)^(BS11-1))</f>
        <v>-2213.8758292699999</v>
      </c>
      <c r="BT69" s="141">
        <f ca="1">IF(BS82=0,0,1)*($P$69*(1+Assumptions!$H$69)^(BT11-1))</f>
        <v>-2213.8758292699999</v>
      </c>
      <c r="BU69" s="141">
        <f ca="1">IF(BT82=0,0,1)*($P$69*(1+Assumptions!$H$69)^(BU11-1))</f>
        <v>-2213.8758292699999</v>
      </c>
      <c r="BV69" s="141">
        <f ca="1">IF(BU82=0,0,1)*($P$69*(1+Assumptions!$H$69)^(BV11-1))</f>
        <v>-2213.8758292699999</v>
      </c>
      <c r="BW69" s="141">
        <f ca="1">IF(BV82=0,0,1)*($P$69*(1+Assumptions!$H$69)^(BW11-1))</f>
        <v>-2213.8758292699999</v>
      </c>
      <c r="BX69" s="141">
        <f ca="1">IF(BW82=0,0,1)*($P$69*(1+Assumptions!$H$69)^(BX11-1))</f>
        <v>-2280.2921041480995</v>
      </c>
      <c r="BY69" s="141">
        <f ca="1">IF(BX82=0,0,1)*($P$69*(1+Assumptions!$H$69)^(BY11-1))</f>
        <v>-2280.2921041480995</v>
      </c>
      <c r="BZ69" s="141">
        <f ca="1">IF(BY82=0,0,1)*($P$69*(1+Assumptions!$H$69)^(BZ11-1))</f>
        <v>-2280.2921041480995</v>
      </c>
      <c r="CA69" s="141">
        <f ca="1">IF(BZ82=0,0,1)*($P$69*(1+Assumptions!$H$69)^(CA11-1))</f>
        <v>-2280.2921041480995</v>
      </c>
      <c r="CB69" s="141">
        <f ca="1">IF(CA82=0,0,1)*($P$69*(1+Assumptions!$H$69)^(CB11-1))</f>
        <v>-2280.2921041480995</v>
      </c>
      <c r="CC69" s="141">
        <f ca="1">IF(CB82=0,0,1)*($P$69*(1+Assumptions!$H$69)^(CC11-1))</f>
        <v>-2280.2921041480995</v>
      </c>
      <c r="CD69" s="141">
        <f ca="1">IF(CC82=0,0,1)*($P$69*(1+Assumptions!$H$69)^(CD11-1))</f>
        <v>-2280.2921041480995</v>
      </c>
      <c r="CE69" s="141">
        <f ca="1">IF(CD82=0,0,1)*($P$69*(1+Assumptions!$H$69)^(CE11-1))</f>
        <v>-2280.2921041480995</v>
      </c>
      <c r="CF69" s="141">
        <f ca="1">IF(CE82=0,0,1)*($P$69*(1+Assumptions!$H$69)^(CF11-1))</f>
        <v>-2280.2921041480995</v>
      </c>
      <c r="CG69" s="141">
        <f ca="1">IF(CF82=0,0,1)*($P$69*(1+Assumptions!$H$69)^(CG11-1))</f>
        <v>-2280.2921041480995</v>
      </c>
      <c r="CH69" s="141">
        <f ca="1">IF(CG82=0,0,1)*($P$69*(1+Assumptions!$H$69)^(CH11-1))</f>
        <v>-2280.2921041480995</v>
      </c>
      <c r="CI69" s="141">
        <f ca="1">IF(CH82=0,0,1)*($P$69*(1+Assumptions!$H$69)^(CI11-1))</f>
        <v>-2280.2921041480995</v>
      </c>
      <c r="CJ69" s="141">
        <f ca="1">IF(CI82=0,0,1)*($P$69*(1+Assumptions!$H$69)^(CJ11-1))</f>
        <v>-2348.7008672725428</v>
      </c>
      <c r="CK69" s="141">
        <f ca="1">IF(CJ82=0,0,1)*($P$69*(1+Assumptions!$H$69)^(CK11-1))</f>
        <v>-2348.7008672725428</v>
      </c>
      <c r="CL69" s="141">
        <f ca="1">IF(CK82=0,0,1)*($P$69*(1+Assumptions!$H$69)^(CL11-1))</f>
        <v>-2348.7008672725428</v>
      </c>
      <c r="CM69" s="141">
        <f ca="1">IF(CL82=0,0,1)*($P$69*(1+Assumptions!$H$69)^(CM11-1))</f>
        <v>-2348.7008672725428</v>
      </c>
      <c r="CN69" s="141">
        <f ca="1">IF(CM82=0,0,1)*($P$69*(1+Assumptions!$H$69)^(CN11-1))</f>
        <v>-2348.7008672725428</v>
      </c>
      <c r="CO69" s="141">
        <f ca="1">IF(CN82=0,0,1)*($P$69*(1+Assumptions!$H$69)^(CO11-1))</f>
        <v>-2348.7008672725428</v>
      </c>
      <c r="CP69" s="141">
        <f ca="1">IF(CO82=0,0,1)*($P$69*(1+Assumptions!$H$69)^(CP11-1))</f>
        <v>-2348.7008672725428</v>
      </c>
      <c r="CQ69" s="141">
        <f ca="1">IF(CP82=0,0,1)*($P$69*(1+Assumptions!$H$69)^(CQ11-1))</f>
        <v>-2348.7008672725428</v>
      </c>
      <c r="CR69" s="141">
        <f ca="1">IF(CQ82=0,0,1)*($P$69*(1+Assumptions!$H$69)^(CR11-1))</f>
        <v>-2348.7008672725428</v>
      </c>
      <c r="CS69" s="141">
        <f ca="1">IF(CR82=0,0,1)*($P$69*(1+Assumptions!$H$69)^(CS11-1))</f>
        <v>-2348.7008672725428</v>
      </c>
      <c r="CT69" s="141">
        <f ca="1">IF(CS82=0,0,1)*($P$69*(1+Assumptions!$H$69)^(CT11-1))</f>
        <v>-2348.7008672725428</v>
      </c>
      <c r="CU69" s="141">
        <f ca="1">IF(CT82=0,0,1)*($P$69*(1+Assumptions!$H$69)^(CU11-1))</f>
        <v>-2348.7008672725428</v>
      </c>
      <c r="CV69" s="141">
        <f ca="1">IF(CU82=0,0,1)*($P$69*(1+Assumptions!$H$69)^(CV11-1))</f>
        <v>-2419.161893290719</v>
      </c>
      <c r="CW69" s="141">
        <f ca="1">IF(CV82=0,0,1)*($P$69*(1+Assumptions!$H$69)^(CW11-1))</f>
        <v>-2419.161893290719</v>
      </c>
      <c r="CX69" s="141">
        <f ca="1">IF(CW82=0,0,1)*($P$69*(1+Assumptions!$H$69)^(CX11-1))</f>
        <v>-2419.161893290719</v>
      </c>
      <c r="CY69" s="141">
        <f ca="1">IF(CX82=0,0,1)*($P$69*(1+Assumptions!$H$69)^(CY11-1))</f>
        <v>-2419.161893290719</v>
      </c>
      <c r="CZ69" s="141">
        <f ca="1">IF(CY82=0,0,1)*($P$69*(1+Assumptions!$H$69)^(CZ11-1))</f>
        <v>-2419.161893290719</v>
      </c>
      <c r="DA69" s="141">
        <f ca="1">IF(CZ82=0,0,1)*($P$69*(1+Assumptions!$H$69)^(DA11-1))</f>
        <v>-2419.161893290719</v>
      </c>
      <c r="DB69" s="141">
        <f ca="1">IF(DA82=0,0,1)*($P$69*(1+Assumptions!$H$69)^(DB11-1))</f>
        <v>-2419.161893290719</v>
      </c>
      <c r="DC69" s="141">
        <f ca="1">IF(DB82=0,0,1)*($P$69*(1+Assumptions!$H$69)^(DC11-1))</f>
        <v>-2419.161893290719</v>
      </c>
      <c r="DD69" s="141">
        <f ca="1">IF(DC82=0,0,1)*($P$69*(1+Assumptions!$H$69)^(DD11-1))</f>
        <v>-2419.161893290719</v>
      </c>
      <c r="DE69" s="141">
        <f ca="1">IF(DD82=0,0,1)*($P$69*(1+Assumptions!$H$69)^(DE11-1))</f>
        <v>-2419.161893290719</v>
      </c>
      <c r="DF69" s="141">
        <f ca="1">IF(DE82=0,0,1)*($P$69*(1+Assumptions!$H$69)^(DF11-1))</f>
        <v>-2419.161893290719</v>
      </c>
      <c r="DG69" s="141">
        <f ca="1">IF(DF82=0,0,1)*($P$69*(1+Assumptions!$H$69)^(DG11-1))</f>
        <v>-2419.161893290719</v>
      </c>
      <c r="DH69" s="141">
        <f ca="1">IF(DG82=0,0,1)*($P$69*(1+Assumptions!$H$69)^(DH11-1))</f>
        <v>-2491.7367500894406</v>
      </c>
      <c r="DI69" s="141">
        <f ca="1">IF(DH82=0,0,1)*($P$69*(1+Assumptions!$H$69)^(DI11-1))</f>
        <v>-2491.7367500894406</v>
      </c>
      <c r="DJ69" s="141">
        <f>IF(DI82=0,0,1)*($P$69*(1+Assumptions!$H$69)^(DJ11-1))</f>
        <v>0</v>
      </c>
      <c r="DK69" s="141">
        <f>IF(DJ82=0,0,1)*($P$69*(1+Assumptions!$H$69)^(DK11-1))</f>
        <v>0</v>
      </c>
      <c r="DL69" s="141">
        <f>IF(DK82=0,0,1)*($P$69*(1+Assumptions!$H$69)^(DL11-1))</f>
        <v>0</v>
      </c>
      <c r="DM69" s="141">
        <f>IF(DL82=0,0,1)*($P$69*(1+Assumptions!$H$69)^(DM11-1))</f>
        <v>0</v>
      </c>
      <c r="DN69" s="141">
        <f>IF(DM82=0,0,1)*($P$69*(1+Assumptions!$H$69)^(DN11-1))</f>
        <v>0</v>
      </c>
      <c r="DO69" s="141">
        <f>IF(DN82=0,0,1)*($P$69*(1+Assumptions!$H$69)^(DO11-1))</f>
        <v>0</v>
      </c>
      <c r="DP69" s="141">
        <f>IF(DO82=0,0,1)*($P$69*(1+Assumptions!$H$69)^(DP11-1))</f>
        <v>0</v>
      </c>
      <c r="DQ69" s="141">
        <f>IF(DP82=0,0,1)*($P$69*(1+Assumptions!$H$69)^(DQ11-1))</f>
        <v>0</v>
      </c>
      <c r="DR69" s="141">
        <f>IF(DQ82=0,0,1)*($P$69*(1+Assumptions!$H$69)^(DR11-1))</f>
        <v>0</v>
      </c>
      <c r="DS69" s="141">
        <f>IF(DR82=0,0,1)*($P$69*(1+Assumptions!$H$69)^(DS11-1))</f>
        <v>0</v>
      </c>
      <c r="DT69" s="141">
        <f>IF(DS82=0,0,1)*($P$69*(1+Assumptions!$H$69)^(DT11-1))</f>
        <v>0</v>
      </c>
      <c r="DU69" s="141">
        <f>IF(DT82=0,0,1)*($P$69*(1+Assumptions!$H$69)^(DU11-1))</f>
        <v>0</v>
      </c>
      <c r="DV69" s="141">
        <f>IF(DU82=0,0,1)*($P$69*(1+Assumptions!$H$69)^(DV11-1))</f>
        <v>0</v>
      </c>
      <c r="DW69" s="141">
        <f>IF(DV82=0,0,1)*($P$69*(1+Assumptions!$H$69)^(DW11-1))</f>
        <v>0</v>
      </c>
      <c r="DX69" s="141">
        <f>IF(DW82=0,0,1)*($P$69*(1+Assumptions!$H$69)^(DX11-1))</f>
        <v>0</v>
      </c>
      <c r="DY69" s="141">
        <f>IF(DX82=0,0,1)*($P$69*(1+Assumptions!$H$69)^(DY11-1))</f>
        <v>0</v>
      </c>
      <c r="DZ69" s="141">
        <f>IF(DY82=0,0,1)*($P$69*(1+Assumptions!$H$69)^(DZ11-1))</f>
        <v>0</v>
      </c>
      <c r="EA69" s="141">
        <f>IF(DZ82=0,0,1)*($P$69*(1+Assumptions!$H$69)^(EA11-1))</f>
        <v>0</v>
      </c>
      <c r="EB69" s="141">
        <f>IF(EA82=0,0,1)*($P$69*(1+Assumptions!$H$69)^(EB11-1))</f>
        <v>0</v>
      </c>
      <c r="EC69" s="141">
        <f>IF(EB82=0,0,1)*($P$69*(1+Assumptions!$H$69)^(EC11-1))</f>
        <v>0</v>
      </c>
      <c r="ED69" s="141">
        <f>IF(EC82=0,0,1)*($P$69*(1+Assumptions!$H$69)^(ED11-1))</f>
        <v>0</v>
      </c>
      <c r="EE69" s="141">
        <f>IF(ED82=0,0,1)*($P$69*(1+Assumptions!$H$69)^(EE11-1))</f>
        <v>0</v>
      </c>
      <c r="EF69" s="141">
        <f>IF(EE82=0,0,1)*($P$69*(1+Assumptions!$H$69)^(EF11-1))</f>
        <v>0</v>
      </c>
      <c r="EG69" s="141">
        <f>IF(EF82=0,0,1)*($P$69*(1+Assumptions!$H$69)^(EG11-1))</f>
        <v>0</v>
      </c>
      <c r="EH69" s="141">
        <f>IF(EG82=0,0,1)*($P$69*(1+Assumptions!$H$69)^(EH11-1))</f>
        <v>0</v>
      </c>
      <c r="EI69" s="141">
        <f>IF(EH82=0,0,1)*($P$69*(1+Assumptions!$H$69)^(EI11-1))</f>
        <v>0</v>
      </c>
      <c r="EJ69" s="141">
        <f>IF(EI82=0,0,1)*($P$69*(1+Assumptions!$H$69)^(EJ11-1))</f>
        <v>0</v>
      </c>
      <c r="EK69" s="141">
        <f>IF(EJ82=0,0,1)*($P$69*(1+Assumptions!$H$69)^(EK11-1))</f>
        <v>0</v>
      </c>
      <c r="EL69" s="141">
        <f>IF(EK82=0,0,1)*($P$69*(1+Assumptions!$H$69)^(EL11-1))</f>
        <v>0</v>
      </c>
      <c r="EM69" s="141">
        <f>IF(EL82=0,0,1)*($P$69*(1+Assumptions!$H$69)^(EM11-1))</f>
        <v>0</v>
      </c>
      <c r="EN69" s="141">
        <f>IF(EM82=0,0,1)*($P$69*(1+Assumptions!$H$69)^(EN11-1))</f>
        <v>0</v>
      </c>
      <c r="EO69" s="141">
        <f>IF(EN82=0,0,1)*($P$69*(1+Assumptions!$H$69)^(EO11-1))</f>
        <v>0</v>
      </c>
      <c r="EP69" s="141">
        <f>IF(EO82=0,0,1)*($P$69*(1+Assumptions!$H$69)^(EP11-1))</f>
        <v>0</v>
      </c>
      <c r="EQ69" s="141">
        <f>IF(EP82=0,0,1)*($P$69*(1+Assumptions!$H$69)^(EQ11-1))</f>
        <v>0</v>
      </c>
      <c r="ES69" s="421"/>
      <c r="ET69" s="63"/>
      <c r="EU69" s="98"/>
    </row>
    <row r="70" spans="2:151" ht="15.75">
      <c r="G70" s="145"/>
      <c r="H70" s="128" t="s">
        <v>17</v>
      </c>
      <c r="I70" s="504"/>
      <c r="J70" s="507"/>
      <c r="K70" s="130"/>
      <c r="L70" s="131"/>
      <c r="M70" s="131"/>
      <c r="N70" s="225">
        <f>'Annual Cash Flow'!C50</f>
        <v>-15000</v>
      </c>
      <c r="O70" s="787"/>
      <c r="P70" s="102">
        <f>-Assumptions!F64/12</f>
        <v>-1250</v>
      </c>
      <c r="Q70" s="141">
        <f ca="1">IF(P82=0,0,1)*($P$70*(1+Assumptions!$H$69)^(Q11-1))</f>
        <v>-1250</v>
      </c>
      <c r="R70" s="141">
        <f ca="1">IF(Q82=0,0,1)*($P$70*(1+Assumptions!$H$69)^(R11-1))</f>
        <v>-1250</v>
      </c>
      <c r="S70" s="141">
        <f ca="1">IF(R82=0,0,1)*($P$70*(1+Assumptions!$H$69)^(S11-1))</f>
        <v>-1250</v>
      </c>
      <c r="T70" s="141">
        <f ca="1">IF(S82=0,0,1)*($P$70*(1+Assumptions!$H$69)^(T11-1))</f>
        <v>-1250</v>
      </c>
      <c r="U70" s="141">
        <f ca="1">IF(T82=0,0,1)*($P$70*(1+Assumptions!$H$69)^(U11-1))</f>
        <v>-1250</v>
      </c>
      <c r="V70" s="141">
        <f ca="1">IF(U82=0,0,1)*($P$70*(1+Assumptions!$H$69)^(V11-1))</f>
        <v>-1250</v>
      </c>
      <c r="W70" s="141">
        <f ca="1">IF(V82=0,0,1)*($P$70*(1+Assumptions!$H$69)^(W11-1))</f>
        <v>-1250</v>
      </c>
      <c r="X70" s="141">
        <f ca="1">IF(W82=0,0,1)*($P$70*(1+Assumptions!$H$69)^(X11-1))</f>
        <v>-1250</v>
      </c>
      <c r="Y70" s="141">
        <f ca="1">IF(X82=0,0,1)*($P$70*(1+Assumptions!$H$69)^(Y11-1))</f>
        <v>-1250</v>
      </c>
      <c r="Z70" s="141">
        <f ca="1">IF(Y82=0,0,1)*($P$70*(1+Assumptions!$H$69)^(Z11-1))</f>
        <v>-1250</v>
      </c>
      <c r="AA70" s="141">
        <f ca="1">IF(Z82=0,0,1)*($P$70*(1+Assumptions!$H$69)^(AA11-1))</f>
        <v>-1250</v>
      </c>
      <c r="AB70" s="141">
        <f ca="1">IF(AA82=0,0,1)*($P$70*(1+Assumptions!$H$69)^(AB11-1))</f>
        <v>-1287.5</v>
      </c>
      <c r="AC70" s="141">
        <f ca="1">IF(AB82=0,0,1)*($P$70*(1+Assumptions!$H$69)^(AC11-1))</f>
        <v>-1287.5</v>
      </c>
      <c r="AD70" s="141">
        <f ca="1">IF(AC82=0,0,1)*($P$70*(1+Assumptions!$H$69)^(AD11-1))</f>
        <v>-1287.5</v>
      </c>
      <c r="AE70" s="141">
        <f ca="1">IF(AD82=0,0,1)*($P$70*(1+Assumptions!$H$69)^(AE11-1))</f>
        <v>-1287.5</v>
      </c>
      <c r="AF70" s="141">
        <f ca="1">IF(AE82=0,0,1)*($P$70*(1+Assumptions!$H$69)^(AF11-1))</f>
        <v>-1287.5</v>
      </c>
      <c r="AG70" s="141">
        <f ca="1">IF(AF82=0,0,1)*($P$70*(1+Assumptions!$H$69)^(AG11-1))</f>
        <v>-1287.5</v>
      </c>
      <c r="AH70" s="141">
        <f ca="1">IF(AG82=0,0,1)*($P$70*(1+Assumptions!$H$69)^(AH11-1))</f>
        <v>-1287.5</v>
      </c>
      <c r="AI70" s="141">
        <f ca="1">IF(AH82=0,0,1)*($P$70*(1+Assumptions!$H$69)^(AI11-1))</f>
        <v>-1287.5</v>
      </c>
      <c r="AJ70" s="141">
        <f ca="1">IF(AI82=0,0,1)*($P$70*(1+Assumptions!$H$69)^(AJ11-1))</f>
        <v>-1287.5</v>
      </c>
      <c r="AK70" s="141">
        <f ca="1">IF(AJ82=0,0,1)*($P$70*(1+Assumptions!$H$69)^(AK11-1))</f>
        <v>-1287.5</v>
      </c>
      <c r="AL70" s="141">
        <f ca="1">IF(AK82=0,0,1)*($P$70*(1+Assumptions!$H$69)^(AL11-1))</f>
        <v>-1287.5</v>
      </c>
      <c r="AM70" s="141">
        <f ca="1">IF(AL82=0,0,1)*($P$70*(1+Assumptions!$H$69)^(AM11-1))</f>
        <v>-1287.5</v>
      </c>
      <c r="AN70" s="141">
        <f ca="1">IF(AM82=0,0,1)*($P$70*(1+Assumptions!$H$69)^(AN11-1))</f>
        <v>-1326.125</v>
      </c>
      <c r="AO70" s="141">
        <f ca="1">IF(AN82=0,0,1)*($P$70*(1+Assumptions!$H$69)^(AO11-1))</f>
        <v>-1326.125</v>
      </c>
      <c r="AP70" s="141">
        <f ca="1">IF(AO82=0,0,1)*($P$70*(1+Assumptions!$H$69)^(AP11-1))</f>
        <v>-1326.125</v>
      </c>
      <c r="AQ70" s="141">
        <f ca="1">IF(AP82=0,0,1)*($P$70*(1+Assumptions!$H$69)^(AQ11-1))</f>
        <v>-1326.125</v>
      </c>
      <c r="AR70" s="141">
        <f ca="1">IF(AQ82=0,0,1)*($P$70*(1+Assumptions!$H$69)^(AR11-1))</f>
        <v>-1326.125</v>
      </c>
      <c r="AS70" s="141">
        <f ca="1">IF(AR82=0,0,1)*($P$70*(1+Assumptions!$H$69)^(AS11-1))</f>
        <v>-1326.125</v>
      </c>
      <c r="AT70" s="141">
        <f ca="1">IF(AS82=0,0,1)*($P$70*(1+Assumptions!$H$69)^(AT11-1))</f>
        <v>-1326.125</v>
      </c>
      <c r="AU70" s="141">
        <f ca="1">IF(AT82=0,0,1)*($P$70*(1+Assumptions!$H$69)^(AU11-1))</f>
        <v>-1326.125</v>
      </c>
      <c r="AV70" s="141">
        <f ca="1">IF(AU82=0,0,1)*($P$70*(1+Assumptions!$H$69)^(AV11-1))</f>
        <v>-1326.125</v>
      </c>
      <c r="AW70" s="141">
        <f ca="1">IF(AV82=0,0,1)*($P$70*(1+Assumptions!$H$69)^(AW11-1))</f>
        <v>-1326.125</v>
      </c>
      <c r="AX70" s="141">
        <f ca="1">IF(AW82=0,0,1)*($P$70*(1+Assumptions!$H$69)^(AX11-1))</f>
        <v>-1326.125</v>
      </c>
      <c r="AY70" s="141">
        <f ca="1">IF(AX82=0,0,1)*($P$70*(1+Assumptions!$H$69)^(AY11-1))</f>
        <v>-1326.125</v>
      </c>
      <c r="AZ70" s="141">
        <f ca="1">IF(AY82=0,0,1)*($P$70*(1+Assumptions!$H$69)^(AZ11-1))</f>
        <v>-1365.9087500000001</v>
      </c>
      <c r="BA70" s="141">
        <f ca="1">IF(AZ82=0,0,1)*($P$70*(1+Assumptions!$H$69)^(BA11-1))</f>
        <v>-1365.9087500000001</v>
      </c>
      <c r="BB70" s="141">
        <f ca="1">IF(BA82=0,0,1)*($P$70*(1+Assumptions!$H$69)^(BB11-1))</f>
        <v>-1365.9087500000001</v>
      </c>
      <c r="BC70" s="141">
        <f ca="1">IF(BB82=0,0,1)*($P$70*(1+Assumptions!$H$69)^(BC11-1))</f>
        <v>-1365.9087500000001</v>
      </c>
      <c r="BD70" s="141">
        <f ca="1">IF(BC82=0,0,1)*($P$70*(1+Assumptions!$H$69)^(BD11-1))</f>
        <v>-1365.9087500000001</v>
      </c>
      <c r="BE70" s="141">
        <f ca="1">IF(BD82=0,0,1)*($P$70*(1+Assumptions!$H$69)^(BE11-1))</f>
        <v>-1365.9087500000001</v>
      </c>
      <c r="BF70" s="141">
        <f ca="1">IF(BE82=0,0,1)*($P$70*(1+Assumptions!$H$69)^(BF11-1))</f>
        <v>-1365.9087500000001</v>
      </c>
      <c r="BG70" s="141">
        <f ca="1">IF(BF82=0,0,1)*($P$70*(1+Assumptions!$H$69)^(BG11-1))</f>
        <v>-1365.9087500000001</v>
      </c>
      <c r="BH70" s="141">
        <f ca="1">IF(BG82=0,0,1)*($P$70*(1+Assumptions!$H$69)^(BH11-1))</f>
        <v>-1365.9087500000001</v>
      </c>
      <c r="BI70" s="141">
        <f ca="1">IF(BH82=0,0,1)*($P$70*(1+Assumptions!$H$69)^(BI11-1))</f>
        <v>-1365.9087500000001</v>
      </c>
      <c r="BJ70" s="141">
        <f ca="1">IF(BI82=0,0,1)*($P$70*(1+Assumptions!$H$69)^(BJ11-1))</f>
        <v>-1365.9087500000001</v>
      </c>
      <c r="BK70" s="141">
        <f ca="1">IF(BJ82=0,0,1)*($P$70*(1+Assumptions!$H$69)^(BK11-1))</f>
        <v>-1365.9087500000001</v>
      </c>
      <c r="BL70" s="141">
        <f ca="1">IF(BK82=0,0,1)*($P$70*(1+Assumptions!$H$69)^(BL11-1))</f>
        <v>-1406.8860124999999</v>
      </c>
      <c r="BM70" s="141">
        <f ca="1">IF(BL82=0,0,1)*($P$70*(1+Assumptions!$H$69)^(BM11-1))</f>
        <v>-1406.8860124999999</v>
      </c>
      <c r="BN70" s="141">
        <f ca="1">IF(BM82=0,0,1)*($P$70*(1+Assumptions!$H$69)^(BN11-1))</f>
        <v>-1406.8860124999999</v>
      </c>
      <c r="BO70" s="141">
        <f ca="1">IF(BN82=0,0,1)*($P$70*(1+Assumptions!$H$69)^(BO11-1))</f>
        <v>-1406.8860124999999</v>
      </c>
      <c r="BP70" s="141">
        <f ca="1">IF(BO82=0,0,1)*($P$70*(1+Assumptions!$H$69)^(BP11-1))</f>
        <v>-1406.8860124999999</v>
      </c>
      <c r="BQ70" s="141">
        <f ca="1">IF(BP82=0,0,1)*($P$70*(1+Assumptions!$H$69)^(BQ11-1))</f>
        <v>-1406.8860124999999</v>
      </c>
      <c r="BR70" s="141">
        <f ca="1">IF(BQ82=0,0,1)*($P$70*(1+Assumptions!$H$69)^(BR11-1))</f>
        <v>-1406.8860124999999</v>
      </c>
      <c r="BS70" s="141">
        <f ca="1">IF(BR82=0,0,1)*($P$70*(1+Assumptions!$H$69)^(BS11-1))</f>
        <v>-1406.8860124999999</v>
      </c>
      <c r="BT70" s="141">
        <f ca="1">IF(BS82=0,0,1)*($P$70*(1+Assumptions!$H$69)^(BT11-1))</f>
        <v>-1406.8860124999999</v>
      </c>
      <c r="BU70" s="141">
        <f ca="1">IF(BT82=0,0,1)*($P$70*(1+Assumptions!$H$69)^(BU11-1))</f>
        <v>-1406.8860124999999</v>
      </c>
      <c r="BV70" s="141">
        <f ca="1">IF(BU82=0,0,1)*($P$70*(1+Assumptions!$H$69)^(BV11-1))</f>
        <v>-1406.8860124999999</v>
      </c>
      <c r="BW70" s="141">
        <f ca="1">IF(BV82=0,0,1)*($P$70*(1+Assumptions!$H$69)^(BW11-1))</f>
        <v>-1406.8860124999999</v>
      </c>
      <c r="BX70" s="141">
        <f ca="1">IF(BW82=0,0,1)*($P$70*(1+Assumptions!$H$69)^(BX11-1))</f>
        <v>-1449.0925928749998</v>
      </c>
      <c r="BY70" s="141">
        <f ca="1">IF(BX82=0,0,1)*($P$70*(1+Assumptions!$H$69)^(BY11-1))</f>
        <v>-1449.0925928749998</v>
      </c>
      <c r="BZ70" s="141">
        <f ca="1">IF(BY82=0,0,1)*($P$70*(1+Assumptions!$H$69)^(BZ11-1))</f>
        <v>-1449.0925928749998</v>
      </c>
      <c r="CA70" s="141">
        <f ca="1">IF(BZ82=0,0,1)*($P$70*(1+Assumptions!$H$69)^(CA11-1))</f>
        <v>-1449.0925928749998</v>
      </c>
      <c r="CB70" s="141">
        <f ca="1">IF(CA82=0,0,1)*($P$70*(1+Assumptions!$H$69)^(CB11-1))</f>
        <v>-1449.0925928749998</v>
      </c>
      <c r="CC70" s="141">
        <f ca="1">IF(CB82=0,0,1)*($P$70*(1+Assumptions!$H$69)^(CC11-1))</f>
        <v>-1449.0925928749998</v>
      </c>
      <c r="CD70" s="141">
        <f ca="1">IF(CC82=0,0,1)*($P$70*(1+Assumptions!$H$69)^(CD11-1))</f>
        <v>-1449.0925928749998</v>
      </c>
      <c r="CE70" s="141">
        <f ca="1">IF(CD82=0,0,1)*($P$70*(1+Assumptions!$H$69)^(CE11-1))</f>
        <v>-1449.0925928749998</v>
      </c>
      <c r="CF70" s="141">
        <f ca="1">IF(CE82=0,0,1)*($P$70*(1+Assumptions!$H$69)^(CF11-1))</f>
        <v>-1449.0925928749998</v>
      </c>
      <c r="CG70" s="141">
        <f ca="1">IF(CF82=0,0,1)*($P$70*(1+Assumptions!$H$69)^(CG11-1))</f>
        <v>-1449.0925928749998</v>
      </c>
      <c r="CH70" s="141">
        <f ca="1">IF(CG82=0,0,1)*($P$70*(1+Assumptions!$H$69)^(CH11-1))</f>
        <v>-1449.0925928749998</v>
      </c>
      <c r="CI70" s="141">
        <f ca="1">IF(CH82=0,0,1)*($P$70*(1+Assumptions!$H$69)^(CI11-1))</f>
        <v>-1449.0925928749998</v>
      </c>
      <c r="CJ70" s="141">
        <f ca="1">IF(CI82=0,0,1)*($P$70*(1+Assumptions!$H$69)^(CJ11-1))</f>
        <v>-1492.56537066125</v>
      </c>
      <c r="CK70" s="141">
        <f ca="1">IF(CJ82=0,0,1)*($P$70*(1+Assumptions!$H$69)^(CK11-1))</f>
        <v>-1492.56537066125</v>
      </c>
      <c r="CL70" s="141">
        <f ca="1">IF(CK82=0,0,1)*($P$70*(1+Assumptions!$H$69)^(CL11-1))</f>
        <v>-1492.56537066125</v>
      </c>
      <c r="CM70" s="141">
        <f ca="1">IF(CL82=0,0,1)*($P$70*(1+Assumptions!$H$69)^(CM11-1))</f>
        <v>-1492.56537066125</v>
      </c>
      <c r="CN70" s="141">
        <f ca="1">IF(CM82=0,0,1)*($P$70*(1+Assumptions!$H$69)^(CN11-1))</f>
        <v>-1492.56537066125</v>
      </c>
      <c r="CO70" s="141">
        <f ca="1">IF(CN82=0,0,1)*($P$70*(1+Assumptions!$H$69)^(CO11-1))</f>
        <v>-1492.56537066125</v>
      </c>
      <c r="CP70" s="141">
        <f ca="1">IF(CO82=0,0,1)*($P$70*(1+Assumptions!$H$69)^(CP11-1))</f>
        <v>-1492.56537066125</v>
      </c>
      <c r="CQ70" s="141">
        <f ca="1">IF(CP82=0,0,1)*($P$70*(1+Assumptions!$H$69)^(CQ11-1))</f>
        <v>-1492.56537066125</v>
      </c>
      <c r="CR70" s="141">
        <f ca="1">IF(CQ82=0,0,1)*($P$70*(1+Assumptions!$H$69)^(CR11-1))</f>
        <v>-1492.56537066125</v>
      </c>
      <c r="CS70" s="141">
        <f ca="1">IF(CR82=0,0,1)*($P$70*(1+Assumptions!$H$69)^(CS11-1))</f>
        <v>-1492.56537066125</v>
      </c>
      <c r="CT70" s="141">
        <f ca="1">IF(CS82=0,0,1)*($P$70*(1+Assumptions!$H$69)^(CT11-1))</f>
        <v>-1492.56537066125</v>
      </c>
      <c r="CU70" s="141">
        <f ca="1">IF(CT82=0,0,1)*($P$70*(1+Assumptions!$H$69)^(CU11-1))</f>
        <v>-1492.56537066125</v>
      </c>
      <c r="CV70" s="141">
        <f ca="1">IF(CU82=0,0,1)*($P$70*(1+Assumptions!$H$69)^(CV11-1))</f>
        <v>-1537.3423317810875</v>
      </c>
      <c r="CW70" s="141">
        <f ca="1">IF(CV82=0,0,1)*($P$70*(1+Assumptions!$H$69)^(CW11-1))</f>
        <v>-1537.3423317810875</v>
      </c>
      <c r="CX70" s="141">
        <f ca="1">IF(CW82=0,0,1)*($P$70*(1+Assumptions!$H$69)^(CX11-1))</f>
        <v>-1537.3423317810875</v>
      </c>
      <c r="CY70" s="141">
        <f ca="1">IF(CX82=0,0,1)*($P$70*(1+Assumptions!$H$69)^(CY11-1))</f>
        <v>-1537.3423317810875</v>
      </c>
      <c r="CZ70" s="141">
        <f ca="1">IF(CY82=0,0,1)*($P$70*(1+Assumptions!$H$69)^(CZ11-1))</f>
        <v>-1537.3423317810875</v>
      </c>
      <c r="DA70" s="141">
        <f ca="1">IF(CZ82=0,0,1)*($P$70*(1+Assumptions!$H$69)^(DA11-1))</f>
        <v>-1537.3423317810875</v>
      </c>
      <c r="DB70" s="141">
        <f ca="1">IF(DA82=0,0,1)*($P$70*(1+Assumptions!$H$69)^(DB11-1))</f>
        <v>-1537.3423317810875</v>
      </c>
      <c r="DC70" s="141">
        <f ca="1">IF(DB82=0,0,1)*($P$70*(1+Assumptions!$H$69)^(DC11-1))</f>
        <v>-1537.3423317810875</v>
      </c>
      <c r="DD70" s="141">
        <f ca="1">IF(DC82=0,0,1)*($P$70*(1+Assumptions!$H$69)^(DD11-1))</f>
        <v>-1537.3423317810875</v>
      </c>
      <c r="DE70" s="141">
        <f ca="1">IF(DD82=0,0,1)*($P$70*(1+Assumptions!$H$69)^(DE11-1))</f>
        <v>-1537.3423317810875</v>
      </c>
      <c r="DF70" s="141">
        <f ca="1">IF(DE82=0,0,1)*($P$70*(1+Assumptions!$H$69)^(DF11-1))</f>
        <v>-1537.3423317810875</v>
      </c>
      <c r="DG70" s="141">
        <f ca="1">IF(DF82=0,0,1)*($P$70*(1+Assumptions!$H$69)^(DG11-1))</f>
        <v>-1537.3423317810875</v>
      </c>
      <c r="DH70" s="141">
        <f ca="1">IF(DG82=0,0,1)*($P$70*(1+Assumptions!$H$69)^(DH11-1))</f>
        <v>-1583.4626017345199</v>
      </c>
      <c r="DI70" s="141">
        <f ca="1">IF(DH82=0,0,1)*($P$70*(1+Assumptions!$H$69)^(DI11-1))</f>
        <v>-1583.4626017345199</v>
      </c>
      <c r="DJ70" s="141">
        <f>IF(DI82=0,0,1)*($P$70*(1+Assumptions!$H$69)^(DJ11-1))</f>
        <v>0</v>
      </c>
      <c r="DK70" s="141">
        <f>IF(DJ82=0,0,1)*($P$70*(1+Assumptions!$H$69)^(DK11-1))</f>
        <v>0</v>
      </c>
      <c r="DL70" s="141">
        <f>IF(DK82=0,0,1)*($P$70*(1+Assumptions!$H$69)^(DL11-1))</f>
        <v>0</v>
      </c>
      <c r="DM70" s="141">
        <f>IF(DL82=0,0,1)*($P$70*(1+Assumptions!$H$69)^(DM11-1))</f>
        <v>0</v>
      </c>
      <c r="DN70" s="141">
        <f>IF(DM82=0,0,1)*($P$70*(1+Assumptions!$H$69)^(DN11-1))</f>
        <v>0</v>
      </c>
      <c r="DO70" s="141">
        <f>IF(DN82=0,0,1)*($P$70*(1+Assumptions!$H$69)^(DO11-1))</f>
        <v>0</v>
      </c>
      <c r="DP70" s="141">
        <f>IF(DO82=0,0,1)*($P$70*(1+Assumptions!$H$69)^(DP11-1))</f>
        <v>0</v>
      </c>
      <c r="DQ70" s="141">
        <f>IF(DP82=0,0,1)*($P$70*(1+Assumptions!$H$69)^(DQ11-1))</f>
        <v>0</v>
      </c>
      <c r="DR70" s="141">
        <f>IF(DQ82=0,0,1)*($P$70*(1+Assumptions!$H$69)^(DR11-1))</f>
        <v>0</v>
      </c>
      <c r="DS70" s="141">
        <f>IF(DR82=0,0,1)*($P$70*(1+Assumptions!$H$69)^(DS11-1))</f>
        <v>0</v>
      </c>
      <c r="DT70" s="141">
        <f>IF(DS82=0,0,1)*($P$70*(1+Assumptions!$H$69)^(DT11-1))</f>
        <v>0</v>
      </c>
      <c r="DU70" s="141">
        <f>IF(DT82=0,0,1)*($P$70*(1+Assumptions!$H$69)^(DU11-1))</f>
        <v>0</v>
      </c>
      <c r="DV70" s="141">
        <f>IF(DU82=0,0,1)*($P$70*(1+Assumptions!$H$69)^(DV11-1))</f>
        <v>0</v>
      </c>
      <c r="DW70" s="141">
        <f>IF(DV82=0,0,1)*($P$70*(1+Assumptions!$H$69)^(DW11-1))</f>
        <v>0</v>
      </c>
      <c r="DX70" s="141">
        <f>IF(DW82=0,0,1)*($P$70*(1+Assumptions!$H$69)^(DX11-1))</f>
        <v>0</v>
      </c>
      <c r="DY70" s="141">
        <f>IF(DX82=0,0,1)*($P$70*(1+Assumptions!$H$69)^(DY11-1))</f>
        <v>0</v>
      </c>
      <c r="DZ70" s="141">
        <f>IF(DY82=0,0,1)*($P$70*(1+Assumptions!$H$69)^(DZ11-1))</f>
        <v>0</v>
      </c>
      <c r="EA70" s="141">
        <f>IF(DZ82=0,0,1)*($P$70*(1+Assumptions!$H$69)^(EA11-1))</f>
        <v>0</v>
      </c>
      <c r="EB70" s="141">
        <f>IF(EA82=0,0,1)*($P$70*(1+Assumptions!$H$69)^(EB11-1))</f>
        <v>0</v>
      </c>
      <c r="EC70" s="141">
        <f>IF(EB82=0,0,1)*($P$70*(1+Assumptions!$H$69)^(EC11-1))</f>
        <v>0</v>
      </c>
      <c r="ED70" s="141">
        <f>IF(EC82=0,0,1)*($P$70*(1+Assumptions!$H$69)^(ED11-1))</f>
        <v>0</v>
      </c>
      <c r="EE70" s="141">
        <f>IF(ED82=0,0,1)*($P$70*(1+Assumptions!$H$69)^(EE11-1))</f>
        <v>0</v>
      </c>
      <c r="EF70" s="141">
        <f>IF(EE82=0,0,1)*($P$70*(1+Assumptions!$H$69)^(EF11-1))</f>
        <v>0</v>
      </c>
      <c r="EG70" s="141">
        <f>IF(EF82=0,0,1)*($P$70*(1+Assumptions!$H$69)^(EG11-1))</f>
        <v>0</v>
      </c>
      <c r="EH70" s="141">
        <f>IF(EG82=0,0,1)*($P$70*(1+Assumptions!$H$69)^(EH11-1))</f>
        <v>0</v>
      </c>
      <c r="EI70" s="141">
        <f>IF(EH82=0,0,1)*($P$70*(1+Assumptions!$H$69)^(EI11-1))</f>
        <v>0</v>
      </c>
      <c r="EJ70" s="141">
        <f>IF(EI82=0,0,1)*($P$70*(1+Assumptions!$H$69)^(EJ11-1))</f>
        <v>0</v>
      </c>
      <c r="EK70" s="141">
        <f>IF(EJ82=0,0,1)*($P$70*(1+Assumptions!$H$69)^(EK11-1))</f>
        <v>0</v>
      </c>
      <c r="EL70" s="141">
        <f>IF(EK82=0,0,1)*($P$70*(1+Assumptions!$H$69)^(EL11-1))</f>
        <v>0</v>
      </c>
      <c r="EM70" s="141">
        <f>IF(EL82=0,0,1)*($P$70*(1+Assumptions!$H$69)^(EM11-1))</f>
        <v>0</v>
      </c>
      <c r="EN70" s="141">
        <f>IF(EM82=0,0,1)*($P$70*(1+Assumptions!$H$69)^(EN11-1))</f>
        <v>0</v>
      </c>
      <c r="EO70" s="141">
        <f>IF(EN82=0,0,1)*($P$70*(1+Assumptions!$H$69)^(EO11-1))</f>
        <v>0</v>
      </c>
      <c r="EP70" s="141">
        <f>IF(EO82=0,0,1)*($P$70*(1+Assumptions!$H$69)^(EP11-1))</f>
        <v>0</v>
      </c>
      <c r="EQ70" s="141">
        <f>IF(EP82=0,0,1)*($P$70*(1+Assumptions!$H$69)^(EQ11-1))</f>
        <v>0</v>
      </c>
      <c r="ES70" s="421"/>
      <c r="ET70" s="63"/>
      <c r="EU70" s="98"/>
    </row>
    <row r="71" spans="2:151" ht="15.75">
      <c r="G71" s="145"/>
      <c r="H71" s="128" t="s">
        <v>42</v>
      </c>
      <c r="I71" s="504"/>
      <c r="J71" s="507"/>
      <c r="K71" s="130"/>
      <c r="L71" s="131"/>
      <c r="M71" s="131"/>
      <c r="N71" s="225">
        <f>'Annual Cash Flow'!C51</f>
        <v>0</v>
      </c>
      <c r="O71" s="788"/>
      <c r="P71" s="646">
        <f>-Assumptions!F65/12</f>
        <v>0</v>
      </c>
      <c r="Q71" s="141">
        <f ca="1">IF(P82=0,0,1)*($P$71*(1+Assumptions!$H$69)^(Q11-1))</f>
        <v>0</v>
      </c>
      <c r="R71" s="141">
        <f ca="1">IF(Q82=0,0,1)*($P$71*(1+Assumptions!$H$69)^(R11-1))</f>
        <v>0</v>
      </c>
      <c r="S71" s="141">
        <f ca="1">IF(R82=0,0,1)*($P$71*(1+Assumptions!$H$69)^(S11-1))</f>
        <v>0</v>
      </c>
      <c r="T71" s="141">
        <f ca="1">IF(S82=0,0,1)*($P$71*(1+Assumptions!$H$69)^(T11-1))</f>
        <v>0</v>
      </c>
      <c r="U71" s="141">
        <f ca="1">IF(T82=0,0,1)*($P$71*(1+Assumptions!$H$69)^(U11-1))</f>
        <v>0</v>
      </c>
      <c r="V71" s="141">
        <f ca="1">IF(U82=0,0,1)*($P$71*(1+Assumptions!$H$69)^(V11-1))</f>
        <v>0</v>
      </c>
      <c r="W71" s="141">
        <f ca="1">IF(V82=0,0,1)*($P$71*(1+Assumptions!$H$69)^(W11-1))</f>
        <v>0</v>
      </c>
      <c r="X71" s="141">
        <f ca="1">IF(W82=0,0,1)*($P$71*(1+Assumptions!$H$69)^(X11-1))</f>
        <v>0</v>
      </c>
      <c r="Y71" s="141">
        <f ca="1">IF(X82=0,0,1)*($P$71*(1+Assumptions!$H$69)^(Y11-1))</f>
        <v>0</v>
      </c>
      <c r="Z71" s="141">
        <f ca="1">IF(Y82=0,0,1)*($P$71*(1+Assumptions!$H$69)^(Z11-1))</f>
        <v>0</v>
      </c>
      <c r="AA71" s="141">
        <f ca="1">IF(Z82=0,0,1)*($P$71*(1+Assumptions!$H$69)^(AA11-1))</f>
        <v>0</v>
      </c>
      <c r="AB71" s="141">
        <f ca="1">IF(AA82=0,0,1)*($P$71*(1+Assumptions!$H$69)^(AB11-1))</f>
        <v>0</v>
      </c>
      <c r="AC71" s="141">
        <f ca="1">IF(AB82=0,0,1)*($P$71*(1+Assumptions!$H$69)^(AC11-1))</f>
        <v>0</v>
      </c>
      <c r="AD71" s="141">
        <f ca="1">IF(AC82=0,0,1)*($P$71*(1+Assumptions!$H$69)^(AD11-1))</f>
        <v>0</v>
      </c>
      <c r="AE71" s="141">
        <f ca="1">IF(AD82=0,0,1)*($P$71*(1+Assumptions!$H$69)^(AE11-1))</f>
        <v>0</v>
      </c>
      <c r="AF71" s="141">
        <f ca="1">IF(AE82=0,0,1)*($P$71*(1+Assumptions!$H$69)^(AF11-1))</f>
        <v>0</v>
      </c>
      <c r="AG71" s="141">
        <f ca="1">IF(AF82=0,0,1)*($P$71*(1+Assumptions!$H$69)^(AG11-1))</f>
        <v>0</v>
      </c>
      <c r="AH71" s="141">
        <f ca="1">IF(AG82=0,0,1)*($P$71*(1+Assumptions!$H$69)^(AH11-1))</f>
        <v>0</v>
      </c>
      <c r="AI71" s="141">
        <f ca="1">IF(AH82=0,0,1)*($P$71*(1+Assumptions!$H$69)^(AI11-1))</f>
        <v>0</v>
      </c>
      <c r="AJ71" s="141">
        <f ca="1">IF(AI82=0,0,1)*($P$71*(1+Assumptions!$H$69)^(AJ11-1))</f>
        <v>0</v>
      </c>
      <c r="AK71" s="141">
        <f ca="1">IF(AJ82=0,0,1)*($P$71*(1+Assumptions!$H$69)^(AK11-1))</f>
        <v>0</v>
      </c>
      <c r="AL71" s="141">
        <f ca="1">IF(AK82=0,0,1)*($P$71*(1+Assumptions!$H$69)^(AL11-1))</f>
        <v>0</v>
      </c>
      <c r="AM71" s="141">
        <f ca="1">IF(AL82=0,0,1)*($P$71*(1+Assumptions!$H$69)^(AM11-1))</f>
        <v>0</v>
      </c>
      <c r="AN71" s="141">
        <f ca="1">IF(AM82=0,0,1)*($P$71*(1+Assumptions!$H$69)^(AN11-1))</f>
        <v>0</v>
      </c>
      <c r="AO71" s="141">
        <f ca="1">IF(AN82=0,0,1)*($P$71*(1+Assumptions!$H$69)^(AO11-1))</f>
        <v>0</v>
      </c>
      <c r="AP71" s="141">
        <f ca="1">IF(AO82=0,0,1)*($P$71*(1+Assumptions!$H$69)^(AP11-1))</f>
        <v>0</v>
      </c>
      <c r="AQ71" s="141">
        <f ca="1">IF(AP82=0,0,1)*($P$71*(1+Assumptions!$H$69)^(AQ11-1))</f>
        <v>0</v>
      </c>
      <c r="AR71" s="141">
        <f ca="1">IF(AQ82=0,0,1)*($P$71*(1+Assumptions!$H$69)^(AR11-1))</f>
        <v>0</v>
      </c>
      <c r="AS71" s="141">
        <f ca="1">IF(AR82=0,0,1)*($P$71*(1+Assumptions!$H$69)^(AS11-1))</f>
        <v>0</v>
      </c>
      <c r="AT71" s="141">
        <f ca="1">IF(AS82=0,0,1)*($P$71*(1+Assumptions!$H$69)^(AT11-1))</f>
        <v>0</v>
      </c>
      <c r="AU71" s="141">
        <f ca="1">IF(AT82=0,0,1)*($P$71*(1+Assumptions!$H$69)^(AU11-1))</f>
        <v>0</v>
      </c>
      <c r="AV71" s="141">
        <f ca="1">IF(AU82=0,0,1)*($P$71*(1+Assumptions!$H$69)^(AV11-1))</f>
        <v>0</v>
      </c>
      <c r="AW71" s="141">
        <f ca="1">IF(AV82=0,0,1)*($P$71*(1+Assumptions!$H$69)^(AW11-1))</f>
        <v>0</v>
      </c>
      <c r="AX71" s="141">
        <f ca="1">IF(AW82=0,0,1)*($P$71*(1+Assumptions!$H$69)^(AX11-1))</f>
        <v>0</v>
      </c>
      <c r="AY71" s="141">
        <f ca="1">IF(AX82=0,0,1)*($P$71*(1+Assumptions!$H$69)^(AY11-1))</f>
        <v>0</v>
      </c>
      <c r="AZ71" s="141">
        <f ca="1">IF(AY82=0,0,1)*($P$71*(1+Assumptions!$H$69)^(AZ11-1))</f>
        <v>0</v>
      </c>
      <c r="BA71" s="141">
        <f ca="1">IF(AZ82=0,0,1)*($P$71*(1+Assumptions!$H$69)^(BA11-1))</f>
        <v>0</v>
      </c>
      <c r="BB71" s="141">
        <f ca="1">IF(BA82=0,0,1)*($P$71*(1+Assumptions!$H$69)^(BB11-1))</f>
        <v>0</v>
      </c>
      <c r="BC71" s="141">
        <f ca="1">IF(BB82=0,0,1)*($P$71*(1+Assumptions!$H$69)^(BC11-1))</f>
        <v>0</v>
      </c>
      <c r="BD71" s="141">
        <f ca="1">IF(BC82=0,0,1)*($P$71*(1+Assumptions!$H$69)^(BD11-1))</f>
        <v>0</v>
      </c>
      <c r="BE71" s="141">
        <f ca="1">IF(BD82=0,0,1)*($P$71*(1+Assumptions!$H$69)^(BE11-1))</f>
        <v>0</v>
      </c>
      <c r="BF71" s="141">
        <f ca="1">IF(BE82=0,0,1)*($P$71*(1+Assumptions!$H$69)^(BF11-1))</f>
        <v>0</v>
      </c>
      <c r="BG71" s="141">
        <f ca="1">IF(BF82=0,0,1)*($P$71*(1+Assumptions!$H$69)^(BG11-1))</f>
        <v>0</v>
      </c>
      <c r="BH71" s="141">
        <f ca="1">IF(BG82=0,0,1)*($P$71*(1+Assumptions!$H$69)^(BH11-1))</f>
        <v>0</v>
      </c>
      <c r="BI71" s="141">
        <f ca="1">IF(BH82=0,0,1)*($P$71*(1+Assumptions!$H$69)^(BI11-1))</f>
        <v>0</v>
      </c>
      <c r="BJ71" s="141">
        <f ca="1">IF(BI82=0,0,1)*($P$71*(1+Assumptions!$H$69)^(BJ11-1))</f>
        <v>0</v>
      </c>
      <c r="BK71" s="141">
        <f ca="1">IF(BJ82=0,0,1)*($P$71*(1+Assumptions!$H$69)^(BK11-1))</f>
        <v>0</v>
      </c>
      <c r="BL71" s="141">
        <f ca="1">IF(BK82=0,0,1)*($P$71*(1+Assumptions!$H$69)^(BL11-1))</f>
        <v>0</v>
      </c>
      <c r="BM71" s="141">
        <f ca="1">IF(BL82=0,0,1)*($P$71*(1+Assumptions!$H$69)^(BM11-1))</f>
        <v>0</v>
      </c>
      <c r="BN71" s="141">
        <f ca="1">IF(BM82=0,0,1)*($P$71*(1+Assumptions!$H$69)^(BN11-1))</f>
        <v>0</v>
      </c>
      <c r="BO71" s="141">
        <f ca="1">IF(BN82=0,0,1)*($P$71*(1+Assumptions!$H$69)^(BO11-1))</f>
        <v>0</v>
      </c>
      <c r="BP71" s="141">
        <f ca="1">IF(BO82=0,0,1)*($P$71*(1+Assumptions!$H$69)^(BP11-1))</f>
        <v>0</v>
      </c>
      <c r="BQ71" s="141">
        <f ca="1">IF(BP82=0,0,1)*($P$71*(1+Assumptions!$H$69)^(BQ11-1))</f>
        <v>0</v>
      </c>
      <c r="BR71" s="141">
        <f ca="1">IF(BQ82=0,0,1)*($P$71*(1+Assumptions!$H$69)^(BR11-1))</f>
        <v>0</v>
      </c>
      <c r="BS71" s="141">
        <f ca="1">IF(BR82=0,0,1)*($P$71*(1+Assumptions!$H$69)^(BS11-1))</f>
        <v>0</v>
      </c>
      <c r="BT71" s="141">
        <f ca="1">IF(BS82=0,0,1)*($P$71*(1+Assumptions!$H$69)^(BT11-1))</f>
        <v>0</v>
      </c>
      <c r="BU71" s="141">
        <f ca="1">IF(BT82=0,0,1)*($P$71*(1+Assumptions!$H$69)^(BU11-1))</f>
        <v>0</v>
      </c>
      <c r="BV71" s="141">
        <f ca="1">IF(BU82=0,0,1)*($P$71*(1+Assumptions!$H$69)^(BV11-1))</f>
        <v>0</v>
      </c>
      <c r="BW71" s="141">
        <f ca="1">IF(BV82=0,0,1)*($P$71*(1+Assumptions!$H$69)^(BW11-1))</f>
        <v>0</v>
      </c>
      <c r="BX71" s="141">
        <f ca="1">IF(BW82=0,0,1)*($P$71*(1+Assumptions!$H$69)^(BX11-1))</f>
        <v>0</v>
      </c>
      <c r="BY71" s="141">
        <f ca="1">IF(BX82=0,0,1)*($P$71*(1+Assumptions!$H$69)^(BY11-1))</f>
        <v>0</v>
      </c>
      <c r="BZ71" s="141">
        <f ca="1">IF(BY82=0,0,1)*($P$71*(1+Assumptions!$H$69)^(BZ11-1))</f>
        <v>0</v>
      </c>
      <c r="CA71" s="141">
        <f ca="1">IF(BZ82=0,0,1)*($P$71*(1+Assumptions!$H$69)^(CA11-1))</f>
        <v>0</v>
      </c>
      <c r="CB71" s="141">
        <f ca="1">IF(CA82=0,0,1)*($P$71*(1+Assumptions!$H$69)^(CB11-1))</f>
        <v>0</v>
      </c>
      <c r="CC71" s="141">
        <f ca="1">IF(CB82=0,0,1)*($P$71*(1+Assumptions!$H$69)^(CC11-1))</f>
        <v>0</v>
      </c>
      <c r="CD71" s="141">
        <f ca="1">IF(CC82=0,0,1)*($P$71*(1+Assumptions!$H$69)^(CD11-1))</f>
        <v>0</v>
      </c>
      <c r="CE71" s="141">
        <f ca="1">IF(CD82=0,0,1)*($P$71*(1+Assumptions!$H$69)^(CE11-1))</f>
        <v>0</v>
      </c>
      <c r="CF71" s="141">
        <f ca="1">IF(CE82=0,0,1)*($P$71*(1+Assumptions!$H$69)^(CF11-1))</f>
        <v>0</v>
      </c>
      <c r="CG71" s="141">
        <f ca="1">IF(CF82=0,0,1)*($P$71*(1+Assumptions!$H$69)^(CG11-1))</f>
        <v>0</v>
      </c>
      <c r="CH71" s="141">
        <f ca="1">IF(CG82=0,0,1)*($P$71*(1+Assumptions!$H$69)^(CH11-1))</f>
        <v>0</v>
      </c>
      <c r="CI71" s="141">
        <f ca="1">IF(CH82=0,0,1)*($P$71*(1+Assumptions!$H$69)^(CI11-1))</f>
        <v>0</v>
      </c>
      <c r="CJ71" s="141">
        <f ca="1">IF(CI82=0,0,1)*($P$71*(1+Assumptions!$H$69)^(CJ11-1))</f>
        <v>0</v>
      </c>
      <c r="CK71" s="141">
        <f ca="1">IF(CJ82=0,0,1)*($P$71*(1+Assumptions!$H$69)^(CK11-1))</f>
        <v>0</v>
      </c>
      <c r="CL71" s="141">
        <f ca="1">IF(CK82=0,0,1)*($P$71*(1+Assumptions!$H$69)^(CL11-1))</f>
        <v>0</v>
      </c>
      <c r="CM71" s="141">
        <f ca="1">IF(CL82=0,0,1)*($P$71*(1+Assumptions!$H$69)^(CM11-1))</f>
        <v>0</v>
      </c>
      <c r="CN71" s="141">
        <f ca="1">IF(CM82=0,0,1)*($P$71*(1+Assumptions!$H$69)^(CN11-1))</f>
        <v>0</v>
      </c>
      <c r="CO71" s="141">
        <f ca="1">IF(CN82=0,0,1)*($P$71*(1+Assumptions!$H$69)^(CO11-1))</f>
        <v>0</v>
      </c>
      <c r="CP71" s="141">
        <f ca="1">IF(CO82=0,0,1)*($P$71*(1+Assumptions!$H$69)^(CP11-1))</f>
        <v>0</v>
      </c>
      <c r="CQ71" s="141">
        <f ca="1">IF(CP82=0,0,1)*($P$71*(1+Assumptions!$H$69)^(CQ11-1))</f>
        <v>0</v>
      </c>
      <c r="CR71" s="141">
        <f ca="1">IF(CQ82=0,0,1)*($P$71*(1+Assumptions!$H$69)^(CR11-1))</f>
        <v>0</v>
      </c>
      <c r="CS71" s="141">
        <f ca="1">IF(CR82=0,0,1)*($P$71*(1+Assumptions!$H$69)^(CS11-1))</f>
        <v>0</v>
      </c>
      <c r="CT71" s="141">
        <f ca="1">IF(CS82=0,0,1)*($P$71*(1+Assumptions!$H$69)^(CT11-1))</f>
        <v>0</v>
      </c>
      <c r="CU71" s="141">
        <f ca="1">IF(CT82=0,0,1)*($P$71*(1+Assumptions!$H$69)^(CU11-1))</f>
        <v>0</v>
      </c>
      <c r="CV71" s="141">
        <f ca="1">IF(CU82=0,0,1)*($P$71*(1+Assumptions!$H$69)^(CV11-1))</f>
        <v>0</v>
      </c>
      <c r="CW71" s="141">
        <f ca="1">IF(CV82=0,0,1)*($P$71*(1+Assumptions!$H$69)^(CW11-1))</f>
        <v>0</v>
      </c>
      <c r="CX71" s="141">
        <f ca="1">IF(CW82=0,0,1)*($P$71*(1+Assumptions!$H$69)^(CX11-1))</f>
        <v>0</v>
      </c>
      <c r="CY71" s="141">
        <f ca="1">IF(CX82=0,0,1)*($P$71*(1+Assumptions!$H$69)^(CY11-1))</f>
        <v>0</v>
      </c>
      <c r="CZ71" s="141">
        <f ca="1">IF(CY82=0,0,1)*($P$71*(1+Assumptions!$H$69)^(CZ11-1))</f>
        <v>0</v>
      </c>
      <c r="DA71" s="141">
        <f ca="1">IF(CZ82=0,0,1)*($P$71*(1+Assumptions!$H$69)^(DA11-1))</f>
        <v>0</v>
      </c>
      <c r="DB71" s="141">
        <f ca="1">IF(DA82=0,0,1)*($P$71*(1+Assumptions!$H$69)^(DB11-1))</f>
        <v>0</v>
      </c>
      <c r="DC71" s="141">
        <f ca="1">IF(DB82=0,0,1)*($P$71*(1+Assumptions!$H$69)^(DC11-1))</f>
        <v>0</v>
      </c>
      <c r="DD71" s="141">
        <f ca="1">IF(DC82=0,0,1)*($P$71*(1+Assumptions!$H$69)^(DD11-1))</f>
        <v>0</v>
      </c>
      <c r="DE71" s="141">
        <f ca="1">IF(DD82=0,0,1)*($P$71*(1+Assumptions!$H$69)^(DE11-1))</f>
        <v>0</v>
      </c>
      <c r="DF71" s="141">
        <f ca="1">IF(DE82=0,0,1)*($P$71*(1+Assumptions!$H$69)^(DF11-1))</f>
        <v>0</v>
      </c>
      <c r="DG71" s="141">
        <f ca="1">IF(DF82=0,0,1)*($P$71*(1+Assumptions!$H$69)^(DG11-1))</f>
        <v>0</v>
      </c>
      <c r="DH71" s="141">
        <f ca="1">IF(DG82=0,0,1)*($P$71*(1+Assumptions!$H$69)^(DH11-1))</f>
        <v>0</v>
      </c>
      <c r="DI71" s="141">
        <f ca="1">IF(DH82=0,0,1)*($P$71*(1+Assumptions!$H$69)^(DI11-1))</f>
        <v>0</v>
      </c>
      <c r="DJ71" s="141">
        <f>IF(DI82=0,0,1)*($P$71*(1+Assumptions!$H$69)^(DJ11-1))</f>
        <v>0</v>
      </c>
      <c r="DK71" s="141">
        <f>IF(DJ82=0,0,1)*($P$71*(1+Assumptions!$H$69)^(DK11-1))</f>
        <v>0</v>
      </c>
      <c r="DL71" s="141">
        <f>IF(DK82=0,0,1)*($P$71*(1+Assumptions!$H$69)^(DL11-1))</f>
        <v>0</v>
      </c>
      <c r="DM71" s="141">
        <f>IF(DL82=0,0,1)*($P$71*(1+Assumptions!$H$69)^(DM11-1))</f>
        <v>0</v>
      </c>
      <c r="DN71" s="141">
        <f>IF(DM82=0,0,1)*($P$71*(1+Assumptions!$H$69)^(DN11-1))</f>
        <v>0</v>
      </c>
      <c r="DO71" s="141">
        <f>IF(DN82=0,0,1)*($P$71*(1+Assumptions!$H$69)^(DO11-1))</f>
        <v>0</v>
      </c>
      <c r="DP71" s="141">
        <f>IF(DO82=0,0,1)*($P$71*(1+Assumptions!$H$69)^(DP11-1))</f>
        <v>0</v>
      </c>
      <c r="DQ71" s="141">
        <f>IF(DP82=0,0,1)*($P$71*(1+Assumptions!$H$69)^(DQ11-1))</f>
        <v>0</v>
      </c>
      <c r="DR71" s="141">
        <f>IF(DQ82=0,0,1)*($P$71*(1+Assumptions!$H$69)^(DR11-1))</f>
        <v>0</v>
      </c>
      <c r="DS71" s="141">
        <f>IF(DR82=0,0,1)*($P$71*(1+Assumptions!$H$69)^(DS11-1))</f>
        <v>0</v>
      </c>
      <c r="DT71" s="141">
        <f>IF(DS82=0,0,1)*($P$71*(1+Assumptions!$H$69)^(DT11-1))</f>
        <v>0</v>
      </c>
      <c r="DU71" s="141">
        <f>IF(DT82=0,0,1)*($P$71*(1+Assumptions!$H$69)^(DU11-1))</f>
        <v>0</v>
      </c>
      <c r="DV71" s="141">
        <f>IF(DU82=0,0,1)*($P$71*(1+Assumptions!$H$69)^(DV11-1))</f>
        <v>0</v>
      </c>
      <c r="DW71" s="141">
        <f>IF(DV82=0,0,1)*($P$71*(1+Assumptions!$H$69)^(DW11-1))</f>
        <v>0</v>
      </c>
      <c r="DX71" s="141">
        <f>IF(DW82=0,0,1)*($P$71*(1+Assumptions!$H$69)^(DX11-1))</f>
        <v>0</v>
      </c>
      <c r="DY71" s="141">
        <f>IF(DX82=0,0,1)*($P$71*(1+Assumptions!$H$69)^(DY11-1))</f>
        <v>0</v>
      </c>
      <c r="DZ71" s="141">
        <f>IF(DY82=0,0,1)*($P$71*(1+Assumptions!$H$69)^(DZ11-1))</f>
        <v>0</v>
      </c>
      <c r="EA71" s="141">
        <f>IF(DZ82=0,0,1)*($P$71*(1+Assumptions!$H$69)^(EA11-1))</f>
        <v>0</v>
      </c>
      <c r="EB71" s="141">
        <f>IF(EA82=0,0,1)*($P$71*(1+Assumptions!$H$69)^(EB11-1))</f>
        <v>0</v>
      </c>
      <c r="EC71" s="141">
        <f>IF(EB82=0,0,1)*($P$71*(1+Assumptions!$H$69)^(EC11-1))</f>
        <v>0</v>
      </c>
      <c r="ED71" s="141">
        <f>IF(EC82=0,0,1)*($P$71*(1+Assumptions!$H$69)^(ED11-1))</f>
        <v>0</v>
      </c>
      <c r="EE71" s="141">
        <f>IF(ED82=0,0,1)*($P$71*(1+Assumptions!$H$69)^(EE11-1))</f>
        <v>0</v>
      </c>
      <c r="EF71" s="141">
        <f>IF(EE82=0,0,1)*($P$71*(1+Assumptions!$H$69)^(EF11-1))</f>
        <v>0</v>
      </c>
      <c r="EG71" s="141">
        <f>IF(EF82=0,0,1)*($P$71*(1+Assumptions!$H$69)^(EG11-1))</f>
        <v>0</v>
      </c>
      <c r="EH71" s="141">
        <f>IF(EG82=0,0,1)*($P$71*(1+Assumptions!$H$69)^(EH11-1))</f>
        <v>0</v>
      </c>
      <c r="EI71" s="141">
        <f>IF(EH82=0,0,1)*($P$71*(1+Assumptions!$H$69)^(EI11-1))</f>
        <v>0</v>
      </c>
      <c r="EJ71" s="141">
        <f>IF(EI82=0,0,1)*($P$71*(1+Assumptions!$H$69)^(EJ11-1))</f>
        <v>0</v>
      </c>
      <c r="EK71" s="141">
        <f>IF(EJ82=0,0,1)*($P$71*(1+Assumptions!$H$69)^(EK11-1))</f>
        <v>0</v>
      </c>
      <c r="EL71" s="141">
        <f>IF(EK82=0,0,1)*($P$71*(1+Assumptions!$H$69)^(EL11-1))</f>
        <v>0</v>
      </c>
      <c r="EM71" s="141">
        <f>IF(EL82=0,0,1)*($P$71*(1+Assumptions!$H$69)^(EM11-1))</f>
        <v>0</v>
      </c>
      <c r="EN71" s="141">
        <f>IF(EM82=0,0,1)*($P$71*(1+Assumptions!$H$69)^(EN11-1))</f>
        <v>0</v>
      </c>
      <c r="EO71" s="141">
        <f>IF(EN82=0,0,1)*($P$71*(1+Assumptions!$H$69)^(EO11-1))</f>
        <v>0</v>
      </c>
      <c r="EP71" s="141">
        <f>IF(EO82=0,0,1)*($P$71*(1+Assumptions!$H$69)^(EP11-1))</f>
        <v>0</v>
      </c>
      <c r="EQ71" s="141">
        <f>IF(EP82=0,0,1)*($P$71*(1+Assumptions!$H$69)^(EQ11-1))</f>
        <v>0</v>
      </c>
      <c r="ES71" s="421"/>
      <c r="ET71" s="63"/>
      <c r="EU71" s="98"/>
    </row>
    <row r="72" spans="2:151" ht="6" customHeight="1">
      <c r="G72" s="145"/>
      <c r="H72" s="128"/>
      <c r="I72" s="132"/>
      <c r="J72" s="137"/>
      <c r="K72" s="136"/>
      <c r="L72" s="132"/>
      <c r="M72" s="132"/>
      <c r="N72" s="137"/>
      <c r="O72" s="789"/>
      <c r="P72" s="102"/>
      <c r="Q72" s="133"/>
      <c r="R72" s="133"/>
      <c r="S72" s="134"/>
      <c r="T72" s="133"/>
      <c r="U72" s="133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35"/>
      <c r="CO72" s="135"/>
      <c r="CP72" s="135"/>
      <c r="CQ72" s="135"/>
      <c r="CR72" s="135"/>
      <c r="CS72" s="135"/>
      <c r="CT72" s="135"/>
      <c r="CU72" s="135"/>
      <c r="CV72" s="135"/>
      <c r="CW72" s="135"/>
      <c r="CX72" s="135"/>
      <c r="CY72" s="135"/>
      <c r="CZ72" s="135"/>
      <c r="DA72" s="135"/>
      <c r="DB72" s="135"/>
      <c r="DC72" s="135"/>
      <c r="DD72" s="135"/>
      <c r="DE72" s="135"/>
      <c r="DF72" s="135"/>
      <c r="DG72" s="135"/>
      <c r="DH72" s="135"/>
      <c r="DI72" s="135"/>
      <c r="DJ72" s="135"/>
      <c r="DK72" s="135"/>
      <c r="DL72" s="135"/>
      <c r="DM72" s="135"/>
      <c r="DN72" s="135"/>
      <c r="DO72" s="135"/>
      <c r="DP72" s="135"/>
      <c r="DQ72" s="135"/>
      <c r="DR72" s="135"/>
      <c r="DS72" s="135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  <c r="ED72" s="135"/>
      <c r="EE72" s="135"/>
      <c r="EF72" s="135"/>
      <c r="EG72" s="135"/>
      <c r="EH72" s="135"/>
      <c r="EI72" s="135"/>
      <c r="EJ72" s="135"/>
      <c r="EK72" s="135"/>
      <c r="EL72" s="135"/>
      <c r="EM72" s="135"/>
      <c r="EN72" s="135"/>
      <c r="EO72" s="135"/>
      <c r="EP72" s="135"/>
      <c r="EQ72" s="135"/>
      <c r="ES72" s="421"/>
      <c r="ET72" s="63"/>
      <c r="EU72" s="98"/>
    </row>
    <row r="73" spans="2:151" ht="15.75">
      <c r="G73" s="485" t="s">
        <v>18</v>
      </c>
      <c r="H73" s="128"/>
      <c r="I73" s="504"/>
      <c r="J73" s="507"/>
      <c r="K73" s="130"/>
      <c r="L73" s="131"/>
      <c r="M73" s="131"/>
      <c r="N73" s="225">
        <f>SUM(N57:N72)</f>
        <v>-86594</v>
      </c>
      <c r="O73" s="780"/>
      <c r="P73" s="102">
        <f ca="1">SUM(P58:P71)</f>
        <v>-7216.1666666666661</v>
      </c>
      <c r="Q73" s="102">
        <f t="shared" ref="Q73:CB73" ca="1" si="73">SUM(Q58:Q71)</f>
        <v>-7216.1666666666661</v>
      </c>
      <c r="R73" s="102">
        <f t="shared" ca="1" si="73"/>
        <v>-7216.1666666666661</v>
      </c>
      <c r="S73" s="102">
        <f t="shared" ca="1" si="73"/>
        <v>-7216.1666666666661</v>
      </c>
      <c r="T73" s="102">
        <f t="shared" ca="1" si="73"/>
        <v>-7210.4941666666673</v>
      </c>
      <c r="U73" s="102">
        <f t="shared" ca="1" si="73"/>
        <v>-7187.8041666666668</v>
      </c>
      <c r="V73" s="102">
        <f t="shared" ca="1" si="73"/>
        <v>-7159.4416666666666</v>
      </c>
      <c r="W73" s="102">
        <f t="shared" ca="1" si="73"/>
        <v>-7159.4416666666666</v>
      </c>
      <c r="X73" s="102">
        <f t="shared" ca="1" si="73"/>
        <v>-7159.4416666666666</v>
      </c>
      <c r="Y73" s="102">
        <f t="shared" ca="1" si="73"/>
        <v>-7159.4416666666666</v>
      </c>
      <c r="Z73" s="102">
        <f t="shared" ca="1" si="73"/>
        <v>-7159.4416666666666</v>
      </c>
      <c r="AA73" s="102">
        <f t="shared" ca="1" si="73"/>
        <v>-7159.4416666666666</v>
      </c>
      <c r="AB73" s="102">
        <f t="shared" ca="1" si="73"/>
        <v>-7374.224916666667</v>
      </c>
      <c r="AC73" s="102">
        <f t="shared" ca="1" si="73"/>
        <v>-7374.224916666667</v>
      </c>
      <c r="AD73" s="102">
        <f t="shared" ca="1" si="73"/>
        <v>-7374.224916666667</v>
      </c>
      <c r="AE73" s="102">
        <f t="shared" ca="1" si="73"/>
        <v>-7345.0115416666667</v>
      </c>
      <c r="AF73" s="102">
        <f t="shared" ca="1" si="73"/>
        <v>-7315.7981666666674</v>
      </c>
      <c r="AG73" s="102">
        <f t="shared" ca="1" si="73"/>
        <v>-7315.7981666666674</v>
      </c>
      <c r="AH73" s="102">
        <f t="shared" ca="1" si="73"/>
        <v>-7286.5847916666671</v>
      </c>
      <c r="AI73" s="102">
        <f t="shared" ca="1" si="73"/>
        <v>-7286.5847916666671</v>
      </c>
      <c r="AJ73" s="102">
        <f t="shared" ca="1" si="73"/>
        <v>-7286.5847916666671</v>
      </c>
      <c r="AK73" s="102">
        <f t="shared" ca="1" si="73"/>
        <v>-7286.5847916666671</v>
      </c>
      <c r="AL73" s="102">
        <f t="shared" ca="1" si="73"/>
        <v>-7286.5847916666671</v>
      </c>
      <c r="AM73" s="102">
        <f t="shared" ca="1" si="73"/>
        <v>-7286.5847916666671</v>
      </c>
      <c r="AN73" s="102">
        <f t="shared" ca="1" si="73"/>
        <v>-7505.1823354166663</v>
      </c>
      <c r="AO73" s="102">
        <f t="shared" ca="1" si="73"/>
        <v>-7505.1823354166663</v>
      </c>
      <c r="AP73" s="102">
        <f t="shared" ca="1" si="73"/>
        <v>-7505.1823354166663</v>
      </c>
      <c r="AQ73" s="102">
        <f t="shared" ca="1" si="73"/>
        <v>-7505.1823354166663</v>
      </c>
      <c r="AR73" s="102">
        <f t="shared" ca="1" si="73"/>
        <v>-7505.1823354166663</v>
      </c>
      <c r="AS73" s="102">
        <f t="shared" ca="1" si="73"/>
        <v>-7505.1823354166663</v>
      </c>
      <c r="AT73" s="102">
        <f t="shared" ca="1" si="73"/>
        <v>-7481.1105144166668</v>
      </c>
      <c r="AU73" s="102">
        <f t="shared" ca="1" si="73"/>
        <v>-7481.1105144166668</v>
      </c>
      <c r="AV73" s="102">
        <f t="shared" ca="1" si="73"/>
        <v>-7475.0925591666673</v>
      </c>
      <c r="AW73" s="102">
        <f t="shared" ca="1" si="73"/>
        <v>-7475.0925591666673</v>
      </c>
      <c r="AX73" s="102">
        <f t="shared" ca="1" si="73"/>
        <v>-7475.0925591666673</v>
      </c>
      <c r="AY73" s="102">
        <f t="shared" ca="1" si="73"/>
        <v>-7475.0925591666673</v>
      </c>
      <c r="AZ73" s="102">
        <f t="shared" ca="1" si="73"/>
        <v>-7699.3453359416671</v>
      </c>
      <c r="BA73" s="102">
        <f t="shared" ca="1" si="73"/>
        <v>-7699.3453359416671</v>
      </c>
      <c r="BB73" s="102">
        <f t="shared" ca="1" si="73"/>
        <v>-7699.3453359416671</v>
      </c>
      <c r="BC73" s="102">
        <f t="shared" ca="1" si="73"/>
        <v>-7699.3453359416671</v>
      </c>
      <c r="BD73" s="102">
        <f t="shared" ca="1" si="73"/>
        <v>-7699.3453359416671</v>
      </c>
      <c r="BE73" s="102">
        <f t="shared" ca="1" si="73"/>
        <v>-7699.3453359416671</v>
      </c>
      <c r="BF73" s="102">
        <f t="shared" ca="1" si="73"/>
        <v>-7699.3453359416671</v>
      </c>
      <c r="BG73" s="102">
        <f t="shared" ca="1" si="73"/>
        <v>-7699.3453359416671</v>
      </c>
      <c r="BH73" s="102">
        <f t="shared" ca="1" si="73"/>
        <v>-7699.3453359416671</v>
      </c>
      <c r="BI73" s="102">
        <f t="shared" ca="1" si="73"/>
        <v>-7699.3453359416671</v>
      </c>
      <c r="BJ73" s="102">
        <f t="shared" ca="1" si="73"/>
        <v>-7699.3453359416671</v>
      </c>
      <c r="BK73" s="102">
        <f t="shared" ca="1" si="73"/>
        <v>-7699.3453359416671</v>
      </c>
      <c r="BL73" s="102">
        <f t="shared" ca="1" si="73"/>
        <v>-7930.3256960199169</v>
      </c>
      <c r="BM73" s="102">
        <f t="shared" ca="1" si="73"/>
        <v>-7930.3256960199169</v>
      </c>
      <c r="BN73" s="102">
        <f t="shared" ca="1" si="73"/>
        <v>-7930.3256960199169</v>
      </c>
      <c r="BO73" s="102">
        <f t="shared" ca="1" si="73"/>
        <v>-7930.3256960199169</v>
      </c>
      <c r="BP73" s="102">
        <f t="shared" ca="1" si="73"/>
        <v>-7930.3256960199169</v>
      </c>
      <c r="BQ73" s="102">
        <f t="shared" ca="1" si="73"/>
        <v>-7930.3256960199169</v>
      </c>
      <c r="BR73" s="102">
        <f t="shared" ca="1" si="73"/>
        <v>-7930.3256960199169</v>
      </c>
      <c r="BS73" s="102">
        <f t="shared" ca="1" si="73"/>
        <v>-7930.3256960199169</v>
      </c>
      <c r="BT73" s="102">
        <f t="shared" ca="1" si="73"/>
        <v>-7930.3256960199169</v>
      </c>
      <c r="BU73" s="102">
        <f t="shared" ca="1" si="73"/>
        <v>-7930.3256960199169</v>
      </c>
      <c r="BV73" s="102">
        <f t="shared" ca="1" si="73"/>
        <v>-7930.3256960199169</v>
      </c>
      <c r="BW73" s="102">
        <f t="shared" ca="1" si="73"/>
        <v>-7930.3256960199169</v>
      </c>
      <c r="BX73" s="102">
        <f t="shared" ca="1" si="73"/>
        <v>-8168.2354669005126</v>
      </c>
      <c r="BY73" s="102">
        <f t="shared" ca="1" si="73"/>
        <v>-8168.2354669005126</v>
      </c>
      <c r="BZ73" s="102">
        <f t="shared" ca="1" si="73"/>
        <v>-8168.2354669005126</v>
      </c>
      <c r="CA73" s="102">
        <f t="shared" ca="1" si="73"/>
        <v>-8168.2354669005126</v>
      </c>
      <c r="CB73" s="102">
        <f t="shared" ca="1" si="73"/>
        <v>-8168.2354669005126</v>
      </c>
      <c r="CC73" s="102">
        <f t="shared" ref="CC73:EN73" ca="1" si="74">SUM(CC58:CC71)</f>
        <v>-8168.2354669005126</v>
      </c>
      <c r="CD73" s="102">
        <f t="shared" ca="1" si="74"/>
        <v>-8168.2354669005126</v>
      </c>
      <c r="CE73" s="102">
        <f t="shared" ca="1" si="74"/>
        <v>-8168.2354669005126</v>
      </c>
      <c r="CF73" s="102">
        <f t="shared" ca="1" si="74"/>
        <v>-8168.2354669005126</v>
      </c>
      <c r="CG73" s="102">
        <f t="shared" ca="1" si="74"/>
        <v>-8168.2354669005126</v>
      </c>
      <c r="CH73" s="102">
        <f t="shared" ca="1" si="74"/>
        <v>-8168.2354669005126</v>
      </c>
      <c r="CI73" s="102">
        <f t="shared" ca="1" si="74"/>
        <v>-8168.2354669005126</v>
      </c>
      <c r="CJ73" s="102">
        <f t="shared" ca="1" si="74"/>
        <v>-8413.2825309075288</v>
      </c>
      <c r="CK73" s="102">
        <f t="shared" ca="1" si="74"/>
        <v>-8413.2825309075288</v>
      </c>
      <c r="CL73" s="102">
        <f t="shared" ca="1" si="74"/>
        <v>-8413.2825309075288</v>
      </c>
      <c r="CM73" s="102">
        <f t="shared" ca="1" si="74"/>
        <v>-8413.2825309075288</v>
      </c>
      <c r="CN73" s="102">
        <f t="shared" ca="1" si="74"/>
        <v>-8413.2825309075288</v>
      </c>
      <c r="CO73" s="102">
        <f t="shared" ca="1" si="74"/>
        <v>-8413.2825309075288</v>
      </c>
      <c r="CP73" s="102">
        <f t="shared" ca="1" si="74"/>
        <v>-8413.2825309075288</v>
      </c>
      <c r="CQ73" s="102">
        <f t="shared" ca="1" si="74"/>
        <v>-8413.2825309075288</v>
      </c>
      <c r="CR73" s="102">
        <f t="shared" ca="1" si="74"/>
        <v>-8413.2825309075288</v>
      </c>
      <c r="CS73" s="102">
        <f t="shared" ca="1" si="74"/>
        <v>-8413.2825309075288</v>
      </c>
      <c r="CT73" s="102">
        <f t="shared" ca="1" si="74"/>
        <v>-8413.2825309075288</v>
      </c>
      <c r="CU73" s="102">
        <f t="shared" ca="1" si="74"/>
        <v>-8413.2825309075288</v>
      </c>
      <c r="CV73" s="102">
        <f t="shared" ca="1" si="74"/>
        <v>-8665.681006834755</v>
      </c>
      <c r="CW73" s="102">
        <f t="shared" ca="1" si="74"/>
        <v>-8665.681006834755</v>
      </c>
      <c r="CX73" s="102">
        <f t="shared" ca="1" si="74"/>
        <v>-8665.681006834755</v>
      </c>
      <c r="CY73" s="102">
        <f t="shared" ca="1" si="74"/>
        <v>-8665.681006834755</v>
      </c>
      <c r="CZ73" s="102">
        <f t="shared" ca="1" si="74"/>
        <v>-8665.681006834755</v>
      </c>
      <c r="DA73" s="102">
        <f t="shared" ca="1" si="74"/>
        <v>-8665.681006834755</v>
      </c>
      <c r="DB73" s="102">
        <f t="shared" ca="1" si="74"/>
        <v>-8665.681006834755</v>
      </c>
      <c r="DC73" s="102">
        <f t="shared" ca="1" si="74"/>
        <v>-8665.681006834755</v>
      </c>
      <c r="DD73" s="102">
        <f t="shared" ca="1" si="74"/>
        <v>-8665.681006834755</v>
      </c>
      <c r="DE73" s="102">
        <f t="shared" ca="1" si="74"/>
        <v>-8665.681006834755</v>
      </c>
      <c r="DF73" s="102">
        <f t="shared" ca="1" si="74"/>
        <v>-8665.681006834755</v>
      </c>
      <c r="DG73" s="102">
        <f t="shared" ca="1" si="74"/>
        <v>-8665.681006834755</v>
      </c>
      <c r="DH73" s="102">
        <f t="shared" ca="1" si="74"/>
        <v>-8925.6514370397963</v>
      </c>
      <c r="DI73" s="102">
        <f t="shared" ca="1" si="74"/>
        <v>-8925.6514370397963</v>
      </c>
      <c r="DJ73" s="102">
        <f t="shared" ca="1" si="74"/>
        <v>0</v>
      </c>
      <c r="DK73" s="102">
        <f t="shared" ca="1" si="74"/>
        <v>0</v>
      </c>
      <c r="DL73" s="102">
        <f t="shared" ca="1" si="74"/>
        <v>0</v>
      </c>
      <c r="DM73" s="102">
        <f t="shared" ca="1" si="74"/>
        <v>0</v>
      </c>
      <c r="DN73" s="102">
        <f t="shared" ca="1" si="74"/>
        <v>0</v>
      </c>
      <c r="DO73" s="102">
        <f t="shared" ca="1" si="74"/>
        <v>0</v>
      </c>
      <c r="DP73" s="102">
        <f t="shared" ca="1" si="74"/>
        <v>0</v>
      </c>
      <c r="DQ73" s="102">
        <f t="shared" ca="1" si="74"/>
        <v>0</v>
      </c>
      <c r="DR73" s="102">
        <f t="shared" ca="1" si="74"/>
        <v>0</v>
      </c>
      <c r="DS73" s="102">
        <f t="shared" ca="1" si="74"/>
        <v>0</v>
      </c>
      <c r="DT73" s="102">
        <f t="shared" ca="1" si="74"/>
        <v>0</v>
      </c>
      <c r="DU73" s="102">
        <f t="shared" ca="1" si="74"/>
        <v>0</v>
      </c>
      <c r="DV73" s="102">
        <f t="shared" ca="1" si="74"/>
        <v>0</v>
      </c>
      <c r="DW73" s="102">
        <f t="shared" ca="1" si="74"/>
        <v>0</v>
      </c>
      <c r="DX73" s="102">
        <f t="shared" ca="1" si="74"/>
        <v>0</v>
      </c>
      <c r="DY73" s="102">
        <f t="shared" ca="1" si="74"/>
        <v>0</v>
      </c>
      <c r="DZ73" s="102">
        <f t="shared" ca="1" si="74"/>
        <v>0</v>
      </c>
      <c r="EA73" s="102">
        <f t="shared" ca="1" si="74"/>
        <v>0</v>
      </c>
      <c r="EB73" s="102">
        <f t="shared" ca="1" si="74"/>
        <v>0</v>
      </c>
      <c r="EC73" s="102">
        <f t="shared" ca="1" si="74"/>
        <v>0</v>
      </c>
      <c r="ED73" s="102">
        <f t="shared" ca="1" si="74"/>
        <v>0</v>
      </c>
      <c r="EE73" s="102">
        <f t="shared" ca="1" si="74"/>
        <v>0</v>
      </c>
      <c r="EF73" s="102">
        <f t="shared" ca="1" si="74"/>
        <v>0</v>
      </c>
      <c r="EG73" s="102">
        <f t="shared" ca="1" si="74"/>
        <v>0</v>
      </c>
      <c r="EH73" s="102">
        <f t="shared" ca="1" si="74"/>
        <v>0</v>
      </c>
      <c r="EI73" s="102">
        <f t="shared" ca="1" si="74"/>
        <v>0</v>
      </c>
      <c r="EJ73" s="102">
        <f t="shared" ca="1" si="74"/>
        <v>0</v>
      </c>
      <c r="EK73" s="102">
        <f t="shared" ca="1" si="74"/>
        <v>0</v>
      </c>
      <c r="EL73" s="102">
        <f t="shared" ca="1" si="74"/>
        <v>0</v>
      </c>
      <c r="EM73" s="102">
        <f t="shared" ca="1" si="74"/>
        <v>0</v>
      </c>
      <c r="EN73" s="102">
        <f t="shared" ca="1" si="74"/>
        <v>0</v>
      </c>
      <c r="EO73" s="102">
        <f ca="1">SUM(EO58:EO71)</f>
        <v>0</v>
      </c>
      <c r="EP73" s="102">
        <f ca="1">SUM(EP58:EP71)</f>
        <v>0</v>
      </c>
      <c r="EQ73" s="102">
        <f ca="1">SUM(EQ58:EQ71)</f>
        <v>0</v>
      </c>
      <c r="ES73" s="421"/>
      <c r="ET73" s="63"/>
      <c r="EU73" s="98"/>
    </row>
    <row r="74" spans="2:151" ht="9" customHeight="1">
      <c r="G74" s="145"/>
      <c r="H74" s="128"/>
      <c r="I74" s="132"/>
      <c r="J74" s="137"/>
      <c r="K74" s="136"/>
      <c r="L74" s="132"/>
      <c r="M74" s="132"/>
      <c r="N74" s="137"/>
      <c r="O74" s="789"/>
      <c r="P74" s="102"/>
      <c r="Q74" s="104"/>
      <c r="R74" s="104"/>
      <c r="S74" s="105"/>
      <c r="T74" s="104"/>
      <c r="U74" s="104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31"/>
      <c r="CM74" s="131"/>
      <c r="CN74" s="131"/>
      <c r="CO74" s="131"/>
      <c r="CP74" s="131"/>
      <c r="CQ74" s="131"/>
      <c r="CR74" s="131"/>
      <c r="CS74" s="131"/>
      <c r="CT74" s="131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S74" s="421"/>
      <c r="ET74" s="63"/>
      <c r="EU74" s="98"/>
    </row>
    <row r="75" spans="2:151" ht="15.75">
      <c r="G75" s="485" t="s">
        <v>19</v>
      </c>
      <c r="H75" s="145"/>
      <c r="I75" s="97"/>
      <c r="J75" s="221"/>
      <c r="K75" s="118"/>
      <c r="L75" s="104"/>
      <c r="M75" s="104"/>
      <c r="N75" s="221">
        <f>N55+N73</f>
        <v>189070</v>
      </c>
      <c r="O75" s="790"/>
      <c r="P75" s="138">
        <f ca="1">P55+P73</f>
        <v>16279.960833333333</v>
      </c>
      <c r="Q75" s="138">
        <f t="shared" ref="Q75:W75" ca="1" si="75">+Q55+Q73</f>
        <v>16279.960833333336</v>
      </c>
      <c r="R75" s="138">
        <f t="shared" ca="1" si="75"/>
        <v>16279.960833333336</v>
      </c>
      <c r="S75" s="138">
        <f t="shared" ca="1" si="75"/>
        <v>16279.960833333336</v>
      </c>
      <c r="T75" s="138">
        <f t="shared" ca="1" si="75"/>
        <v>16381.633333333335</v>
      </c>
      <c r="U75" s="138">
        <f t="shared" ca="1" si="75"/>
        <v>16788.323333333334</v>
      </c>
      <c r="V75" s="138">
        <f t="shared" ca="1" si="75"/>
        <v>17296.685833333337</v>
      </c>
      <c r="W75" s="138">
        <f t="shared" ca="1" si="75"/>
        <v>17296.685833333337</v>
      </c>
      <c r="X75" s="138">
        <f ca="1">+X55+X73</f>
        <v>17296.685833333337</v>
      </c>
      <c r="Y75" s="138">
        <f ca="1">+Y55+Y73</f>
        <v>17296.685833333337</v>
      </c>
      <c r="Z75" s="138">
        <f t="shared" ref="Z75:CK75" ca="1" si="76">+Z55+Z73</f>
        <v>17296.685833333337</v>
      </c>
      <c r="AA75" s="138">
        <f t="shared" ca="1" si="76"/>
        <v>17296.685833333337</v>
      </c>
      <c r="AB75" s="138">
        <f t="shared" ca="1" si="76"/>
        <v>18274.062714578336</v>
      </c>
      <c r="AC75" s="138">
        <f t="shared" ca="1" si="76"/>
        <v>18274.062714578336</v>
      </c>
      <c r="AD75" s="138">
        <f t="shared" ca="1" si="76"/>
        <v>18274.062714578336</v>
      </c>
      <c r="AE75" s="138">
        <f t="shared" ca="1" si="76"/>
        <v>18822.923129578336</v>
      </c>
      <c r="AF75" s="138">
        <f t="shared" ca="1" si="76"/>
        <v>19371.783544578335</v>
      </c>
      <c r="AG75" s="138">
        <f t="shared" ca="1" si="76"/>
        <v>19371.783544578335</v>
      </c>
      <c r="AH75" s="138">
        <f t="shared" ca="1" si="76"/>
        <v>19920.64395957833</v>
      </c>
      <c r="AI75" s="138">
        <f t="shared" ca="1" si="76"/>
        <v>19920.64395957833</v>
      </c>
      <c r="AJ75" s="138">
        <f t="shared" ca="1" si="76"/>
        <v>19920.64395957833</v>
      </c>
      <c r="AK75" s="138">
        <f t="shared" ca="1" si="76"/>
        <v>19920.64395957833</v>
      </c>
      <c r="AL75" s="138">
        <f t="shared" ca="1" si="76"/>
        <v>19920.64395957833</v>
      </c>
      <c r="AM75" s="138">
        <f t="shared" ca="1" si="76"/>
        <v>19920.64395957833</v>
      </c>
      <c r="AN75" s="138">
        <f t="shared" ca="1" si="76"/>
        <v>20980.786167136852</v>
      </c>
      <c r="AO75" s="138">
        <f t="shared" ca="1" si="76"/>
        <v>20980.786167136852</v>
      </c>
      <c r="AP75" s="138">
        <f t="shared" ca="1" si="76"/>
        <v>20980.786167136852</v>
      </c>
      <c r="AQ75" s="138">
        <f t="shared" ca="1" si="76"/>
        <v>20980.786167136852</v>
      </c>
      <c r="AR75" s="138">
        <f t="shared" ca="1" si="76"/>
        <v>20980.786167136852</v>
      </c>
      <c r="AS75" s="138">
        <f t="shared" ca="1" si="76"/>
        <v>20980.786167136852</v>
      </c>
      <c r="AT75" s="138">
        <f t="shared" ca="1" si="76"/>
        <v>21440.114348840849</v>
      </c>
      <c r="AU75" s="138">
        <f t="shared" ca="1" si="76"/>
        <v>21440.114348840849</v>
      </c>
      <c r="AV75" s="138">
        <f t="shared" ca="1" si="76"/>
        <v>21554.946394266852</v>
      </c>
      <c r="AW75" s="138">
        <f t="shared" ca="1" si="76"/>
        <v>21554.946394266852</v>
      </c>
      <c r="AX75" s="138">
        <f t="shared" ca="1" si="76"/>
        <v>21554.946394266852</v>
      </c>
      <c r="AY75" s="138">
        <f t="shared" ca="1" si="76"/>
        <v>21554.946394266852</v>
      </c>
      <c r="AZ75" s="138">
        <f t="shared" ca="1" si="76"/>
        <v>22288.684902955149</v>
      </c>
      <c r="BA75" s="138">
        <f t="shared" ca="1" si="76"/>
        <v>22288.684902955149</v>
      </c>
      <c r="BB75" s="138">
        <f t="shared" ca="1" si="76"/>
        <v>22288.684902955149</v>
      </c>
      <c r="BC75" s="138">
        <f t="shared" ca="1" si="76"/>
        <v>22288.684902955149</v>
      </c>
      <c r="BD75" s="138">
        <f t="shared" ca="1" si="76"/>
        <v>22288.684902955149</v>
      </c>
      <c r="BE75" s="138">
        <f t="shared" ca="1" si="76"/>
        <v>22288.684902955149</v>
      </c>
      <c r="BF75" s="138">
        <f t="shared" ca="1" si="76"/>
        <v>22288.684902955149</v>
      </c>
      <c r="BG75" s="138">
        <f t="shared" ca="1" si="76"/>
        <v>22288.684902955149</v>
      </c>
      <c r="BH75" s="138">
        <f t="shared" ca="1" si="76"/>
        <v>22288.684902955149</v>
      </c>
      <c r="BI75" s="138">
        <f t="shared" ca="1" si="76"/>
        <v>22288.684902955149</v>
      </c>
      <c r="BJ75" s="138">
        <f t="shared" ca="1" si="76"/>
        <v>22288.684902955149</v>
      </c>
      <c r="BK75" s="138">
        <f t="shared" ca="1" si="76"/>
        <v>22288.684902955149</v>
      </c>
      <c r="BL75" s="138">
        <f t="shared" ca="1" si="76"/>
        <v>22867.381359327108</v>
      </c>
      <c r="BM75" s="138">
        <f t="shared" ca="1" si="76"/>
        <v>22867.381359327108</v>
      </c>
      <c r="BN75" s="138">
        <f t="shared" ca="1" si="76"/>
        <v>22867.381359327108</v>
      </c>
      <c r="BO75" s="138">
        <f t="shared" ca="1" si="76"/>
        <v>22867.381359327108</v>
      </c>
      <c r="BP75" s="138">
        <f t="shared" ca="1" si="76"/>
        <v>22867.381359327108</v>
      </c>
      <c r="BQ75" s="138">
        <f t="shared" ca="1" si="76"/>
        <v>22867.381359327108</v>
      </c>
      <c r="BR75" s="138">
        <f t="shared" ca="1" si="76"/>
        <v>22867.381359327108</v>
      </c>
      <c r="BS75" s="138">
        <f t="shared" ca="1" si="76"/>
        <v>22867.381359327108</v>
      </c>
      <c r="BT75" s="138">
        <f t="shared" ca="1" si="76"/>
        <v>22867.381359327108</v>
      </c>
      <c r="BU75" s="138">
        <f t="shared" ca="1" si="76"/>
        <v>22867.381359327108</v>
      </c>
      <c r="BV75" s="138">
        <f t="shared" ca="1" si="76"/>
        <v>22867.381359327108</v>
      </c>
      <c r="BW75" s="138">
        <f t="shared" ca="1" si="76"/>
        <v>22867.381359327108</v>
      </c>
      <c r="BX75" s="138">
        <f t="shared" ca="1" si="76"/>
        <v>23553.402800106924</v>
      </c>
      <c r="BY75" s="138">
        <f t="shared" ca="1" si="76"/>
        <v>23553.402800106924</v>
      </c>
      <c r="BZ75" s="138">
        <f t="shared" ca="1" si="76"/>
        <v>23553.402800106924</v>
      </c>
      <c r="CA75" s="138">
        <f t="shared" ca="1" si="76"/>
        <v>23553.402800106924</v>
      </c>
      <c r="CB75" s="138">
        <f t="shared" ca="1" si="76"/>
        <v>23553.402800106924</v>
      </c>
      <c r="CC75" s="138">
        <f t="shared" ca="1" si="76"/>
        <v>23553.402800106924</v>
      </c>
      <c r="CD75" s="138">
        <f t="shared" ca="1" si="76"/>
        <v>23553.402800106924</v>
      </c>
      <c r="CE75" s="138">
        <f t="shared" ca="1" si="76"/>
        <v>23553.402800106924</v>
      </c>
      <c r="CF75" s="138">
        <f t="shared" ca="1" si="76"/>
        <v>23553.402800106924</v>
      </c>
      <c r="CG75" s="138">
        <f t="shared" ca="1" si="76"/>
        <v>23553.402800106924</v>
      </c>
      <c r="CH75" s="138">
        <f t="shared" ca="1" si="76"/>
        <v>23553.402800106924</v>
      </c>
      <c r="CI75" s="138">
        <f t="shared" ca="1" si="76"/>
        <v>23553.402800106924</v>
      </c>
      <c r="CJ75" s="138">
        <f t="shared" ca="1" si="76"/>
        <v>24260.004884110138</v>
      </c>
      <c r="CK75" s="138">
        <f t="shared" ca="1" si="76"/>
        <v>24260.004884110138</v>
      </c>
      <c r="CL75" s="138">
        <f t="shared" ref="CL75:EQ75" ca="1" si="77">+CL55+CL73</f>
        <v>24260.004884110138</v>
      </c>
      <c r="CM75" s="138">
        <f t="shared" ca="1" si="77"/>
        <v>24260.004884110138</v>
      </c>
      <c r="CN75" s="138">
        <f t="shared" ca="1" si="77"/>
        <v>24260.004884110138</v>
      </c>
      <c r="CO75" s="138">
        <f t="shared" ca="1" si="77"/>
        <v>24260.004884110138</v>
      </c>
      <c r="CP75" s="138">
        <f t="shared" ca="1" si="77"/>
        <v>24260.004884110138</v>
      </c>
      <c r="CQ75" s="138">
        <f t="shared" ca="1" si="77"/>
        <v>24260.004884110138</v>
      </c>
      <c r="CR75" s="138">
        <f t="shared" ca="1" si="77"/>
        <v>24260.004884110138</v>
      </c>
      <c r="CS75" s="138">
        <f t="shared" ca="1" si="77"/>
        <v>24260.004884110138</v>
      </c>
      <c r="CT75" s="138">
        <f t="shared" ca="1" si="77"/>
        <v>24260.004884110138</v>
      </c>
      <c r="CU75" s="138">
        <f t="shared" ca="1" si="77"/>
        <v>24260.004884110138</v>
      </c>
      <c r="CV75" s="138">
        <f t="shared" ca="1" si="77"/>
        <v>24987.805030633441</v>
      </c>
      <c r="CW75" s="138">
        <f t="shared" ca="1" si="77"/>
        <v>24987.805030633441</v>
      </c>
      <c r="CX75" s="138">
        <f t="shared" ca="1" si="77"/>
        <v>24987.805030633441</v>
      </c>
      <c r="CY75" s="138">
        <f t="shared" ca="1" si="77"/>
        <v>24987.805030633441</v>
      </c>
      <c r="CZ75" s="138">
        <f t="shared" ca="1" si="77"/>
        <v>24987.805030633441</v>
      </c>
      <c r="DA75" s="138">
        <f t="shared" ca="1" si="77"/>
        <v>24987.805030633441</v>
      </c>
      <c r="DB75" s="138">
        <f t="shared" ca="1" si="77"/>
        <v>24987.805030633441</v>
      </c>
      <c r="DC75" s="138">
        <f t="shared" ca="1" si="77"/>
        <v>24987.805030633441</v>
      </c>
      <c r="DD75" s="138">
        <f t="shared" ca="1" si="77"/>
        <v>24987.805030633441</v>
      </c>
      <c r="DE75" s="138">
        <f t="shared" ca="1" si="77"/>
        <v>24987.805030633441</v>
      </c>
      <c r="DF75" s="138">
        <f t="shared" ca="1" si="77"/>
        <v>24987.805030633441</v>
      </c>
      <c r="DG75" s="138">
        <f t="shared" ca="1" si="77"/>
        <v>24987.805030633441</v>
      </c>
      <c r="DH75" s="138">
        <f t="shared" ca="1" si="77"/>
        <v>25737.43918155244</v>
      </c>
      <c r="DI75" s="138">
        <f t="shared" ca="1" si="77"/>
        <v>27168.193203514249</v>
      </c>
      <c r="DJ75" s="138">
        <f t="shared" ca="1" si="77"/>
        <v>0</v>
      </c>
      <c r="DK75" s="138">
        <f t="shared" ca="1" si="77"/>
        <v>0</v>
      </c>
      <c r="DL75" s="138">
        <f t="shared" ca="1" si="77"/>
        <v>0</v>
      </c>
      <c r="DM75" s="138">
        <f t="shared" ca="1" si="77"/>
        <v>0</v>
      </c>
      <c r="DN75" s="138">
        <f t="shared" ca="1" si="77"/>
        <v>0</v>
      </c>
      <c r="DO75" s="138">
        <f t="shared" ca="1" si="77"/>
        <v>0</v>
      </c>
      <c r="DP75" s="138">
        <f t="shared" ca="1" si="77"/>
        <v>0</v>
      </c>
      <c r="DQ75" s="138">
        <f t="shared" ca="1" si="77"/>
        <v>0</v>
      </c>
      <c r="DR75" s="138">
        <f t="shared" ca="1" si="77"/>
        <v>0</v>
      </c>
      <c r="DS75" s="138">
        <f t="shared" ca="1" si="77"/>
        <v>0</v>
      </c>
      <c r="DT75" s="138">
        <f t="shared" ca="1" si="77"/>
        <v>0</v>
      </c>
      <c r="DU75" s="138">
        <f t="shared" ca="1" si="77"/>
        <v>0</v>
      </c>
      <c r="DV75" s="138">
        <f t="shared" ca="1" si="77"/>
        <v>0</v>
      </c>
      <c r="DW75" s="138">
        <f t="shared" ca="1" si="77"/>
        <v>0</v>
      </c>
      <c r="DX75" s="138">
        <f t="shared" ca="1" si="77"/>
        <v>0</v>
      </c>
      <c r="DY75" s="138">
        <f t="shared" ca="1" si="77"/>
        <v>0</v>
      </c>
      <c r="DZ75" s="138">
        <f t="shared" ca="1" si="77"/>
        <v>0</v>
      </c>
      <c r="EA75" s="138">
        <f t="shared" ca="1" si="77"/>
        <v>0</v>
      </c>
      <c r="EB75" s="138">
        <f t="shared" ca="1" si="77"/>
        <v>0</v>
      </c>
      <c r="EC75" s="138">
        <f t="shared" ca="1" si="77"/>
        <v>0</v>
      </c>
      <c r="ED75" s="138">
        <f t="shared" ca="1" si="77"/>
        <v>0</v>
      </c>
      <c r="EE75" s="138">
        <f t="shared" ca="1" si="77"/>
        <v>0</v>
      </c>
      <c r="EF75" s="138">
        <f t="shared" ca="1" si="77"/>
        <v>0</v>
      </c>
      <c r="EG75" s="138">
        <f t="shared" ca="1" si="77"/>
        <v>0</v>
      </c>
      <c r="EH75" s="138">
        <f t="shared" ca="1" si="77"/>
        <v>0</v>
      </c>
      <c r="EI75" s="138">
        <f t="shared" ca="1" si="77"/>
        <v>0</v>
      </c>
      <c r="EJ75" s="138">
        <f t="shared" ca="1" si="77"/>
        <v>0</v>
      </c>
      <c r="EK75" s="138">
        <f t="shared" ca="1" si="77"/>
        <v>0</v>
      </c>
      <c r="EL75" s="138">
        <f t="shared" ca="1" si="77"/>
        <v>0</v>
      </c>
      <c r="EM75" s="138">
        <f t="shared" ca="1" si="77"/>
        <v>0</v>
      </c>
      <c r="EN75" s="138">
        <f t="shared" ca="1" si="77"/>
        <v>0</v>
      </c>
      <c r="EO75" s="138">
        <f t="shared" ca="1" si="77"/>
        <v>0</v>
      </c>
      <c r="EP75" s="138">
        <f t="shared" ca="1" si="77"/>
        <v>0</v>
      </c>
      <c r="EQ75" s="138">
        <f t="shared" ca="1" si="77"/>
        <v>0</v>
      </c>
      <c r="ES75" s="421"/>
      <c r="ET75" s="63"/>
      <c r="EU75" s="98"/>
    </row>
    <row r="76" spans="2:151" ht="9" customHeight="1">
      <c r="G76" s="485"/>
      <c r="H76" s="128"/>
      <c r="I76" s="504"/>
      <c r="J76" s="507"/>
      <c r="K76" s="130"/>
      <c r="L76" s="131"/>
      <c r="M76" s="131"/>
      <c r="N76" s="225"/>
      <c r="O76" s="787"/>
      <c r="P76" s="102"/>
      <c r="Q76" s="102"/>
      <c r="R76" s="102"/>
      <c r="S76" s="102"/>
      <c r="T76" s="102"/>
      <c r="U76" s="102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29"/>
      <c r="BY76" s="129"/>
      <c r="BZ76" s="129"/>
      <c r="CA76" s="129"/>
      <c r="CB76" s="129"/>
      <c r="CC76" s="129"/>
      <c r="CD76" s="129"/>
      <c r="CE76" s="129"/>
      <c r="CF76" s="129"/>
      <c r="CG76" s="129"/>
      <c r="CH76" s="129"/>
      <c r="CI76" s="129"/>
      <c r="CJ76" s="129"/>
      <c r="CK76" s="129"/>
      <c r="CL76" s="129"/>
      <c r="CM76" s="129"/>
      <c r="CN76" s="129"/>
      <c r="CO76" s="129"/>
      <c r="CP76" s="129"/>
      <c r="CQ76" s="129"/>
      <c r="CR76" s="129"/>
      <c r="CS76" s="129"/>
      <c r="CT76" s="129"/>
      <c r="CU76" s="129"/>
      <c r="CV76" s="129"/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S76" s="421"/>
      <c r="ET76" s="98"/>
      <c r="EU76" s="98"/>
    </row>
    <row r="77" spans="2:151" s="65" customFormat="1" ht="15.75">
      <c r="B77" s="64"/>
      <c r="C77" s="64"/>
      <c r="D77" s="64"/>
      <c r="E77" s="64"/>
      <c r="F77" s="64"/>
      <c r="G77" s="145"/>
      <c r="H77" s="284" t="s">
        <v>326</v>
      </c>
      <c r="I77" s="472"/>
      <c r="J77" s="503"/>
      <c r="K77" s="285"/>
      <c r="L77" s="286"/>
      <c r="M77" s="286"/>
      <c r="N77" s="221">
        <f>'Annual Cash Flow'!C57</f>
        <v>0</v>
      </c>
      <c r="O77" s="787"/>
      <c r="P77" s="447">
        <v>0</v>
      </c>
      <c r="Q77" s="447">
        <v>0</v>
      </c>
      <c r="R77" s="447">
        <v>0</v>
      </c>
      <c r="S77" s="447">
        <v>0</v>
      </c>
      <c r="T77" s="447">
        <v>0</v>
      </c>
      <c r="U77" s="447">
        <v>0</v>
      </c>
      <c r="V77" s="447">
        <v>0</v>
      </c>
      <c r="W77" s="447">
        <v>0</v>
      </c>
      <c r="X77" s="447">
        <v>0</v>
      </c>
      <c r="Y77" s="447">
        <v>0</v>
      </c>
      <c r="Z77" s="447">
        <v>0</v>
      </c>
      <c r="AA77" s="447">
        <v>0</v>
      </c>
      <c r="AB77" s="447">
        <v>0</v>
      </c>
      <c r="AC77" s="447">
        <v>0</v>
      </c>
      <c r="AD77" s="447">
        <v>0</v>
      </c>
      <c r="AE77" s="447">
        <v>0</v>
      </c>
      <c r="AF77" s="447">
        <v>0</v>
      </c>
      <c r="AG77" s="447">
        <v>0</v>
      </c>
      <c r="AH77" s="447">
        <v>0</v>
      </c>
      <c r="AI77" s="447">
        <v>0</v>
      </c>
      <c r="AJ77" s="447">
        <v>0</v>
      </c>
      <c r="AK77" s="447">
        <v>0</v>
      </c>
      <c r="AL77" s="447">
        <v>0</v>
      </c>
      <c r="AM77" s="447">
        <v>0</v>
      </c>
      <c r="AN77" s="447">
        <v>0</v>
      </c>
      <c r="AO77" s="447">
        <v>0</v>
      </c>
      <c r="AP77" s="447">
        <v>0</v>
      </c>
      <c r="AQ77" s="447">
        <v>0</v>
      </c>
      <c r="AR77" s="447">
        <v>0</v>
      </c>
      <c r="AS77" s="447">
        <v>0</v>
      </c>
      <c r="AT77" s="447">
        <v>0</v>
      </c>
      <c r="AU77" s="447">
        <v>0</v>
      </c>
      <c r="AV77" s="447">
        <v>0</v>
      </c>
      <c r="AW77" s="447">
        <v>0</v>
      </c>
      <c r="AX77" s="447">
        <v>0</v>
      </c>
      <c r="AY77" s="447">
        <v>0</v>
      </c>
      <c r="AZ77" s="447">
        <v>0</v>
      </c>
      <c r="BA77" s="447">
        <v>0</v>
      </c>
      <c r="BB77" s="447">
        <v>0</v>
      </c>
      <c r="BC77" s="447">
        <v>0</v>
      </c>
      <c r="BD77" s="447">
        <v>0</v>
      </c>
      <c r="BE77" s="447">
        <v>0</v>
      </c>
      <c r="BF77" s="447">
        <v>0</v>
      </c>
      <c r="BG77" s="447">
        <v>0</v>
      </c>
      <c r="BH77" s="447">
        <v>0</v>
      </c>
      <c r="BI77" s="447">
        <v>0</v>
      </c>
      <c r="BJ77" s="447">
        <v>0</v>
      </c>
      <c r="BK77" s="447">
        <v>0</v>
      </c>
      <c r="BL77" s="447">
        <v>0</v>
      </c>
      <c r="BM77" s="447">
        <v>0</v>
      </c>
      <c r="BN77" s="447">
        <v>0</v>
      </c>
      <c r="BO77" s="447">
        <v>0</v>
      </c>
      <c r="BP77" s="447">
        <v>0</v>
      </c>
      <c r="BQ77" s="447">
        <v>0</v>
      </c>
      <c r="BR77" s="447">
        <v>0</v>
      </c>
      <c r="BS77" s="447">
        <v>0</v>
      </c>
      <c r="BT77" s="447">
        <v>0</v>
      </c>
      <c r="BU77" s="447">
        <v>0</v>
      </c>
      <c r="BV77" s="447">
        <v>0</v>
      </c>
      <c r="BW77" s="447">
        <v>0</v>
      </c>
      <c r="BX77" s="447">
        <v>0</v>
      </c>
      <c r="BY77" s="447">
        <v>0</v>
      </c>
      <c r="BZ77" s="447">
        <v>0</v>
      </c>
      <c r="CA77" s="447">
        <v>0</v>
      </c>
      <c r="CB77" s="447">
        <v>0</v>
      </c>
      <c r="CC77" s="447">
        <v>0</v>
      </c>
      <c r="CD77" s="447">
        <v>0</v>
      </c>
      <c r="CE77" s="447">
        <v>0</v>
      </c>
      <c r="CF77" s="447">
        <v>0</v>
      </c>
      <c r="CG77" s="447">
        <v>0</v>
      </c>
      <c r="CH77" s="447">
        <v>0</v>
      </c>
      <c r="CI77" s="447">
        <v>0</v>
      </c>
      <c r="CJ77" s="447">
        <v>0</v>
      </c>
      <c r="CK77" s="447">
        <v>0</v>
      </c>
      <c r="CL77" s="447">
        <v>0</v>
      </c>
      <c r="CM77" s="447">
        <v>0</v>
      </c>
      <c r="CN77" s="447">
        <v>0</v>
      </c>
      <c r="CO77" s="447">
        <v>0</v>
      </c>
      <c r="CP77" s="447">
        <v>0</v>
      </c>
      <c r="CQ77" s="447">
        <v>0</v>
      </c>
      <c r="CR77" s="447">
        <v>0</v>
      </c>
      <c r="CS77" s="447">
        <v>0</v>
      </c>
      <c r="CT77" s="447">
        <v>0</v>
      </c>
      <c r="CU77" s="447">
        <v>0</v>
      </c>
      <c r="CV77" s="447">
        <v>0</v>
      </c>
      <c r="CW77" s="447">
        <v>0</v>
      </c>
      <c r="CX77" s="447">
        <v>0</v>
      </c>
      <c r="CY77" s="447">
        <v>0</v>
      </c>
      <c r="CZ77" s="447">
        <v>0</v>
      </c>
      <c r="DA77" s="447">
        <v>0</v>
      </c>
      <c r="DB77" s="447">
        <v>0</v>
      </c>
      <c r="DC77" s="447">
        <v>0</v>
      </c>
      <c r="DD77" s="447">
        <v>0</v>
      </c>
      <c r="DE77" s="447">
        <v>0</v>
      </c>
      <c r="DF77" s="447">
        <v>0</v>
      </c>
      <c r="DG77" s="447">
        <v>0</v>
      </c>
      <c r="DH77" s="447">
        <v>0</v>
      </c>
      <c r="DI77" s="447">
        <v>0</v>
      </c>
      <c r="DJ77" s="447">
        <v>0</v>
      </c>
      <c r="DK77" s="447">
        <v>0</v>
      </c>
      <c r="DL77" s="447">
        <v>0</v>
      </c>
      <c r="DM77" s="447">
        <v>0</v>
      </c>
      <c r="DN77" s="447">
        <v>0</v>
      </c>
      <c r="DO77" s="447">
        <v>0</v>
      </c>
      <c r="DP77" s="447">
        <v>0</v>
      </c>
      <c r="DQ77" s="447">
        <v>0</v>
      </c>
      <c r="DR77" s="447">
        <v>0</v>
      </c>
      <c r="DS77" s="447">
        <v>0</v>
      </c>
      <c r="DT77" s="447">
        <v>0</v>
      </c>
      <c r="DU77" s="447">
        <v>0</v>
      </c>
      <c r="DV77" s="447">
        <v>0</v>
      </c>
      <c r="DW77" s="447">
        <v>0</v>
      </c>
      <c r="DX77" s="447">
        <v>0</v>
      </c>
      <c r="DY77" s="447">
        <v>0</v>
      </c>
      <c r="DZ77" s="447">
        <v>0</v>
      </c>
      <c r="EA77" s="447">
        <v>0</v>
      </c>
      <c r="EB77" s="447">
        <v>0</v>
      </c>
      <c r="EC77" s="447">
        <v>0</v>
      </c>
      <c r="ED77" s="447">
        <v>0</v>
      </c>
      <c r="EE77" s="447">
        <v>0</v>
      </c>
      <c r="EF77" s="447">
        <v>0</v>
      </c>
      <c r="EG77" s="447">
        <v>0</v>
      </c>
      <c r="EH77" s="447">
        <v>0</v>
      </c>
      <c r="EI77" s="447">
        <v>0</v>
      </c>
      <c r="EJ77" s="447">
        <v>0</v>
      </c>
      <c r="EK77" s="447">
        <v>0</v>
      </c>
      <c r="EL77" s="447">
        <v>0</v>
      </c>
      <c r="EM77" s="447">
        <v>0</v>
      </c>
      <c r="EN77" s="447">
        <v>0</v>
      </c>
      <c r="EO77" s="447">
        <v>0</v>
      </c>
      <c r="EP77" s="447">
        <v>0</v>
      </c>
      <c r="EQ77" s="447">
        <v>0</v>
      </c>
      <c r="ES77" s="446"/>
      <c r="ET77" s="195"/>
      <c r="EU77" s="195"/>
    </row>
    <row r="78" spans="2:151" s="65" customFormat="1" ht="15.75">
      <c r="B78" s="64"/>
      <c r="C78" s="64"/>
      <c r="D78" s="64"/>
      <c r="E78" s="64"/>
      <c r="F78" s="64"/>
      <c r="G78" s="145"/>
      <c r="H78" s="284" t="s">
        <v>327</v>
      </c>
      <c r="I78" s="472"/>
      <c r="J78" s="503"/>
      <c r="K78" s="285"/>
      <c r="L78" s="286"/>
      <c r="M78" s="286"/>
      <c r="N78" s="221"/>
      <c r="O78" s="787"/>
      <c r="P78" s="447">
        <v>0</v>
      </c>
      <c r="Q78" s="447">
        <v>0</v>
      </c>
      <c r="R78" s="447">
        <v>0</v>
      </c>
      <c r="S78" s="447">
        <v>0</v>
      </c>
      <c r="T78" s="447">
        <v>0</v>
      </c>
      <c r="U78" s="447">
        <v>0</v>
      </c>
      <c r="V78" s="447">
        <v>0</v>
      </c>
      <c r="W78" s="447">
        <v>0</v>
      </c>
      <c r="X78" s="447">
        <v>0</v>
      </c>
      <c r="Y78" s="447">
        <v>0</v>
      </c>
      <c r="Z78" s="447">
        <v>0</v>
      </c>
      <c r="AA78" s="447">
        <v>0</v>
      </c>
      <c r="AB78" s="447">
        <v>0</v>
      </c>
      <c r="AC78" s="447">
        <v>0</v>
      </c>
      <c r="AD78" s="447">
        <v>0</v>
      </c>
      <c r="AE78" s="447">
        <v>0</v>
      </c>
      <c r="AF78" s="447">
        <v>0</v>
      </c>
      <c r="AG78" s="447">
        <v>0</v>
      </c>
      <c r="AH78" s="447">
        <v>0</v>
      </c>
      <c r="AI78" s="447">
        <v>0</v>
      </c>
      <c r="AJ78" s="447">
        <v>0</v>
      </c>
      <c r="AK78" s="447">
        <v>0</v>
      </c>
      <c r="AL78" s="447">
        <v>0</v>
      </c>
      <c r="AM78" s="447">
        <v>0</v>
      </c>
      <c r="AN78" s="447">
        <v>0</v>
      </c>
      <c r="AO78" s="447">
        <v>0</v>
      </c>
      <c r="AP78" s="447">
        <v>0</v>
      </c>
      <c r="AQ78" s="447">
        <v>0</v>
      </c>
      <c r="AR78" s="447">
        <v>0</v>
      </c>
      <c r="AS78" s="447">
        <v>0</v>
      </c>
      <c r="AT78" s="447">
        <v>0</v>
      </c>
      <c r="AU78" s="447">
        <v>0</v>
      </c>
      <c r="AV78" s="447">
        <v>0</v>
      </c>
      <c r="AW78" s="447">
        <v>0</v>
      </c>
      <c r="AX78" s="447">
        <v>0</v>
      </c>
      <c r="AY78" s="447">
        <v>0</v>
      </c>
      <c r="AZ78" s="447">
        <v>0</v>
      </c>
      <c r="BA78" s="447">
        <v>0</v>
      </c>
      <c r="BB78" s="447">
        <v>0</v>
      </c>
      <c r="BC78" s="447">
        <v>0</v>
      </c>
      <c r="BD78" s="447">
        <v>0</v>
      </c>
      <c r="BE78" s="447">
        <v>0</v>
      </c>
      <c r="BF78" s="447">
        <v>0</v>
      </c>
      <c r="BG78" s="447">
        <v>0</v>
      </c>
      <c r="BH78" s="447">
        <v>0</v>
      </c>
      <c r="BI78" s="447">
        <v>0</v>
      </c>
      <c r="BJ78" s="447">
        <v>0</v>
      </c>
      <c r="BK78" s="447">
        <v>0</v>
      </c>
      <c r="BL78" s="447">
        <v>0</v>
      </c>
      <c r="BM78" s="447">
        <v>0</v>
      </c>
      <c r="BN78" s="447">
        <v>0</v>
      </c>
      <c r="BO78" s="447">
        <v>0</v>
      </c>
      <c r="BP78" s="447">
        <v>0</v>
      </c>
      <c r="BQ78" s="447">
        <v>0</v>
      </c>
      <c r="BR78" s="447">
        <v>0</v>
      </c>
      <c r="BS78" s="447">
        <v>0</v>
      </c>
      <c r="BT78" s="447">
        <v>0</v>
      </c>
      <c r="BU78" s="447">
        <v>0</v>
      </c>
      <c r="BV78" s="447">
        <v>0</v>
      </c>
      <c r="BW78" s="447">
        <v>0</v>
      </c>
      <c r="BX78" s="447">
        <v>0</v>
      </c>
      <c r="BY78" s="447">
        <v>0</v>
      </c>
      <c r="BZ78" s="447">
        <v>0</v>
      </c>
      <c r="CA78" s="447">
        <v>0</v>
      </c>
      <c r="CB78" s="447">
        <v>0</v>
      </c>
      <c r="CC78" s="447">
        <v>0</v>
      </c>
      <c r="CD78" s="447">
        <v>0</v>
      </c>
      <c r="CE78" s="447">
        <v>0</v>
      </c>
      <c r="CF78" s="447">
        <v>0</v>
      </c>
      <c r="CG78" s="447">
        <v>0</v>
      </c>
      <c r="CH78" s="447">
        <v>0</v>
      </c>
      <c r="CI78" s="447">
        <v>0</v>
      </c>
      <c r="CJ78" s="447">
        <v>0</v>
      </c>
      <c r="CK78" s="447">
        <v>0</v>
      </c>
      <c r="CL78" s="447">
        <v>0</v>
      </c>
      <c r="CM78" s="447">
        <v>0</v>
      </c>
      <c r="CN78" s="447">
        <v>0</v>
      </c>
      <c r="CO78" s="447">
        <v>0</v>
      </c>
      <c r="CP78" s="447">
        <v>0</v>
      </c>
      <c r="CQ78" s="447">
        <v>0</v>
      </c>
      <c r="CR78" s="447">
        <v>0</v>
      </c>
      <c r="CS78" s="447">
        <v>0</v>
      </c>
      <c r="CT78" s="447">
        <v>0</v>
      </c>
      <c r="CU78" s="447">
        <v>0</v>
      </c>
      <c r="CV78" s="447">
        <v>0</v>
      </c>
      <c r="CW78" s="447">
        <v>0</v>
      </c>
      <c r="CX78" s="447">
        <v>0</v>
      </c>
      <c r="CY78" s="447">
        <v>0</v>
      </c>
      <c r="CZ78" s="447">
        <v>0</v>
      </c>
      <c r="DA78" s="447">
        <v>0</v>
      </c>
      <c r="DB78" s="447">
        <v>0</v>
      </c>
      <c r="DC78" s="447">
        <v>0</v>
      </c>
      <c r="DD78" s="447">
        <v>0</v>
      </c>
      <c r="DE78" s="447">
        <v>0</v>
      </c>
      <c r="DF78" s="447">
        <v>0</v>
      </c>
      <c r="DG78" s="447">
        <v>0</v>
      </c>
      <c r="DH78" s="447">
        <v>0</v>
      </c>
      <c r="DI78" s="447">
        <v>0</v>
      </c>
      <c r="DJ78" s="447">
        <v>0</v>
      </c>
      <c r="DK78" s="447">
        <v>0</v>
      </c>
      <c r="DL78" s="447">
        <v>0</v>
      </c>
      <c r="DM78" s="447">
        <v>0</v>
      </c>
      <c r="DN78" s="447">
        <v>0</v>
      </c>
      <c r="DO78" s="447">
        <v>0</v>
      </c>
      <c r="DP78" s="447">
        <v>0</v>
      </c>
      <c r="DQ78" s="447">
        <v>0</v>
      </c>
      <c r="DR78" s="447">
        <v>0</v>
      </c>
      <c r="DS78" s="447">
        <v>0</v>
      </c>
      <c r="DT78" s="447">
        <v>0</v>
      </c>
      <c r="DU78" s="447">
        <v>0</v>
      </c>
      <c r="DV78" s="447">
        <v>0</v>
      </c>
      <c r="DW78" s="447">
        <v>0</v>
      </c>
      <c r="DX78" s="447">
        <v>0</v>
      </c>
      <c r="DY78" s="447">
        <v>0</v>
      </c>
      <c r="DZ78" s="447">
        <v>0</v>
      </c>
      <c r="EA78" s="447">
        <v>0</v>
      </c>
      <c r="EB78" s="447">
        <v>0</v>
      </c>
      <c r="EC78" s="447">
        <v>0</v>
      </c>
      <c r="ED78" s="447">
        <v>0</v>
      </c>
      <c r="EE78" s="447">
        <v>0</v>
      </c>
      <c r="EF78" s="447">
        <v>0</v>
      </c>
      <c r="EG78" s="447">
        <v>0</v>
      </c>
      <c r="EH78" s="447">
        <v>0</v>
      </c>
      <c r="EI78" s="447">
        <v>0</v>
      </c>
      <c r="EJ78" s="447">
        <v>0</v>
      </c>
      <c r="EK78" s="447">
        <v>0</v>
      </c>
      <c r="EL78" s="447">
        <v>0</v>
      </c>
      <c r="EM78" s="447">
        <v>0</v>
      </c>
      <c r="EN78" s="447">
        <v>0</v>
      </c>
      <c r="EO78" s="447">
        <v>0</v>
      </c>
      <c r="EP78" s="447">
        <v>0</v>
      </c>
      <c r="EQ78" s="447">
        <v>0</v>
      </c>
      <c r="ES78" s="446"/>
      <c r="ET78" s="195"/>
      <c r="EU78" s="195"/>
    </row>
    <row r="79" spans="2:151" ht="15.75">
      <c r="G79" s="145"/>
      <c r="H79" s="139" t="s">
        <v>145</v>
      </c>
      <c r="I79" s="144"/>
      <c r="J79" s="505"/>
      <c r="K79" s="244"/>
      <c r="L79" s="245"/>
      <c r="M79" s="245"/>
      <c r="N79" s="221">
        <f>'Annual Cash Flow'!C59</f>
        <v>0</v>
      </c>
      <c r="O79" s="785"/>
      <c r="P79" s="104">
        <f>-VLOOKUP(P11,Assumptions!$J$13:$O$23,6,FALSE)*P36</f>
        <v>0</v>
      </c>
      <c r="Q79" s="104">
        <f>-VLOOKUP(Q11,Assumptions!$J$13:$O$23,6,FALSE)*Q36</f>
        <v>-7500</v>
      </c>
      <c r="R79" s="104">
        <f>-VLOOKUP(R11,Assumptions!$J$13:$O$23,6,FALSE)*R36</f>
        <v>-30000</v>
      </c>
      <c r="S79" s="104">
        <f>-VLOOKUP(S11,Assumptions!$J$13:$O$23,6,FALSE)*S36</f>
        <v>-37500</v>
      </c>
      <c r="T79" s="104">
        <f>-VLOOKUP(T11,Assumptions!$J$13:$O$23,6,FALSE)*T36</f>
        <v>0</v>
      </c>
      <c r="U79" s="104">
        <f>-VLOOKUP(U11,Assumptions!$J$13:$O$23,6,FALSE)*U36</f>
        <v>0</v>
      </c>
      <c r="V79" s="104">
        <f>-VLOOKUP(V11,Assumptions!$J$13:$O$23,6,FALSE)*V36</f>
        <v>0</v>
      </c>
      <c r="W79" s="104">
        <f>-VLOOKUP(W11,Assumptions!$J$13:$O$23,6,FALSE)*W36</f>
        <v>0</v>
      </c>
      <c r="X79" s="104">
        <f>-VLOOKUP(X11,Assumptions!$J$13:$O$23,6,FALSE)*X36</f>
        <v>0</v>
      </c>
      <c r="Y79" s="104">
        <f>-VLOOKUP(Y11,Assumptions!$J$13:$O$23,6,FALSE)*Y36</f>
        <v>0</v>
      </c>
      <c r="Z79" s="104">
        <f>-VLOOKUP(Z11,Assumptions!$J$13:$O$23,6,FALSE)*Z36</f>
        <v>0</v>
      </c>
      <c r="AA79" s="104">
        <f>-VLOOKUP(AA11,Assumptions!$J$13:$O$23,6,FALSE)*AA36</f>
        <v>0</v>
      </c>
      <c r="AB79" s="104">
        <f>-VLOOKUP(AB11,Assumptions!$J$13:$O$23,6,FALSE)*AB36</f>
        <v>-38625</v>
      </c>
      <c r="AC79" s="104">
        <f>-VLOOKUP(AC11,Assumptions!$J$13:$O$23,6,FALSE)*AC36</f>
        <v>-38625</v>
      </c>
      <c r="AD79" s="104">
        <f>-VLOOKUP(AD11,Assumptions!$J$13:$O$23,6,FALSE)*AD36</f>
        <v>0</v>
      </c>
      <c r="AE79" s="104">
        <f>-VLOOKUP(AE11,Assumptions!$J$13:$O$23,6,FALSE)*AE36</f>
        <v>-38625</v>
      </c>
      <c r="AF79" s="104">
        <f>-VLOOKUP(AF11,Assumptions!$J$13:$O$23,6,FALSE)*AF36</f>
        <v>0</v>
      </c>
      <c r="AG79" s="104">
        <f>-VLOOKUP(AG11,Assumptions!$J$13:$O$23,6,FALSE)*AG36</f>
        <v>0</v>
      </c>
      <c r="AH79" s="104">
        <f>-VLOOKUP(AH11,Assumptions!$J$13:$O$23,6,FALSE)*AH36</f>
        <v>0</v>
      </c>
      <c r="AI79" s="104">
        <f>-VLOOKUP(AI11,Assumptions!$J$13:$O$23,6,FALSE)*AI36</f>
        <v>0</v>
      </c>
      <c r="AJ79" s="104">
        <f>-VLOOKUP(AJ11,Assumptions!$J$13:$O$23,6,FALSE)*AJ36</f>
        <v>0</v>
      </c>
      <c r="AK79" s="104">
        <f>-VLOOKUP(AK11,Assumptions!$J$13:$O$23,6,FALSE)*AK36</f>
        <v>0</v>
      </c>
      <c r="AL79" s="104">
        <f>-VLOOKUP(AL11,Assumptions!$J$13:$O$23,6,FALSE)*AL36</f>
        <v>0</v>
      </c>
      <c r="AM79" s="104">
        <f>-VLOOKUP(AM11,Assumptions!$J$13:$O$23,6,FALSE)*AM36</f>
        <v>0</v>
      </c>
      <c r="AN79" s="104">
        <f>-VLOOKUP(AN11,Assumptions!$J$13:$O$23,6,FALSE)*AN36</f>
        <v>0</v>
      </c>
      <c r="AO79" s="104">
        <f>-VLOOKUP(AO11,Assumptions!$J$13:$O$23,6,FALSE)*AO36</f>
        <v>0</v>
      </c>
      <c r="AP79" s="104">
        <f>-VLOOKUP(AP11,Assumptions!$J$13:$O$23,6,FALSE)*AP36</f>
        <v>0</v>
      </c>
      <c r="AQ79" s="104">
        <f>-VLOOKUP(AQ11,Assumptions!$J$13:$O$23,6,FALSE)*AQ36</f>
        <v>-31827</v>
      </c>
      <c r="AR79" s="104">
        <f>-VLOOKUP(AR11,Assumptions!$J$13:$O$23,6,FALSE)*AR36</f>
        <v>0</v>
      </c>
      <c r="AS79" s="104">
        <f>-VLOOKUP(AS11,Assumptions!$J$13:$O$23,6,FALSE)*AS36</f>
        <v>-7956.75</v>
      </c>
      <c r="AT79" s="104">
        <f>-VLOOKUP(AT11,Assumptions!$J$13:$O$23,6,FALSE)*AT36</f>
        <v>0</v>
      </c>
      <c r="AU79" s="104">
        <f>-VLOOKUP(AU11,Assumptions!$J$13:$O$23,6,FALSE)*AU36</f>
        <v>0</v>
      </c>
      <c r="AV79" s="104">
        <f>-VLOOKUP(AV11,Assumptions!$J$13:$O$23,6,FALSE)*AV36</f>
        <v>0</v>
      </c>
      <c r="AW79" s="104">
        <f>-VLOOKUP(AW11,Assumptions!$J$13:$O$23,6,FALSE)*AW36</f>
        <v>0</v>
      </c>
      <c r="AX79" s="104">
        <f>-VLOOKUP(AX11,Assumptions!$J$13:$O$23,6,FALSE)*AX36</f>
        <v>0</v>
      </c>
      <c r="AY79" s="104">
        <f>-VLOOKUP(AY11,Assumptions!$J$13:$O$23,6,FALSE)*AY36</f>
        <v>0</v>
      </c>
      <c r="AZ79" s="104">
        <f>-VLOOKUP(AZ11,Assumptions!$J$13:$O$23,6,FALSE)*AZ36</f>
        <v>0</v>
      </c>
      <c r="BA79" s="104">
        <f>-VLOOKUP(BA11,Assumptions!$J$13:$O$23,6,FALSE)*BA36</f>
        <v>0</v>
      </c>
      <c r="BB79" s="104">
        <f>-VLOOKUP(BB11,Assumptions!$J$13:$O$23,6,FALSE)*BB36</f>
        <v>0</v>
      </c>
      <c r="BC79" s="104">
        <f>-VLOOKUP(BC11,Assumptions!$J$13:$O$23,6,FALSE)*BC36</f>
        <v>0</v>
      </c>
      <c r="BD79" s="104">
        <f>-VLOOKUP(BD11,Assumptions!$J$13:$O$23,6,FALSE)*BD36</f>
        <v>0</v>
      </c>
      <c r="BE79" s="104">
        <f>-VLOOKUP(BE11,Assumptions!$J$13:$O$23,6,FALSE)*BE36</f>
        <v>0</v>
      </c>
      <c r="BF79" s="104">
        <f>-VLOOKUP(BF11,Assumptions!$J$13:$O$23,6,FALSE)*BF36</f>
        <v>0</v>
      </c>
      <c r="BG79" s="104">
        <f>-VLOOKUP(BG11,Assumptions!$J$13:$O$23,6,FALSE)*BG36</f>
        <v>0</v>
      </c>
      <c r="BH79" s="104">
        <f>-VLOOKUP(BH11,Assumptions!$J$13:$O$23,6,FALSE)*BH36</f>
        <v>0</v>
      </c>
      <c r="BI79" s="104">
        <f>-VLOOKUP(BI11,Assumptions!$J$13:$O$23,6,FALSE)*BI36</f>
        <v>0</v>
      </c>
      <c r="BJ79" s="104">
        <f>-VLOOKUP(BJ11,Assumptions!$J$13:$O$23,6,FALSE)*BJ36</f>
        <v>0</v>
      </c>
      <c r="BK79" s="104">
        <f>-VLOOKUP(BK11,Assumptions!$J$13:$O$23,6,FALSE)*BK36</f>
        <v>0</v>
      </c>
      <c r="BL79" s="104">
        <f>-VLOOKUP(BL11,Assumptions!$J$13:$O$23,6,FALSE)*BL36</f>
        <v>0</v>
      </c>
      <c r="BM79" s="104">
        <f>-VLOOKUP(BM11,Assumptions!$J$13:$O$23,6,FALSE)*BM36</f>
        <v>0</v>
      </c>
      <c r="BN79" s="104">
        <f>-VLOOKUP(BN11,Assumptions!$J$13:$O$23,6,FALSE)*BN36</f>
        <v>0</v>
      </c>
      <c r="BO79" s="104">
        <f>-VLOOKUP(BO11,Assumptions!$J$13:$O$23,6,FALSE)*BO36</f>
        <v>0</v>
      </c>
      <c r="BP79" s="104">
        <f>-VLOOKUP(BP11,Assumptions!$J$13:$O$23,6,FALSE)*BP36</f>
        <v>0</v>
      </c>
      <c r="BQ79" s="104">
        <f>-VLOOKUP(BQ11,Assumptions!$J$13:$O$23,6,FALSE)*BQ36</f>
        <v>0</v>
      </c>
      <c r="BR79" s="104">
        <f>-VLOOKUP(BR11,Assumptions!$J$13:$O$23,6,FALSE)*BR36</f>
        <v>0</v>
      </c>
      <c r="BS79" s="104">
        <f>-VLOOKUP(BS11,Assumptions!$J$13:$O$23,6,FALSE)*BS36</f>
        <v>0</v>
      </c>
      <c r="BT79" s="104">
        <f>-VLOOKUP(BT11,Assumptions!$J$13:$O$23,6,FALSE)*BT36</f>
        <v>0</v>
      </c>
      <c r="BU79" s="104">
        <f>-VLOOKUP(BU11,Assumptions!$J$13:$O$23,6,FALSE)*BU36</f>
        <v>0</v>
      </c>
      <c r="BV79" s="104">
        <f>-VLOOKUP(BV11,Assumptions!$J$13:$O$23,6,FALSE)*BV36</f>
        <v>0</v>
      </c>
      <c r="BW79" s="104">
        <f>-VLOOKUP(BW11,Assumptions!$J$13:$O$23,6,FALSE)*BW36</f>
        <v>0</v>
      </c>
      <c r="BX79" s="104">
        <f>-VLOOKUP(BX11,Assumptions!$J$13:$O$23,6,FALSE)*BX36</f>
        <v>0</v>
      </c>
      <c r="BY79" s="104">
        <f>-VLOOKUP(BY11,Assumptions!$J$13:$O$23,6,FALSE)*BY36</f>
        <v>0</v>
      </c>
      <c r="BZ79" s="104">
        <f>-VLOOKUP(BZ11,Assumptions!$J$13:$O$23,6,FALSE)*BZ36</f>
        <v>0</v>
      </c>
      <c r="CA79" s="104">
        <f>-VLOOKUP(CA11,Assumptions!$J$13:$O$23,6,FALSE)*CA36</f>
        <v>0</v>
      </c>
      <c r="CB79" s="104">
        <f>-VLOOKUP(CB11,Assumptions!$J$13:$O$23,6,FALSE)*CB36</f>
        <v>0</v>
      </c>
      <c r="CC79" s="104">
        <f>-VLOOKUP(CC11,Assumptions!$J$13:$O$23,6,FALSE)*CC36</f>
        <v>0</v>
      </c>
      <c r="CD79" s="104">
        <f>-VLOOKUP(CD11,Assumptions!$J$13:$O$23,6,FALSE)*CD36</f>
        <v>0</v>
      </c>
      <c r="CE79" s="104">
        <f>-VLOOKUP(CE11,Assumptions!$J$13:$O$23,6,FALSE)*CE36</f>
        <v>0</v>
      </c>
      <c r="CF79" s="104">
        <f>-VLOOKUP(CF11,Assumptions!$J$13:$O$23,6,FALSE)*CF36</f>
        <v>0</v>
      </c>
      <c r="CG79" s="104">
        <f>-VLOOKUP(CG11,Assumptions!$J$13:$O$23,6,FALSE)*CG36</f>
        <v>0</v>
      </c>
      <c r="CH79" s="104">
        <f>-VLOOKUP(CH11,Assumptions!$J$13:$O$23,6,FALSE)*CH36</f>
        <v>0</v>
      </c>
      <c r="CI79" s="104">
        <f>-VLOOKUP(CI11,Assumptions!$J$13:$O$23,6,FALSE)*CI36</f>
        <v>0</v>
      </c>
      <c r="CJ79" s="104">
        <f>-VLOOKUP(CJ11,Assumptions!$J$13:$O$23,6,FALSE)*CJ36</f>
        <v>0</v>
      </c>
      <c r="CK79" s="104">
        <f>-VLOOKUP(CK11,Assumptions!$J$13:$O$23,6,FALSE)*CK36</f>
        <v>0</v>
      </c>
      <c r="CL79" s="104">
        <f>-VLOOKUP(CL11,Assumptions!$J$13:$O$23,6,FALSE)*CL36</f>
        <v>0</v>
      </c>
      <c r="CM79" s="104">
        <f>-VLOOKUP(CM11,Assumptions!$J$13:$O$23,6,FALSE)*CM36</f>
        <v>0</v>
      </c>
      <c r="CN79" s="104">
        <f>-VLOOKUP(CN11,Assumptions!$J$13:$O$23,6,FALSE)*CN36</f>
        <v>0</v>
      </c>
      <c r="CO79" s="104">
        <f>-VLOOKUP(CO11,Assumptions!$J$13:$O$23,6,FALSE)*CO36</f>
        <v>0</v>
      </c>
      <c r="CP79" s="104">
        <f>-VLOOKUP(CP11,Assumptions!$J$13:$O$23,6,FALSE)*CP36</f>
        <v>0</v>
      </c>
      <c r="CQ79" s="104">
        <f>-VLOOKUP(CQ11,Assumptions!$J$13:$O$23,6,FALSE)*CQ36</f>
        <v>0</v>
      </c>
      <c r="CR79" s="104">
        <f>-VLOOKUP(CR11,Assumptions!$J$13:$O$23,6,FALSE)*CR36</f>
        <v>0</v>
      </c>
      <c r="CS79" s="104">
        <f>-VLOOKUP(CS11,Assumptions!$J$13:$O$23,6,FALSE)*CS36</f>
        <v>0</v>
      </c>
      <c r="CT79" s="104">
        <f>-VLOOKUP(CT11,Assumptions!$J$13:$O$23,6,FALSE)*CT36</f>
        <v>0</v>
      </c>
      <c r="CU79" s="104">
        <f>-VLOOKUP(CU11,Assumptions!$J$13:$O$23,6,FALSE)*CU36</f>
        <v>0</v>
      </c>
      <c r="CV79" s="104">
        <f>-VLOOKUP(CV11,Assumptions!$J$13:$O$23,6,FALSE)*CV36</f>
        <v>0</v>
      </c>
      <c r="CW79" s="104">
        <f>-VLOOKUP(CW11,Assumptions!$J$13:$O$23,6,FALSE)*CW36</f>
        <v>0</v>
      </c>
      <c r="CX79" s="104">
        <f>-VLOOKUP(CX11,Assumptions!$J$13:$O$23,6,FALSE)*CX36</f>
        <v>0</v>
      </c>
      <c r="CY79" s="104">
        <f>-VLOOKUP(CY11,Assumptions!$J$13:$O$23,6,FALSE)*CY36</f>
        <v>0</v>
      </c>
      <c r="CZ79" s="104">
        <f>-VLOOKUP(CZ11,Assumptions!$J$13:$O$23,6,FALSE)*CZ36</f>
        <v>0</v>
      </c>
      <c r="DA79" s="104">
        <f>-VLOOKUP(DA11,Assumptions!$J$13:$O$23,6,FALSE)*DA36</f>
        <v>0</v>
      </c>
      <c r="DB79" s="104">
        <f>-VLOOKUP(DB11,Assumptions!$J$13:$O$23,6,FALSE)*DB36</f>
        <v>0</v>
      </c>
      <c r="DC79" s="104">
        <f>-VLOOKUP(DC11,Assumptions!$J$13:$O$23,6,FALSE)*DC36</f>
        <v>0</v>
      </c>
      <c r="DD79" s="104">
        <f>-VLOOKUP(DD11,Assumptions!$J$13:$O$23,6,FALSE)*DD36</f>
        <v>0</v>
      </c>
      <c r="DE79" s="104">
        <f>-VLOOKUP(DE11,Assumptions!$J$13:$O$23,6,FALSE)*DE36</f>
        <v>0</v>
      </c>
      <c r="DF79" s="104">
        <f>-VLOOKUP(DF11,Assumptions!$J$13:$O$23,6,FALSE)*DF36</f>
        <v>0</v>
      </c>
      <c r="DG79" s="104">
        <f>-VLOOKUP(DG11,Assumptions!$J$13:$O$23,6,FALSE)*DG36</f>
        <v>0</v>
      </c>
      <c r="DH79" s="104">
        <f>-VLOOKUP(DH11,Assumptions!$J$13:$O$23,6,FALSE)*DH36</f>
        <v>0</v>
      </c>
      <c r="DI79" s="104">
        <f>-VLOOKUP(DI11,Assumptions!$J$13:$O$23,6,FALSE)*DI36</f>
        <v>0</v>
      </c>
      <c r="DJ79" s="104">
        <f>-VLOOKUP(DJ11,Assumptions!$J$13:$O$23,6,FALSE)*DJ36</f>
        <v>0</v>
      </c>
      <c r="DK79" s="104">
        <f>-VLOOKUP(DK11,Assumptions!$J$13:$O$23,6,FALSE)*DK36</f>
        <v>0</v>
      </c>
      <c r="DL79" s="104">
        <f>-VLOOKUP(DL11,Assumptions!$J$13:$O$23,6,FALSE)*DL36</f>
        <v>0</v>
      </c>
      <c r="DM79" s="104">
        <f>-VLOOKUP(DM11,Assumptions!$J$13:$O$23,6,FALSE)*DM36</f>
        <v>0</v>
      </c>
      <c r="DN79" s="104">
        <f>-VLOOKUP(DN11,Assumptions!$J$13:$O$23,6,FALSE)*DN36</f>
        <v>0</v>
      </c>
      <c r="DO79" s="104">
        <f>-VLOOKUP(DO11,Assumptions!$J$13:$O$23,6,FALSE)*DO36</f>
        <v>0</v>
      </c>
      <c r="DP79" s="104">
        <f>-VLOOKUP(DP11,Assumptions!$J$13:$O$23,6,FALSE)*DP36</f>
        <v>0</v>
      </c>
      <c r="DQ79" s="104">
        <f>-VLOOKUP(DQ11,Assumptions!$J$13:$O$23,6,FALSE)*DQ36</f>
        <v>0</v>
      </c>
      <c r="DR79" s="104">
        <f>-VLOOKUP(DR11,Assumptions!$J$13:$O$23,6,FALSE)*DR36</f>
        <v>0</v>
      </c>
      <c r="DS79" s="104">
        <f>-VLOOKUP(DS11,Assumptions!$J$13:$O$23,6,FALSE)*DS36</f>
        <v>0</v>
      </c>
      <c r="DT79" s="104">
        <f>-VLOOKUP(DT11,Assumptions!$J$13:$O$23,6,FALSE)*DT36</f>
        <v>0</v>
      </c>
      <c r="DU79" s="104">
        <f>-VLOOKUP(DU11,Assumptions!$J$13:$O$23,6,FALSE)*DU36</f>
        <v>0</v>
      </c>
      <c r="DV79" s="104">
        <f>-VLOOKUP(DV11,Assumptions!$J$13:$O$23,6,FALSE)*DV36</f>
        <v>0</v>
      </c>
      <c r="DW79" s="104">
        <f>-VLOOKUP(DW11,Assumptions!$J$13:$O$23,6,FALSE)*DW36</f>
        <v>0</v>
      </c>
      <c r="DX79" s="104">
        <f>-VLOOKUP(DX11,Assumptions!$J$13:$O$23,6,FALSE)*DX36</f>
        <v>0</v>
      </c>
      <c r="DY79" s="104">
        <f>-VLOOKUP(DY11,Assumptions!$J$13:$O$23,6,FALSE)*DY36</f>
        <v>0</v>
      </c>
      <c r="DZ79" s="104">
        <f>-VLOOKUP(DZ11,Assumptions!$J$13:$O$23,6,FALSE)*DZ36</f>
        <v>0</v>
      </c>
      <c r="EA79" s="104">
        <f>-VLOOKUP(EA11,Assumptions!$J$13:$O$23,6,FALSE)*EA36</f>
        <v>0</v>
      </c>
      <c r="EB79" s="104">
        <f>-VLOOKUP(EB11,Assumptions!$J$13:$O$23,6,FALSE)*EB36</f>
        <v>0</v>
      </c>
      <c r="EC79" s="104">
        <f>-VLOOKUP(EC11,Assumptions!$J$13:$O$23,6,FALSE)*EC36</f>
        <v>0</v>
      </c>
      <c r="ED79" s="104">
        <f>-VLOOKUP(ED11,Assumptions!$J$13:$O$23,6,FALSE)*ED36</f>
        <v>0</v>
      </c>
      <c r="EE79" s="104">
        <f>-VLOOKUP(EE11,Assumptions!$J$13:$O$23,6,FALSE)*EE36</f>
        <v>0</v>
      </c>
      <c r="EF79" s="104">
        <f>-VLOOKUP(EF11,Assumptions!$J$13:$O$23,6,FALSE)*EF36</f>
        <v>0</v>
      </c>
      <c r="EG79" s="104">
        <f>-VLOOKUP(EG11,Assumptions!$J$13:$O$23,6,FALSE)*EG36</f>
        <v>0</v>
      </c>
      <c r="EH79" s="104">
        <f>-VLOOKUP(EH11,Assumptions!$J$13:$O$23,6,FALSE)*EH36</f>
        <v>0</v>
      </c>
      <c r="EI79" s="104">
        <f>-VLOOKUP(EI11,Assumptions!$J$13:$O$23,6,FALSE)*EI36</f>
        <v>0</v>
      </c>
      <c r="EJ79" s="104">
        <f>-VLOOKUP(EJ11,Assumptions!$J$13:$O$23,6,FALSE)*EJ36</f>
        <v>0</v>
      </c>
      <c r="EK79" s="104">
        <f>-VLOOKUP(EK11,Assumptions!$J$13:$O$23,6,FALSE)*EK36</f>
        <v>0</v>
      </c>
      <c r="EL79" s="104">
        <f>-VLOOKUP(EL11,Assumptions!$J$13:$O$23,6,FALSE)*EL36</f>
        <v>0</v>
      </c>
      <c r="EM79" s="104">
        <f>-VLOOKUP(EM11,Assumptions!$J$13:$O$23,6,FALSE)*EM36</f>
        <v>0</v>
      </c>
      <c r="EN79" s="104">
        <f>-VLOOKUP(EN11,Assumptions!$J$13:$O$23,6,FALSE)*EN36</f>
        <v>0</v>
      </c>
      <c r="EO79" s="104">
        <f>-VLOOKUP(EO11,Assumptions!$J$13:$O$23,6,FALSE)*EO36</f>
        <v>0</v>
      </c>
      <c r="EP79" s="104">
        <f>-VLOOKUP(EP11,Assumptions!$J$13:$O$23,6,FALSE)*EP36</f>
        <v>0</v>
      </c>
      <c r="EQ79" s="104">
        <f>-VLOOKUP(EQ11,Assumptions!$J$13:$O$23,6,FALSE)*EQ36</f>
        <v>0</v>
      </c>
      <c r="ES79" s="421"/>
      <c r="ET79" s="98"/>
      <c r="EU79" s="98"/>
    </row>
    <row r="80" spans="2:151" ht="15.75">
      <c r="G80" s="145"/>
      <c r="H80" s="139" t="s">
        <v>46</v>
      </c>
      <c r="I80" s="144"/>
      <c r="J80" s="505"/>
      <c r="K80" s="244"/>
      <c r="L80" s="245"/>
      <c r="M80" s="245"/>
      <c r="N80" s="221">
        <f>'Annual Cash Flow'!C60</f>
        <v>0</v>
      </c>
      <c r="O80" s="792"/>
      <c r="P80" s="123">
        <f ca="1">IF(P10&lt;=Assumptions!$G$10+1,Assumptions!$H$68*-P55,0)</f>
        <v>-234.961275</v>
      </c>
      <c r="Q80" s="123">
        <f ca="1">IF(Q10&lt;=Assumptions!$G$10+1,Assumptions!$H$68*-Q55,0)</f>
        <v>-234.96127500000003</v>
      </c>
      <c r="R80" s="123">
        <f ca="1">IF(R10&lt;=Assumptions!$G$10+1,Assumptions!$H$68*-R55,0)</f>
        <v>-234.96127500000003</v>
      </c>
      <c r="S80" s="123">
        <f ca="1">IF(S10&lt;=Assumptions!$G$10+1,Assumptions!$H$68*-S55,0)</f>
        <v>-234.96127500000003</v>
      </c>
      <c r="T80" s="123">
        <f ca="1">IF(T10&lt;=Assumptions!$G$10+1,Assumptions!$H$68*-T55,0)</f>
        <v>-235.92127500000004</v>
      </c>
      <c r="U80" s="123">
        <f ca="1">IF(U10&lt;=Assumptions!$G$10+1,Assumptions!$H$68*-U55,0)</f>
        <v>-239.76127500000004</v>
      </c>
      <c r="V80" s="123">
        <f ca="1">IF(V10&lt;=Assumptions!$G$10+1,Assumptions!$H$68*-V55,0)</f>
        <v>-244.56127500000002</v>
      </c>
      <c r="W80" s="123">
        <f ca="1">IF(W10&lt;=Assumptions!$G$10+1,Assumptions!$H$68*-W55,0)</f>
        <v>-244.56127500000002</v>
      </c>
      <c r="X80" s="123">
        <f ca="1">IF(X10&lt;=Assumptions!$G$10+1,Assumptions!$H$68*-X55,0)</f>
        <v>-244.56127500000002</v>
      </c>
      <c r="Y80" s="123">
        <f ca="1">IF(Y10&lt;=Assumptions!$G$10+1,Assumptions!$H$68*-Y55,0)</f>
        <v>-244.56127500000002</v>
      </c>
      <c r="Z80" s="123">
        <f ca="1">IF(Z10&lt;=Assumptions!$G$10+1,Assumptions!$H$68*-Z55,0)</f>
        <v>-244.56127500000002</v>
      </c>
      <c r="AA80" s="123">
        <f ca="1">IF(AA10&lt;=Assumptions!$G$10+1,Assumptions!$H$68*-AA55,0)</f>
        <v>-244.56127500000002</v>
      </c>
      <c r="AB80" s="123">
        <f ca="1">IF(AB10&lt;=Assumptions!$G$10+1,Assumptions!$H$68*-AB55,0)</f>
        <v>-256.48287631245</v>
      </c>
      <c r="AC80" s="123">
        <f ca="1">IF(AC10&lt;=Assumptions!$G$10+1,Assumptions!$H$68*-AC55,0)</f>
        <v>-256.48287631245</v>
      </c>
      <c r="AD80" s="123">
        <f ca="1">IF(AD10&lt;=Assumptions!$G$10+1,Assumptions!$H$68*-AD55,0)</f>
        <v>-256.48287631245</v>
      </c>
      <c r="AE80" s="123">
        <f ca="1">IF(AE10&lt;=Assumptions!$G$10+1,Assumptions!$H$68*-AE55,0)</f>
        <v>-261.67934671245001</v>
      </c>
      <c r="AF80" s="123">
        <f ca="1">IF(AF10&lt;=Assumptions!$G$10+1,Assumptions!$H$68*-AF55,0)</f>
        <v>-266.87581711245002</v>
      </c>
      <c r="AG80" s="123">
        <f ca="1">IF(AG10&lt;=Assumptions!$G$10+1,Assumptions!$H$68*-AG55,0)</f>
        <v>-266.87581711245002</v>
      </c>
      <c r="AH80" s="123">
        <f ca="1">IF(AH10&lt;=Assumptions!$G$10+1,Assumptions!$H$68*-AH55,0)</f>
        <v>-272.07228751244998</v>
      </c>
      <c r="AI80" s="123">
        <f ca="1">IF(AI10&lt;=Assumptions!$G$10+1,Assumptions!$H$68*-AI55,0)</f>
        <v>-272.07228751244998</v>
      </c>
      <c r="AJ80" s="123">
        <f ca="1">IF(AJ10&lt;=Assumptions!$G$10+1,Assumptions!$H$68*-AJ55,0)</f>
        <v>-272.07228751244998</v>
      </c>
      <c r="AK80" s="123">
        <f ca="1">IF(AK10&lt;=Assumptions!$G$10+1,Assumptions!$H$68*-AK55,0)</f>
        <v>-272.07228751244998</v>
      </c>
      <c r="AL80" s="123">
        <f ca="1">IF(AL10&lt;=Assumptions!$G$10+1,Assumptions!$H$68*-AL55,0)</f>
        <v>-272.07228751244998</v>
      </c>
      <c r="AM80" s="123">
        <f ca="1">IF(AM10&lt;=Assumptions!$G$10+1,Assumptions!$H$68*-AM55,0)</f>
        <v>-272.07228751244998</v>
      </c>
      <c r="AN80" s="123">
        <f ca="1">IF(AN10&lt;=Assumptions!$G$10+1,Assumptions!$H$68*-AN55,0)</f>
        <v>-284.85968502553521</v>
      </c>
      <c r="AO80" s="123">
        <f ca="1">IF(AO10&lt;=Assumptions!$G$10+1,Assumptions!$H$68*-AO55,0)</f>
        <v>-284.85968502553521</v>
      </c>
      <c r="AP80" s="123">
        <f ca="1">IF(AP10&lt;=Assumptions!$G$10+1,Assumptions!$H$68*-AP55,0)</f>
        <v>-284.85968502553521</v>
      </c>
      <c r="AQ80" s="123">
        <f ca="1">IF(AQ10&lt;=Assumptions!$G$10+1,Assumptions!$H$68*-AQ55,0)</f>
        <v>-284.85968502553521</v>
      </c>
      <c r="AR80" s="123">
        <f ca="1">IF(AR10&lt;=Assumptions!$G$10+1,Assumptions!$H$68*-AR55,0)</f>
        <v>-284.85968502553521</v>
      </c>
      <c r="AS80" s="123">
        <f ca="1">IF(AS10&lt;=Assumptions!$G$10+1,Assumptions!$H$68*-AS55,0)</f>
        <v>-284.85968502553521</v>
      </c>
      <c r="AT80" s="123">
        <f ca="1">IF(AT10&lt;=Assumptions!$G$10+1,Assumptions!$H$68*-AT55,0)</f>
        <v>-289.21224863257515</v>
      </c>
      <c r="AU80" s="123">
        <f ca="1">IF(AU10&lt;=Assumptions!$G$10+1,Assumptions!$H$68*-AU55,0)</f>
        <v>-289.21224863257515</v>
      </c>
      <c r="AV80" s="123">
        <f ca="1">IF(AV10&lt;=Assumptions!$G$10+1,Assumptions!$H$68*-AV55,0)</f>
        <v>-290.30038953433518</v>
      </c>
      <c r="AW80" s="123">
        <f ca="1">IF(AW10&lt;=Assumptions!$G$10+1,Assumptions!$H$68*-AW55,0)</f>
        <v>-290.30038953433518</v>
      </c>
      <c r="AX80" s="123">
        <f ca="1">IF(AX10&lt;=Assumptions!$G$10+1,Assumptions!$H$68*-AX55,0)</f>
        <v>-290.30038953433518</v>
      </c>
      <c r="AY80" s="123">
        <f ca="1">IF(AY10&lt;=Assumptions!$G$10+1,Assumptions!$H$68*-AY55,0)</f>
        <v>-290.30038953433518</v>
      </c>
      <c r="AZ80" s="123">
        <f ca="1">IF(AZ10&lt;=Assumptions!$G$10+1,Assumptions!$H$68*-AZ55,0)</f>
        <v>-299.88030238896818</v>
      </c>
      <c r="BA80" s="123">
        <f ca="1">IF(BA10&lt;=Assumptions!$G$10+1,Assumptions!$H$68*-BA55,0)</f>
        <v>-299.88030238896818</v>
      </c>
      <c r="BB80" s="123">
        <f ca="1">IF(BB10&lt;=Assumptions!$G$10+1,Assumptions!$H$68*-BB55,0)</f>
        <v>-299.88030238896818</v>
      </c>
      <c r="BC80" s="123">
        <f ca="1">IF(BC10&lt;=Assumptions!$G$10+1,Assumptions!$H$68*-BC55,0)</f>
        <v>-299.88030238896818</v>
      </c>
      <c r="BD80" s="123">
        <f ca="1">IF(BD10&lt;=Assumptions!$G$10+1,Assumptions!$H$68*-BD55,0)</f>
        <v>-299.88030238896818</v>
      </c>
      <c r="BE80" s="123">
        <f ca="1">IF(BE10&lt;=Assumptions!$G$10+1,Assumptions!$H$68*-BE55,0)</f>
        <v>-299.88030238896818</v>
      </c>
      <c r="BF80" s="123">
        <f ca="1">IF(BF10&lt;=Assumptions!$G$10+1,Assumptions!$H$68*-BF55,0)</f>
        <v>-299.88030238896818</v>
      </c>
      <c r="BG80" s="123">
        <f ca="1">IF(BG10&lt;=Assumptions!$G$10+1,Assumptions!$H$68*-BG55,0)</f>
        <v>-299.88030238896818</v>
      </c>
      <c r="BH80" s="123">
        <f ca="1">IF(BH10&lt;=Assumptions!$G$10+1,Assumptions!$H$68*-BH55,0)</f>
        <v>-299.88030238896818</v>
      </c>
      <c r="BI80" s="123">
        <f ca="1">IF(BI10&lt;=Assumptions!$G$10+1,Assumptions!$H$68*-BI55,0)</f>
        <v>-299.88030238896818</v>
      </c>
      <c r="BJ80" s="123">
        <f ca="1">IF(BJ10&lt;=Assumptions!$G$10+1,Assumptions!$H$68*-BJ55,0)</f>
        <v>-299.88030238896818</v>
      </c>
      <c r="BK80" s="123">
        <f ca="1">IF(BK10&lt;=Assumptions!$G$10+1,Assumptions!$H$68*-BK55,0)</f>
        <v>-299.88030238896818</v>
      </c>
      <c r="BL80" s="123">
        <f ca="1">IF(BL10&lt;=Assumptions!$G$10+1,Assumptions!$H$68*-BL55,0)</f>
        <v>-307.97707055347024</v>
      </c>
      <c r="BM80" s="123">
        <f ca="1">IF(BM10&lt;=Assumptions!$G$10+1,Assumptions!$H$68*-BM55,0)</f>
        <v>-307.97707055347024</v>
      </c>
      <c r="BN80" s="123">
        <f ca="1">IF(BN10&lt;=Assumptions!$G$10+1,Assumptions!$H$68*-BN55,0)</f>
        <v>-307.97707055347024</v>
      </c>
      <c r="BO80" s="123">
        <f ca="1">IF(BO10&lt;=Assumptions!$G$10+1,Assumptions!$H$68*-BO55,0)</f>
        <v>-307.97707055347024</v>
      </c>
      <c r="BP80" s="123">
        <f ca="1">IF(BP10&lt;=Assumptions!$G$10+1,Assumptions!$H$68*-BP55,0)</f>
        <v>-307.97707055347024</v>
      </c>
      <c r="BQ80" s="123">
        <f ca="1">IF(BQ10&lt;=Assumptions!$G$10+1,Assumptions!$H$68*-BQ55,0)</f>
        <v>-307.97707055347024</v>
      </c>
      <c r="BR80" s="123">
        <f ca="1">IF(BR10&lt;=Assumptions!$G$10+1,Assumptions!$H$68*-BR55,0)</f>
        <v>-307.97707055347024</v>
      </c>
      <c r="BS80" s="123">
        <f ca="1">IF(BS10&lt;=Assumptions!$G$10+1,Assumptions!$H$68*-BS55,0)</f>
        <v>-307.97707055347024</v>
      </c>
      <c r="BT80" s="123">
        <f ca="1">IF(BT10&lt;=Assumptions!$G$10+1,Assumptions!$H$68*-BT55,0)</f>
        <v>-307.97707055347024</v>
      </c>
      <c r="BU80" s="123">
        <f ca="1">IF(BU10&lt;=Assumptions!$G$10+1,Assumptions!$H$68*-BU55,0)</f>
        <v>-307.97707055347024</v>
      </c>
      <c r="BV80" s="123">
        <f ca="1">IF(BV10&lt;=Assumptions!$G$10+1,Assumptions!$H$68*-BV55,0)</f>
        <v>-307.97707055347024</v>
      </c>
      <c r="BW80" s="123">
        <f ca="1">IF(BW10&lt;=Assumptions!$G$10+1,Assumptions!$H$68*-BW55,0)</f>
        <v>-307.97707055347024</v>
      </c>
      <c r="BX80" s="123">
        <f ca="1">IF(BX10&lt;=Assumptions!$G$10+1,Assumptions!$H$68*-BX55,0)</f>
        <v>-317.21638267007438</v>
      </c>
      <c r="BY80" s="123">
        <f ca="1">IF(BY10&lt;=Assumptions!$G$10+1,Assumptions!$H$68*-BY55,0)</f>
        <v>-317.21638267007438</v>
      </c>
      <c r="BZ80" s="123">
        <f ca="1">IF(BZ10&lt;=Assumptions!$G$10+1,Assumptions!$H$68*-BZ55,0)</f>
        <v>-317.21638267007438</v>
      </c>
      <c r="CA80" s="123">
        <f ca="1">IF(CA10&lt;=Assumptions!$G$10+1,Assumptions!$H$68*-CA55,0)</f>
        <v>-317.21638267007438</v>
      </c>
      <c r="CB80" s="123">
        <f ca="1">IF(CB10&lt;=Assumptions!$G$10+1,Assumptions!$H$68*-CB55,0)</f>
        <v>-317.21638267007438</v>
      </c>
      <c r="CC80" s="123">
        <f ca="1">IF(CC10&lt;=Assumptions!$G$10+1,Assumptions!$H$68*-CC55,0)</f>
        <v>-317.21638267007438</v>
      </c>
      <c r="CD80" s="123">
        <f ca="1">IF(CD10&lt;=Assumptions!$G$10+1,Assumptions!$H$68*-CD55,0)</f>
        <v>-317.21638267007438</v>
      </c>
      <c r="CE80" s="123">
        <f ca="1">IF(CE10&lt;=Assumptions!$G$10+1,Assumptions!$H$68*-CE55,0)</f>
        <v>-317.21638267007438</v>
      </c>
      <c r="CF80" s="123">
        <f ca="1">IF(CF10&lt;=Assumptions!$G$10+1,Assumptions!$H$68*-CF55,0)</f>
        <v>-317.21638267007438</v>
      </c>
      <c r="CG80" s="123">
        <f ca="1">IF(CG10&lt;=Assumptions!$G$10+1,Assumptions!$H$68*-CG55,0)</f>
        <v>-317.21638267007438</v>
      </c>
      <c r="CH80" s="123">
        <f ca="1">IF(CH10&lt;=Assumptions!$G$10+1,Assumptions!$H$68*-CH55,0)</f>
        <v>-317.21638267007438</v>
      </c>
      <c r="CI80" s="123">
        <f ca="1">IF(CI10&lt;=Assumptions!$G$10+1,Assumptions!$H$68*-CI55,0)</f>
        <v>-317.21638267007438</v>
      </c>
      <c r="CJ80" s="123">
        <f ca="1">IF(CJ10&lt;=Assumptions!$G$10+1,Assumptions!$H$68*-CJ55,0)</f>
        <v>-326.73287415017666</v>
      </c>
      <c r="CK80" s="123">
        <f ca="1">IF(CK10&lt;=Assumptions!$G$10+1,Assumptions!$H$68*-CK55,0)</f>
        <v>-326.73287415017666</v>
      </c>
      <c r="CL80" s="123">
        <f ca="1">IF(CL10&lt;=Assumptions!$G$10+1,Assumptions!$H$68*-CL55,0)</f>
        <v>-326.73287415017666</v>
      </c>
      <c r="CM80" s="123">
        <f ca="1">IF(CM10&lt;=Assumptions!$G$10+1,Assumptions!$H$68*-CM55,0)</f>
        <v>-326.73287415017666</v>
      </c>
      <c r="CN80" s="123">
        <f ca="1">IF(CN10&lt;=Assumptions!$G$10+1,Assumptions!$H$68*-CN55,0)</f>
        <v>-326.73287415017666</v>
      </c>
      <c r="CO80" s="123">
        <f ca="1">IF(CO10&lt;=Assumptions!$G$10+1,Assumptions!$H$68*-CO55,0)</f>
        <v>-326.73287415017666</v>
      </c>
      <c r="CP80" s="123">
        <f ca="1">IF(CP10&lt;=Assumptions!$G$10+1,Assumptions!$H$68*-CP55,0)</f>
        <v>-326.73287415017666</v>
      </c>
      <c r="CQ80" s="123">
        <f ca="1">IF(CQ10&lt;=Assumptions!$G$10+1,Assumptions!$H$68*-CQ55,0)</f>
        <v>-326.73287415017666</v>
      </c>
      <c r="CR80" s="123">
        <f ca="1">IF(CR10&lt;=Assumptions!$G$10+1,Assumptions!$H$68*-CR55,0)</f>
        <v>-326.73287415017666</v>
      </c>
      <c r="CS80" s="123">
        <f ca="1">IF(CS10&lt;=Assumptions!$G$10+1,Assumptions!$H$68*-CS55,0)</f>
        <v>-326.73287415017666</v>
      </c>
      <c r="CT80" s="123">
        <f ca="1">IF(CT10&lt;=Assumptions!$G$10+1,Assumptions!$H$68*-CT55,0)</f>
        <v>-326.73287415017666</v>
      </c>
      <c r="CU80" s="123">
        <f ca="1">IF(CU10&lt;=Assumptions!$G$10+1,Assumptions!$H$68*-CU55,0)</f>
        <v>-326.73287415017666</v>
      </c>
      <c r="CV80" s="123">
        <f ca="1">IF(CV10&lt;=Assumptions!$G$10+1,Assumptions!$H$68*-CV55,0)</f>
        <v>-336.53486037468195</v>
      </c>
      <c r="CW80" s="123">
        <f ca="1">IF(CW10&lt;=Assumptions!$G$10+1,Assumptions!$H$68*-CW55,0)</f>
        <v>-336.53486037468195</v>
      </c>
      <c r="CX80" s="123">
        <f ca="1">IF(CX10&lt;=Assumptions!$G$10+1,Assumptions!$H$68*-CX55,0)</f>
        <v>-336.53486037468195</v>
      </c>
      <c r="CY80" s="123">
        <f ca="1">IF(CY10&lt;=Assumptions!$G$10+1,Assumptions!$H$68*-CY55,0)</f>
        <v>-336.53486037468195</v>
      </c>
      <c r="CZ80" s="123">
        <f ca="1">IF(CZ10&lt;=Assumptions!$G$10+1,Assumptions!$H$68*-CZ55,0)</f>
        <v>-336.53486037468195</v>
      </c>
      <c r="DA80" s="123">
        <f ca="1">IF(DA10&lt;=Assumptions!$G$10+1,Assumptions!$H$68*-DA55,0)</f>
        <v>-336.53486037468195</v>
      </c>
      <c r="DB80" s="123">
        <f ca="1">IF(DB10&lt;=Assumptions!$G$10+1,Assumptions!$H$68*-DB55,0)</f>
        <v>-336.53486037468195</v>
      </c>
      <c r="DC80" s="123">
        <f ca="1">IF(DC10&lt;=Assumptions!$G$10+1,Assumptions!$H$68*-DC55,0)</f>
        <v>-336.53486037468195</v>
      </c>
      <c r="DD80" s="123">
        <f ca="1">IF(DD10&lt;=Assumptions!$G$10+1,Assumptions!$H$68*-DD55,0)</f>
        <v>-336.53486037468195</v>
      </c>
      <c r="DE80" s="123">
        <f ca="1">IF(DE10&lt;=Assumptions!$G$10+1,Assumptions!$H$68*-DE55,0)</f>
        <v>-336.53486037468195</v>
      </c>
      <c r="DF80" s="123">
        <f ca="1">IF(DF10&lt;=Assumptions!$G$10+1,Assumptions!$H$68*-DF55,0)</f>
        <v>-336.53486037468195</v>
      </c>
      <c r="DG80" s="123">
        <f ca="1">IF(DG10&lt;=Assumptions!$G$10+1,Assumptions!$H$68*-DG55,0)</f>
        <v>-336.53486037468195</v>
      </c>
      <c r="DH80" s="123">
        <f ca="1">IF(DH10&lt;=Assumptions!$G$10+1,Assumptions!$H$68*-DH55,0)</f>
        <v>-346.63090618592236</v>
      </c>
      <c r="DI80" s="123">
        <f>IF(DI10&lt;=Assumptions!$G$10+1,Assumptions!$H$68*-DI55,0)</f>
        <v>0</v>
      </c>
      <c r="DJ80" s="123">
        <f>IF(DJ10&lt;=Assumptions!$G$10+1,Assumptions!$H$68*-DJ55,0)</f>
        <v>0</v>
      </c>
      <c r="DK80" s="123">
        <f>IF(DK10&lt;=Assumptions!$G$10+1,Assumptions!$H$68*-DK55,0)</f>
        <v>0</v>
      </c>
      <c r="DL80" s="123">
        <f>IF(DL10&lt;=Assumptions!$G$10+1,Assumptions!$H$68*-DL55,0)</f>
        <v>0</v>
      </c>
      <c r="DM80" s="123">
        <f>IF(DM10&lt;=Assumptions!$G$10+1,Assumptions!$H$68*-DM55,0)</f>
        <v>0</v>
      </c>
      <c r="DN80" s="123">
        <f>IF(DN10&lt;=Assumptions!$G$10+1,Assumptions!$H$68*-DN55,0)</f>
        <v>0</v>
      </c>
      <c r="DO80" s="123">
        <f>IF(DO10&lt;=Assumptions!$G$10+1,Assumptions!$H$68*-DO55,0)</f>
        <v>0</v>
      </c>
      <c r="DP80" s="123">
        <f>IF(DP10&lt;=Assumptions!$G$10+1,Assumptions!$H$68*-DP55,0)</f>
        <v>0</v>
      </c>
      <c r="DQ80" s="123">
        <f>IF(DQ10&lt;=Assumptions!$G$10+1,Assumptions!$H$68*-DQ55,0)</f>
        <v>0</v>
      </c>
      <c r="DR80" s="123">
        <f>IF(DR10&lt;=Assumptions!$G$10+1,Assumptions!$H$68*-DR55,0)</f>
        <v>0</v>
      </c>
      <c r="DS80" s="123">
        <f>IF(DS10&lt;=Assumptions!$G$10+1,Assumptions!$H$68*-DS55,0)</f>
        <v>0</v>
      </c>
      <c r="DT80" s="123">
        <f>IF(DT10&lt;=Assumptions!$G$10+1,Assumptions!$H$68*-DT55,0)</f>
        <v>0</v>
      </c>
      <c r="DU80" s="123">
        <f>IF(DU10&lt;=Assumptions!$G$10+1,Assumptions!$H$68*-DU55,0)</f>
        <v>0</v>
      </c>
      <c r="DV80" s="123">
        <f>IF(DV10&lt;=Assumptions!$G$10+1,Assumptions!$H$68*-DV55,0)</f>
        <v>0</v>
      </c>
      <c r="DW80" s="123">
        <f>IF(DW10&lt;=Assumptions!$G$10+1,Assumptions!$H$68*-DW55,0)</f>
        <v>0</v>
      </c>
      <c r="DX80" s="123">
        <f>IF(DX10&lt;=Assumptions!$G$10+1,Assumptions!$H$68*-DX55,0)</f>
        <v>0</v>
      </c>
      <c r="DY80" s="123">
        <f>IF(DY10&lt;=Assumptions!$G$10+1,Assumptions!$H$68*-DY55,0)</f>
        <v>0</v>
      </c>
      <c r="DZ80" s="123">
        <f>IF(DZ10&lt;=Assumptions!$G$10+1,Assumptions!$H$68*-DZ55,0)</f>
        <v>0</v>
      </c>
      <c r="EA80" s="123">
        <f>IF(EA10&lt;=Assumptions!$G$10+1,Assumptions!$H$68*-EA55,0)</f>
        <v>0</v>
      </c>
      <c r="EB80" s="123">
        <f>IF(EB10&lt;=Assumptions!$G$10+1,Assumptions!$H$68*-EB55,0)</f>
        <v>0</v>
      </c>
      <c r="EC80" s="123">
        <f>IF(EC10&lt;=Assumptions!$G$10+1,Assumptions!$H$68*-EC55,0)</f>
        <v>0</v>
      </c>
      <c r="ED80" s="123">
        <f>IF(ED10&lt;=Assumptions!$G$10+1,Assumptions!$H$68*-ED55,0)</f>
        <v>0</v>
      </c>
      <c r="EE80" s="123">
        <f>IF(EE10&lt;=Assumptions!$G$10+1,Assumptions!$H$68*-EE55,0)</f>
        <v>0</v>
      </c>
      <c r="EF80" s="123">
        <f>IF(EF10&lt;=Assumptions!$G$10+1,Assumptions!$H$68*-EF55,0)</f>
        <v>0</v>
      </c>
      <c r="EG80" s="123">
        <f>IF(EG10&lt;=Assumptions!$G$10+1,Assumptions!$H$68*-EG55,0)</f>
        <v>0</v>
      </c>
      <c r="EH80" s="123">
        <f>IF(EH10&lt;=Assumptions!$G$10+1,Assumptions!$H$68*-EH55,0)</f>
        <v>0</v>
      </c>
      <c r="EI80" s="123">
        <f>IF(EI10&lt;=Assumptions!$G$10+1,Assumptions!$H$68*-EI55,0)</f>
        <v>0</v>
      </c>
      <c r="EJ80" s="123">
        <f>IF(EJ10&lt;=Assumptions!$G$10+1,Assumptions!$H$68*-EJ55,0)</f>
        <v>0</v>
      </c>
      <c r="EK80" s="123">
        <f>IF(EK10&lt;=Assumptions!$G$10+1,Assumptions!$H$68*-EK55,0)</f>
        <v>0</v>
      </c>
      <c r="EL80" s="123">
        <f>IF(EL10&lt;=Assumptions!$G$10+1,Assumptions!$H$68*-EL55,0)</f>
        <v>0</v>
      </c>
      <c r="EM80" s="123">
        <f>IF(EM10&lt;=Assumptions!$G$10+1,Assumptions!$H$68*-EM55,0)</f>
        <v>0</v>
      </c>
      <c r="EN80" s="123">
        <f>IF(EN10&lt;=Assumptions!$G$10+1,Assumptions!$H$68*-EN55,0)</f>
        <v>0</v>
      </c>
      <c r="EO80" s="123">
        <f>IF(EO10&lt;=Assumptions!$G$10+1,Assumptions!$H$68*-EO55,0)</f>
        <v>0</v>
      </c>
      <c r="EP80" s="123">
        <f>IF(EP10&lt;=Assumptions!$G$10+1,Assumptions!$H$68*-EP55,0)</f>
        <v>0</v>
      </c>
      <c r="EQ80" s="123">
        <f>IF(EQ10&lt;=Assumptions!$G$10+1,Assumptions!$H$68*-EQ55,0)</f>
        <v>0</v>
      </c>
      <c r="ES80" s="421"/>
      <c r="ET80" s="98"/>
      <c r="EU80" s="98"/>
    </row>
    <row r="81" spans="7:151" ht="9" customHeight="1">
      <c r="G81" s="145"/>
      <c r="H81" s="508"/>
      <c r="I81" s="97"/>
      <c r="J81" s="220"/>
      <c r="K81" s="116"/>
      <c r="L81" s="102"/>
      <c r="M81" s="102"/>
      <c r="N81" s="220"/>
      <c r="O81" s="780"/>
      <c r="P81" s="103"/>
      <c r="Q81" s="133"/>
      <c r="R81" s="133"/>
      <c r="S81" s="134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33"/>
      <c r="CQ81" s="133"/>
      <c r="CR81" s="133"/>
      <c r="CS81" s="133"/>
      <c r="CT81" s="133"/>
      <c r="CU81" s="133"/>
      <c r="CV81" s="133"/>
      <c r="CW81" s="133"/>
      <c r="CX81" s="133"/>
      <c r="CY81" s="133"/>
      <c r="CZ81" s="133"/>
      <c r="DA81" s="133"/>
      <c r="DB81" s="133"/>
      <c r="DC81" s="133"/>
      <c r="DD81" s="133"/>
      <c r="DE81" s="133"/>
      <c r="DF81" s="133"/>
      <c r="DG81" s="133"/>
      <c r="DH81" s="133"/>
      <c r="DI81" s="133"/>
      <c r="DJ81" s="133"/>
      <c r="DK81" s="133"/>
      <c r="DL81" s="133"/>
      <c r="DM81" s="133"/>
      <c r="DN81" s="133"/>
      <c r="DO81" s="133"/>
      <c r="DP81" s="133"/>
      <c r="DQ81" s="133"/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  <c r="ES81" s="421"/>
      <c r="ET81" s="98"/>
      <c r="EU81" s="98"/>
    </row>
    <row r="82" spans="7:151" ht="15.75">
      <c r="G82" s="485" t="s">
        <v>35</v>
      </c>
      <c r="H82" s="145"/>
      <c r="I82" s="97"/>
      <c r="J82" s="509"/>
      <c r="K82" s="122"/>
      <c r="L82" s="123"/>
      <c r="M82" s="123"/>
      <c r="N82" s="223">
        <f>SUM(N75:N81)</f>
        <v>189070</v>
      </c>
      <c r="O82" s="785"/>
      <c r="P82" s="104">
        <f ca="1">IF(P10&lt;=Assumptions!$G$10+1,SUM(P75:P81),0)</f>
        <v>16044.999558333333</v>
      </c>
      <c r="Q82" s="104">
        <f ca="1">IF(Q10&lt;=Assumptions!$G$10+1,SUM(Q75:Q81),0)</f>
        <v>8544.9995583333366</v>
      </c>
      <c r="R82" s="104">
        <f ca="1">IF(R10&lt;=Assumptions!$G$10+1,SUM(R75:R81),0)</f>
        <v>-13955.000441666663</v>
      </c>
      <c r="S82" s="104">
        <f ca="1">IF(S10&lt;=Assumptions!$G$10+1,SUM(S75:S81),0)</f>
        <v>-21455.000441666663</v>
      </c>
      <c r="T82" s="104">
        <f ca="1">IF(T10&lt;=Assumptions!$G$10+1,SUM(T75:T81),0)</f>
        <v>16145.712058333334</v>
      </c>
      <c r="U82" s="104">
        <f ca="1">IF(U10&lt;=Assumptions!$G$10+1,SUM(U75:U81),0)</f>
        <v>16548.562058333333</v>
      </c>
      <c r="V82" s="104">
        <f ca="1">IF(V10&lt;=Assumptions!$G$10+1,SUM(V75:V81),0)</f>
        <v>17052.124558333337</v>
      </c>
      <c r="W82" s="104">
        <f ca="1">IF(W10&lt;=Assumptions!$G$10+1,SUM(W75:W81),0)</f>
        <v>17052.124558333337</v>
      </c>
      <c r="X82" s="104">
        <f ca="1">IF(X10&lt;=Assumptions!$G$10+1,SUM(X75:X81),0)</f>
        <v>17052.124558333337</v>
      </c>
      <c r="Y82" s="104">
        <f ca="1">IF(Y10&lt;=Assumptions!$G$10+1,SUM(Y75:Y81),0)</f>
        <v>17052.124558333337</v>
      </c>
      <c r="Z82" s="104">
        <f ca="1">IF(Z10&lt;=Assumptions!$G$10+1,SUM(Z75:Z81),0)</f>
        <v>17052.124558333337</v>
      </c>
      <c r="AA82" s="104">
        <f ca="1">IF(AA10&lt;=Assumptions!$G$10+1,SUM(AA75:AA81),0)</f>
        <v>17052.124558333337</v>
      </c>
      <c r="AB82" s="104">
        <f ca="1">IF(AB10&lt;=Assumptions!$G$10+1,SUM(AB75:AB81),0)</f>
        <v>-20607.420161734113</v>
      </c>
      <c r="AC82" s="104">
        <f ca="1">IF(AC10&lt;=Assumptions!$G$10+1,SUM(AC75:AC81),0)</f>
        <v>-20607.420161734113</v>
      </c>
      <c r="AD82" s="104">
        <f ca="1">IF(AD10&lt;=Assumptions!$G$10+1,SUM(AD75:AD81),0)</f>
        <v>18017.579838265887</v>
      </c>
      <c r="AE82" s="104">
        <f ca="1">IF(AE10&lt;=Assumptions!$G$10+1,SUM(AE75:AE81),0)</f>
        <v>-20063.756217134116</v>
      </c>
      <c r="AF82" s="104">
        <f ca="1">IF(AF10&lt;=Assumptions!$G$10+1,SUM(AF75:AF81),0)</f>
        <v>19104.907727465885</v>
      </c>
      <c r="AG82" s="104">
        <f ca="1">IF(AG10&lt;=Assumptions!$G$10+1,SUM(AG75:AG81),0)</f>
        <v>19104.907727465885</v>
      </c>
      <c r="AH82" s="104">
        <f ca="1">IF(AH10&lt;=Assumptions!$G$10+1,SUM(AH75:AH81),0)</f>
        <v>19648.571672065882</v>
      </c>
      <c r="AI82" s="104">
        <f ca="1">IF(AI10&lt;=Assumptions!$G$10+1,SUM(AI75:AI81),0)</f>
        <v>19648.571672065882</v>
      </c>
      <c r="AJ82" s="104">
        <f ca="1">IF(AJ10&lt;=Assumptions!$G$10+1,SUM(AJ75:AJ81),0)</f>
        <v>19648.571672065882</v>
      </c>
      <c r="AK82" s="104">
        <f ca="1">IF(AK10&lt;=Assumptions!$G$10+1,SUM(AK75:AK81),0)</f>
        <v>19648.571672065882</v>
      </c>
      <c r="AL82" s="104">
        <f ca="1">IF(AL10&lt;=Assumptions!$G$10+1,SUM(AL75:AL81),0)</f>
        <v>19648.571672065882</v>
      </c>
      <c r="AM82" s="104">
        <f ca="1">IF(AM10&lt;=Assumptions!$G$10+1,SUM(AM75:AM81),0)</f>
        <v>19648.571672065882</v>
      </c>
      <c r="AN82" s="104">
        <f ca="1">IF(AN10&lt;=Assumptions!$G$10+1,SUM(AN75:AN81),0)</f>
        <v>20695.926482111317</v>
      </c>
      <c r="AO82" s="104">
        <f ca="1">IF(AO10&lt;=Assumptions!$G$10+1,SUM(AO75:AO81),0)</f>
        <v>20695.926482111317</v>
      </c>
      <c r="AP82" s="104">
        <f ca="1">IF(AP10&lt;=Assumptions!$G$10+1,SUM(AP75:AP81),0)</f>
        <v>20695.926482111317</v>
      </c>
      <c r="AQ82" s="104">
        <f ca="1">IF(AQ10&lt;=Assumptions!$G$10+1,SUM(AQ75:AQ81),0)</f>
        <v>-11131.073517888683</v>
      </c>
      <c r="AR82" s="104">
        <f ca="1">IF(AR10&lt;=Assumptions!$G$10+1,SUM(AR75:AR81),0)</f>
        <v>20695.926482111317</v>
      </c>
      <c r="AS82" s="104">
        <f ca="1">IF(AS10&lt;=Assumptions!$G$10+1,SUM(AS75:AS81),0)</f>
        <v>12739.176482111317</v>
      </c>
      <c r="AT82" s="104">
        <f ca="1">IF(AT10&lt;=Assumptions!$G$10+1,SUM(AT75:AT81),0)</f>
        <v>21150.902100208274</v>
      </c>
      <c r="AU82" s="104">
        <f ca="1">IF(AU10&lt;=Assumptions!$G$10+1,SUM(AU75:AU81),0)</f>
        <v>21150.902100208274</v>
      </c>
      <c r="AV82" s="104">
        <f ca="1">IF(AV10&lt;=Assumptions!$G$10+1,SUM(AV75:AV81),0)</f>
        <v>21264.646004732516</v>
      </c>
      <c r="AW82" s="104">
        <f ca="1">IF(AW10&lt;=Assumptions!$G$10+1,SUM(AW75:AW81),0)</f>
        <v>21264.646004732516</v>
      </c>
      <c r="AX82" s="104">
        <f ca="1">IF(AX10&lt;=Assumptions!$G$10+1,SUM(AX75:AX81),0)</f>
        <v>21264.646004732516</v>
      </c>
      <c r="AY82" s="104">
        <f ca="1">IF(AY10&lt;=Assumptions!$G$10+1,SUM(AY75:AY81),0)</f>
        <v>21264.646004732516</v>
      </c>
      <c r="AZ82" s="104">
        <f ca="1">IF(AZ10&lt;=Assumptions!$G$10+1,SUM(AZ75:AZ81),0)</f>
        <v>21988.804600566182</v>
      </c>
      <c r="BA82" s="104">
        <f ca="1">IF(BA10&lt;=Assumptions!$G$10+1,SUM(BA75:BA81),0)</f>
        <v>21988.804600566182</v>
      </c>
      <c r="BB82" s="104">
        <f ca="1">IF(BB10&lt;=Assumptions!$G$10+1,SUM(BB75:BB81),0)</f>
        <v>21988.804600566182</v>
      </c>
      <c r="BC82" s="104">
        <f ca="1">IF(BC10&lt;=Assumptions!$G$10+1,SUM(BC75:BC81),0)</f>
        <v>21988.804600566182</v>
      </c>
      <c r="BD82" s="104">
        <f ca="1">IF(BD10&lt;=Assumptions!$G$10+1,SUM(BD75:BD81),0)</f>
        <v>21988.804600566182</v>
      </c>
      <c r="BE82" s="104">
        <f ca="1">IF(BE10&lt;=Assumptions!$G$10+1,SUM(BE75:BE81),0)</f>
        <v>21988.804600566182</v>
      </c>
      <c r="BF82" s="104">
        <f ca="1">IF(BF10&lt;=Assumptions!$G$10+1,SUM(BF75:BF81),0)</f>
        <v>21988.804600566182</v>
      </c>
      <c r="BG82" s="104">
        <f ca="1">IF(BG10&lt;=Assumptions!$G$10+1,SUM(BG75:BG81),0)</f>
        <v>21988.804600566182</v>
      </c>
      <c r="BH82" s="104">
        <f ca="1">IF(BH10&lt;=Assumptions!$G$10+1,SUM(BH75:BH81),0)</f>
        <v>21988.804600566182</v>
      </c>
      <c r="BI82" s="104">
        <f ca="1">IF(BI10&lt;=Assumptions!$G$10+1,SUM(BI75:BI81),0)</f>
        <v>21988.804600566182</v>
      </c>
      <c r="BJ82" s="104">
        <f ca="1">IF(BJ10&lt;=Assumptions!$G$10+1,SUM(BJ75:BJ81),0)</f>
        <v>21988.804600566182</v>
      </c>
      <c r="BK82" s="104">
        <f ca="1">IF(BK10&lt;=Assumptions!$G$10+1,SUM(BK75:BK81),0)</f>
        <v>21988.804600566182</v>
      </c>
      <c r="BL82" s="104">
        <f ca="1">IF(BL10&lt;=Assumptions!$G$10+1,SUM(BL75:BL81),0)</f>
        <v>22559.404288773636</v>
      </c>
      <c r="BM82" s="104">
        <f ca="1">IF(BM10&lt;=Assumptions!$G$10+1,SUM(BM75:BM81),0)</f>
        <v>22559.404288773636</v>
      </c>
      <c r="BN82" s="104">
        <f ca="1">IF(BN10&lt;=Assumptions!$G$10+1,SUM(BN75:BN81),0)</f>
        <v>22559.404288773636</v>
      </c>
      <c r="BO82" s="104">
        <f ca="1">IF(BO10&lt;=Assumptions!$G$10+1,SUM(BO75:BO81),0)</f>
        <v>22559.404288773636</v>
      </c>
      <c r="BP82" s="104">
        <f ca="1">IF(BP10&lt;=Assumptions!$G$10+1,SUM(BP75:BP81),0)</f>
        <v>22559.404288773636</v>
      </c>
      <c r="BQ82" s="104">
        <f ca="1">IF(BQ10&lt;=Assumptions!$G$10+1,SUM(BQ75:BQ81),0)</f>
        <v>22559.404288773636</v>
      </c>
      <c r="BR82" s="104">
        <f ca="1">IF(BR10&lt;=Assumptions!$G$10+1,SUM(BR75:BR81),0)</f>
        <v>22559.404288773636</v>
      </c>
      <c r="BS82" s="104">
        <f ca="1">IF(BS10&lt;=Assumptions!$G$10+1,SUM(BS75:BS81),0)</f>
        <v>22559.404288773636</v>
      </c>
      <c r="BT82" s="104">
        <f ca="1">IF(BT10&lt;=Assumptions!$G$10+1,SUM(BT75:BT81),0)</f>
        <v>22559.404288773636</v>
      </c>
      <c r="BU82" s="104">
        <f ca="1">IF(BU10&lt;=Assumptions!$G$10+1,SUM(BU75:BU81),0)</f>
        <v>22559.404288773636</v>
      </c>
      <c r="BV82" s="104">
        <f ca="1">IF(BV10&lt;=Assumptions!$G$10+1,SUM(BV75:BV81),0)</f>
        <v>22559.404288773636</v>
      </c>
      <c r="BW82" s="104">
        <f ca="1">IF(BW10&lt;=Assumptions!$G$10+1,SUM(BW75:BW81),0)</f>
        <v>22559.404288773636</v>
      </c>
      <c r="BX82" s="104">
        <f ca="1">IF(BX10&lt;=Assumptions!$G$10+1,SUM(BX75:BX81),0)</f>
        <v>23236.186417436849</v>
      </c>
      <c r="BY82" s="104">
        <f ca="1">IF(BY10&lt;=Assumptions!$G$10+1,SUM(BY75:BY81),0)</f>
        <v>23236.186417436849</v>
      </c>
      <c r="BZ82" s="104">
        <f ca="1">IF(BZ10&lt;=Assumptions!$G$10+1,SUM(BZ75:BZ81),0)</f>
        <v>23236.186417436849</v>
      </c>
      <c r="CA82" s="104">
        <f ca="1">IF(CA10&lt;=Assumptions!$G$10+1,SUM(CA75:CA81),0)</f>
        <v>23236.186417436849</v>
      </c>
      <c r="CB82" s="104">
        <f ca="1">IF(CB10&lt;=Assumptions!$G$10+1,SUM(CB75:CB81),0)</f>
        <v>23236.186417436849</v>
      </c>
      <c r="CC82" s="104">
        <f ca="1">IF(CC10&lt;=Assumptions!$G$10+1,SUM(CC75:CC81),0)</f>
        <v>23236.186417436849</v>
      </c>
      <c r="CD82" s="104">
        <f ca="1">IF(CD10&lt;=Assumptions!$G$10+1,SUM(CD75:CD81),0)</f>
        <v>23236.186417436849</v>
      </c>
      <c r="CE82" s="104">
        <f ca="1">IF(CE10&lt;=Assumptions!$G$10+1,SUM(CE75:CE81),0)</f>
        <v>23236.186417436849</v>
      </c>
      <c r="CF82" s="104">
        <f ca="1">IF(CF10&lt;=Assumptions!$G$10+1,SUM(CF75:CF81),0)</f>
        <v>23236.186417436849</v>
      </c>
      <c r="CG82" s="104">
        <f ca="1">IF(CG10&lt;=Assumptions!$G$10+1,SUM(CG75:CG81),0)</f>
        <v>23236.186417436849</v>
      </c>
      <c r="CH82" s="104">
        <f ca="1">IF(CH10&lt;=Assumptions!$G$10+1,SUM(CH75:CH81),0)</f>
        <v>23236.186417436849</v>
      </c>
      <c r="CI82" s="104">
        <f ca="1">IF(CI10&lt;=Assumptions!$G$10+1,SUM(CI75:CI81),0)</f>
        <v>23236.186417436849</v>
      </c>
      <c r="CJ82" s="104">
        <f ca="1">IF(CJ10&lt;=Assumptions!$G$10+1,SUM(CJ75:CJ81),0)</f>
        <v>23933.272009959961</v>
      </c>
      <c r="CK82" s="104">
        <f ca="1">IF(CK10&lt;=Assumptions!$G$10+1,SUM(CK75:CK81),0)</f>
        <v>23933.272009959961</v>
      </c>
      <c r="CL82" s="104">
        <f ca="1">IF(CL10&lt;=Assumptions!$G$10+1,SUM(CL75:CL81),0)</f>
        <v>23933.272009959961</v>
      </c>
      <c r="CM82" s="104">
        <f ca="1">IF(CM10&lt;=Assumptions!$G$10+1,SUM(CM75:CM81),0)</f>
        <v>23933.272009959961</v>
      </c>
      <c r="CN82" s="104">
        <f ca="1">IF(CN10&lt;=Assumptions!$G$10+1,SUM(CN75:CN81),0)</f>
        <v>23933.272009959961</v>
      </c>
      <c r="CO82" s="104">
        <f ca="1">IF(CO10&lt;=Assumptions!$G$10+1,SUM(CO75:CO81),0)</f>
        <v>23933.272009959961</v>
      </c>
      <c r="CP82" s="104">
        <f ca="1">IF(CP10&lt;=Assumptions!$G$10+1,SUM(CP75:CP81),0)</f>
        <v>23933.272009959961</v>
      </c>
      <c r="CQ82" s="104">
        <f ca="1">IF(CQ10&lt;=Assumptions!$G$10+1,SUM(CQ75:CQ81),0)</f>
        <v>23933.272009959961</v>
      </c>
      <c r="CR82" s="104">
        <f ca="1">IF(CR10&lt;=Assumptions!$G$10+1,SUM(CR75:CR81),0)</f>
        <v>23933.272009959961</v>
      </c>
      <c r="CS82" s="104">
        <f ca="1">IF(CS10&lt;=Assumptions!$G$10+1,SUM(CS75:CS81),0)</f>
        <v>23933.272009959961</v>
      </c>
      <c r="CT82" s="104">
        <f ca="1">IF(CT10&lt;=Assumptions!$G$10+1,SUM(CT75:CT81),0)</f>
        <v>23933.272009959961</v>
      </c>
      <c r="CU82" s="104">
        <f ca="1">IF(CU10&lt;=Assumptions!$G$10+1,SUM(CU75:CU81),0)</f>
        <v>23933.272009959961</v>
      </c>
      <c r="CV82" s="104">
        <f ca="1">IF(CV10&lt;=Assumptions!$G$10+1,SUM(CV75:CV81),0)</f>
        <v>24651.270170258758</v>
      </c>
      <c r="CW82" s="104">
        <f ca="1">IF(CW10&lt;=Assumptions!$G$10+1,SUM(CW75:CW81),0)</f>
        <v>24651.270170258758</v>
      </c>
      <c r="CX82" s="104">
        <f ca="1">IF(CX10&lt;=Assumptions!$G$10+1,SUM(CX75:CX81),0)</f>
        <v>24651.270170258758</v>
      </c>
      <c r="CY82" s="104">
        <f ca="1">IF(CY10&lt;=Assumptions!$G$10+1,SUM(CY75:CY81),0)</f>
        <v>24651.270170258758</v>
      </c>
      <c r="CZ82" s="104">
        <f ca="1">IF(CZ10&lt;=Assumptions!$G$10+1,SUM(CZ75:CZ81),0)</f>
        <v>24651.270170258758</v>
      </c>
      <c r="DA82" s="104">
        <f ca="1">IF(DA10&lt;=Assumptions!$G$10+1,SUM(DA75:DA81),0)</f>
        <v>24651.270170258758</v>
      </c>
      <c r="DB82" s="104">
        <f ca="1">IF(DB10&lt;=Assumptions!$G$10+1,SUM(DB75:DB81),0)</f>
        <v>24651.270170258758</v>
      </c>
      <c r="DC82" s="104">
        <f ca="1">IF(DC10&lt;=Assumptions!$G$10+1,SUM(DC75:DC81),0)</f>
        <v>24651.270170258758</v>
      </c>
      <c r="DD82" s="104">
        <f ca="1">IF(DD10&lt;=Assumptions!$G$10+1,SUM(DD75:DD81),0)</f>
        <v>24651.270170258758</v>
      </c>
      <c r="DE82" s="104">
        <f ca="1">IF(DE10&lt;=Assumptions!$G$10+1,SUM(DE75:DE81),0)</f>
        <v>24651.270170258758</v>
      </c>
      <c r="DF82" s="104">
        <f ca="1">IF(DF10&lt;=Assumptions!$G$10+1,SUM(DF75:DF81),0)</f>
        <v>24651.270170258758</v>
      </c>
      <c r="DG82" s="104">
        <f ca="1">IF(DG10&lt;=Assumptions!$G$10+1,SUM(DG75:DG81),0)</f>
        <v>24651.270170258758</v>
      </c>
      <c r="DH82" s="104">
        <f ca="1">IF(DH10&lt;=Assumptions!$G$10+1,SUM(DH75:DH81),0)</f>
        <v>25390.808275366519</v>
      </c>
      <c r="DI82" s="104">
        <f>IF(DI10&lt;=Assumptions!$G$10+1,SUM(DI75:DI81),0)</f>
        <v>0</v>
      </c>
      <c r="DJ82" s="104">
        <f>IF(DJ10&lt;=Assumptions!$G$10+1,SUM(DJ75:DJ81),0)</f>
        <v>0</v>
      </c>
      <c r="DK82" s="104">
        <f>IF(DK10&lt;=Assumptions!$G$10+1,SUM(DK75:DK81),0)</f>
        <v>0</v>
      </c>
      <c r="DL82" s="104">
        <f>IF(DL10&lt;=Assumptions!$G$10+1,SUM(DL75:DL81),0)</f>
        <v>0</v>
      </c>
      <c r="DM82" s="104">
        <f>IF(DM10&lt;=Assumptions!$G$10+1,SUM(DM75:DM81),0)</f>
        <v>0</v>
      </c>
      <c r="DN82" s="104">
        <f>IF(DN10&lt;=Assumptions!$G$10+1,SUM(DN75:DN81),0)</f>
        <v>0</v>
      </c>
      <c r="DO82" s="104">
        <f>IF(DO10&lt;=Assumptions!$G$10+1,SUM(DO75:DO81),0)</f>
        <v>0</v>
      </c>
      <c r="DP82" s="104">
        <f>IF(DP10&lt;=Assumptions!$G$10+1,SUM(DP75:DP81),0)</f>
        <v>0</v>
      </c>
      <c r="DQ82" s="104">
        <f>IF(DQ10&lt;=Assumptions!$G$10+1,SUM(DQ75:DQ81),0)</f>
        <v>0</v>
      </c>
      <c r="DR82" s="104">
        <f>IF(DR10&lt;=Assumptions!$G$10+1,SUM(DR75:DR81),0)</f>
        <v>0</v>
      </c>
      <c r="DS82" s="104">
        <f>IF(DS10&lt;=Assumptions!$G$10+1,SUM(DS75:DS81),0)</f>
        <v>0</v>
      </c>
      <c r="DT82" s="104">
        <f>IF(DT10&lt;=Assumptions!$G$10+1,SUM(DT75:DT81),0)</f>
        <v>0</v>
      </c>
      <c r="DU82" s="104">
        <f>IF(DU10&lt;=Assumptions!$G$10+1,SUM(DU75:DU81),0)</f>
        <v>0</v>
      </c>
      <c r="DV82" s="104">
        <f>IF(DV10&lt;=Assumptions!$G$10+1,SUM(DV75:DV81),0)</f>
        <v>0</v>
      </c>
      <c r="DW82" s="104">
        <f>IF(DW10&lt;=Assumptions!$G$10+1,SUM(DW75:DW81),0)</f>
        <v>0</v>
      </c>
      <c r="DX82" s="104">
        <f>IF(DX10&lt;=Assumptions!$G$10+1,SUM(DX75:DX81),0)</f>
        <v>0</v>
      </c>
      <c r="DY82" s="104">
        <f>IF(DY10&lt;=Assumptions!$G$10+1,SUM(DY75:DY81),0)</f>
        <v>0</v>
      </c>
      <c r="DZ82" s="104">
        <f>IF(DZ10&lt;=Assumptions!$G$10+1,SUM(DZ75:DZ81),0)</f>
        <v>0</v>
      </c>
      <c r="EA82" s="104">
        <f>IF(EA10&lt;=Assumptions!$G$10+1,SUM(EA75:EA81),0)</f>
        <v>0</v>
      </c>
      <c r="EB82" s="104">
        <f>IF(EB10&lt;=Assumptions!$G$10+1,SUM(EB75:EB81),0)</f>
        <v>0</v>
      </c>
      <c r="EC82" s="104">
        <f>IF(EC10&lt;=Assumptions!$G$10+1,SUM(EC75:EC81),0)</f>
        <v>0</v>
      </c>
      <c r="ED82" s="104">
        <f>IF(ED10&lt;=Assumptions!$G$10+1,SUM(ED75:ED81),0)</f>
        <v>0</v>
      </c>
      <c r="EE82" s="104">
        <f>IF(EE10&lt;=Assumptions!$G$10+1,SUM(EE75:EE81),0)</f>
        <v>0</v>
      </c>
      <c r="EF82" s="104">
        <f>IF(EF10&lt;=Assumptions!$G$10+1,SUM(EF75:EF81),0)</f>
        <v>0</v>
      </c>
      <c r="EG82" s="104">
        <f>IF(EG10&lt;=Assumptions!$G$10+1,SUM(EG75:EG81),0)</f>
        <v>0</v>
      </c>
      <c r="EH82" s="104">
        <f>IF(EH10&lt;=Assumptions!$G$10+1,SUM(EH75:EH81),0)</f>
        <v>0</v>
      </c>
      <c r="EI82" s="104">
        <f>IF(EI10&lt;=Assumptions!$G$10+1,SUM(EI75:EI81),0)</f>
        <v>0</v>
      </c>
      <c r="EJ82" s="104">
        <f>IF(EJ10&lt;=Assumptions!$G$10+1,SUM(EJ75:EJ81),0)</f>
        <v>0</v>
      </c>
      <c r="EK82" s="104">
        <f>IF(EK10&lt;=Assumptions!$G$10+1,SUM(EK75:EK81),0)</f>
        <v>0</v>
      </c>
      <c r="EL82" s="104">
        <f>IF(EL10&lt;=Assumptions!$G$10+1,SUM(EL75:EL81),0)</f>
        <v>0</v>
      </c>
      <c r="EM82" s="104">
        <f>IF(EM10&lt;=Assumptions!$G$10+1,SUM(EM75:EM81),0)</f>
        <v>0</v>
      </c>
      <c r="EN82" s="104">
        <f>IF(EN10&lt;=Assumptions!$G$10+1,SUM(EN75:EN81),0)</f>
        <v>0</v>
      </c>
      <c r="EO82" s="104">
        <f>IF(EO10&lt;=Assumptions!$G$10+1,SUM(EO75:EO81),0)</f>
        <v>0</v>
      </c>
      <c r="EP82" s="104">
        <f>IF(EP10&lt;=Assumptions!$G$10+1,SUM(EP75:EP81),0)</f>
        <v>0</v>
      </c>
      <c r="EQ82" s="104">
        <f>IF(EQ10&lt;=Assumptions!$G$10+1,SUM(EQ75:EQ81),0)</f>
        <v>0</v>
      </c>
      <c r="ES82" s="421"/>
      <c r="ET82" s="98"/>
      <c r="EU82" s="98"/>
    </row>
    <row r="83" spans="7:151" ht="6.75" customHeight="1">
      <c r="G83" s="94"/>
      <c r="H83" s="117"/>
      <c r="I83" s="95"/>
      <c r="J83" s="102"/>
      <c r="K83" s="102"/>
      <c r="L83" s="102"/>
      <c r="M83" s="102"/>
      <c r="N83" s="102"/>
      <c r="O83" s="102"/>
      <c r="P83" s="102"/>
      <c r="Q83" s="104"/>
      <c r="R83" s="104"/>
      <c r="S83" s="105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4"/>
      <c r="DE83" s="104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  <c r="DP83" s="104"/>
      <c r="DQ83" s="104"/>
      <c r="DR83" s="104"/>
      <c r="DS83" s="104"/>
      <c r="DT83" s="104"/>
      <c r="DU83" s="104"/>
      <c r="DV83" s="104"/>
      <c r="DW83" s="104"/>
      <c r="DX83" s="104"/>
      <c r="DY83" s="104"/>
      <c r="DZ83" s="104"/>
      <c r="EA83" s="104"/>
      <c r="EB83" s="104"/>
      <c r="EC83" s="104"/>
      <c r="ED83" s="104"/>
      <c r="EE83" s="104"/>
      <c r="EF83" s="104"/>
      <c r="EG83" s="104"/>
      <c r="EH83" s="104"/>
      <c r="EI83" s="104"/>
      <c r="EJ83" s="104"/>
      <c r="EK83" s="104"/>
      <c r="EL83" s="104"/>
      <c r="EM83" s="104"/>
      <c r="EN83" s="104"/>
      <c r="EO83" s="104"/>
      <c r="EP83" s="104"/>
      <c r="EQ83" s="104"/>
      <c r="ES83" s="98"/>
      <c r="ET83" s="98"/>
      <c r="EU83" s="98"/>
    </row>
    <row r="84" spans="7:151" ht="15.75">
      <c r="G84" s="94"/>
      <c r="H84" s="117"/>
      <c r="I84" s="95"/>
      <c r="J84" s="102"/>
      <c r="K84" s="102"/>
      <c r="L84" s="102"/>
      <c r="M84" s="102"/>
      <c r="N84" s="102"/>
      <c r="O84" s="102"/>
      <c r="P84" s="102"/>
      <c r="Q84" s="104"/>
      <c r="R84" s="104"/>
      <c r="S84" s="105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  <c r="DM84" s="104"/>
      <c r="DN84" s="104"/>
      <c r="DO84" s="104"/>
      <c r="DP84" s="104"/>
      <c r="DQ84" s="104"/>
      <c r="DR84" s="104"/>
      <c r="DS84" s="104"/>
      <c r="DT84" s="104"/>
      <c r="DU84" s="104"/>
      <c r="DV84" s="104"/>
      <c r="DW84" s="104"/>
      <c r="DX84" s="104"/>
      <c r="DY84" s="104"/>
      <c r="DZ84" s="104"/>
      <c r="EA84" s="104"/>
      <c r="EB84" s="104"/>
      <c r="EC84" s="104"/>
      <c r="ED84" s="104"/>
      <c r="EE84" s="104"/>
      <c r="EF84" s="104"/>
      <c r="EG84" s="104"/>
      <c r="EH84" s="104"/>
      <c r="EI84" s="104"/>
      <c r="EJ84" s="104"/>
      <c r="EK84" s="104"/>
      <c r="EL84" s="104"/>
      <c r="EM84" s="104"/>
      <c r="EN84" s="104"/>
      <c r="EO84" s="104"/>
      <c r="EP84" s="104"/>
      <c r="EQ84" s="104"/>
      <c r="ES84" s="98"/>
      <c r="ET84" s="98"/>
      <c r="EU84" s="98"/>
    </row>
    <row r="85" spans="7:151" ht="15.75">
      <c r="G85" s="187" t="s">
        <v>157</v>
      </c>
      <c r="H85" s="236"/>
      <c r="I85" s="182"/>
      <c r="J85" s="140"/>
      <c r="K85" s="102"/>
      <c r="L85" s="102"/>
      <c r="M85" s="102"/>
      <c r="N85" s="102"/>
      <c r="O85" s="102"/>
      <c r="P85" s="102"/>
      <c r="Q85" s="104"/>
      <c r="R85" s="104"/>
      <c r="S85" s="105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  <c r="CY85" s="104"/>
      <c r="CZ85" s="104"/>
      <c r="DA85" s="104"/>
      <c r="DB85" s="104"/>
      <c r="DC85" s="104"/>
      <c r="DD85" s="104"/>
      <c r="DE85" s="104"/>
      <c r="DF85" s="104"/>
      <c r="DG85" s="104"/>
      <c r="DH85" s="104"/>
      <c r="DI85" s="104"/>
      <c r="DJ85" s="104"/>
      <c r="DK85" s="104"/>
      <c r="DL85" s="104"/>
      <c r="DM85" s="104"/>
      <c r="DN85" s="104"/>
      <c r="DO85" s="104"/>
      <c r="DP85" s="104"/>
      <c r="DQ85" s="104"/>
      <c r="DR85" s="104"/>
      <c r="DS85" s="104"/>
      <c r="DT85" s="104"/>
      <c r="DU85" s="104"/>
      <c r="DV85" s="104"/>
      <c r="DW85" s="104"/>
      <c r="DX85" s="104"/>
      <c r="DY85" s="104"/>
      <c r="DZ85" s="104"/>
      <c r="EA85" s="104"/>
      <c r="EB85" s="104"/>
      <c r="EC85" s="104"/>
      <c r="ED85" s="104"/>
      <c r="EE85" s="104"/>
      <c r="EF85" s="104"/>
      <c r="EG85" s="104"/>
      <c r="EH85" s="104"/>
      <c r="EI85" s="104"/>
      <c r="EJ85" s="104"/>
      <c r="EK85" s="104"/>
      <c r="EL85" s="104"/>
      <c r="EM85" s="104"/>
      <c r="EN85" s="104"/>
      <c r="EO85" s="104"/>
      <c r="EP85" s="104"/>
      <c r="EQ85" s="104"/>
      <c r="ES85" s="98"/>
      <c r="ET85" s="98"/>
      <c r="EU85" s="98"/>
    </row>
    <row r="86" spans="7:151" ht="15.75">
      <c r="G86" s="101"/>
      <c r="H86" s="117" t="s">
        <v>178</v>
      </c>
      <c r="I86" s="95"/>
      <c r="J86" s="102"/>
      <c r="K86" s="102"/>
      <c r="L86" s="102"/>
      <c r="M86" s="102"/>
      <c r="N86" s="102"/>
      <c r="O86" s="102">
        <f>IF(O9=Assumptions!$C$8,-Assumptions!$P$37,0)</f>
        <v>-2894896.8</v>
      </c>
      <c r="P86" s="102">
        <f>IF(P10=Assumptions!C8,-Assumptions!$P$37,0)</f>
        <v>0</v>
      </c>
      <c r="Q86" s="102">
        <f>IF(Q10=Assumptions!$H$8,-Assumptions!$P$37,0)</f>
        <v>0</v>
      </c>
      <c r="R86" s="102">
        <f>IF(R10=Assumptions!$H$8,-Assumptions!$P$37,0)</f>
        <v>0</v>
      </c>
      <c r="S86" s="102">
        <f>IF(S10=Assumptions!$H$8,-Assumptions!$P$37,0)</f>
        <v>0</v>
      </c>
      <c r="T86" s="102">
        <f>IF(T10=Assumptions!$H$8,-Assumptions!$P$37,0)</f>
        <v>0</v>
      </c>
      <c r="U86" s="102">
        <f>IF(U10=Assumptions!$H$8,-Assumptions!$P$37,0)</f>
        <v>0</v>
      </c>
      <c r="V86" s="102">
        <f>IF(V10=Assumptions!$H$8,-Assumptions!$P$37,0)</f>
        <v>0</v>
      </c>
      <c r="W86" s="102">
        <f>IF(W10=Assumptions!$H$8,-Assumptions!$P$37,0)</f>
        <v>0</v>
      </c>
      <c r="X86" s="102">
        <f>IF(X10=Assumptions!$H$8,-Assumptions!$P$37,0)</f>
        <v>0</v>
      </c>
      <c r="Y86" s="102">
        <f>IF(Y10=Assumptions!$H$8,-Assumptions!$P$37,0)</f>
        <v>0</v>
      </c>
      <c r="Z86" s="102">
        <f>IF(Z10=Assumptions!$H$8,-Assumptions!$P$37,0)</f>
        <v>0</v>
      </c>
      <c r="AA86" s="102">
        <f>IF(AA10=Assumptions!$H$8,-Assumptions!$P$37,0)</f>
        <v>0</v>
      </c>
      <c r="AB86" s="102">
        <f>IF(AB10=Assumptions!$H$8,-Assumptions!$P$37,0)</f>
        <v>0</v>
      </c>
      <c r="AC86" s="102">
        <f>IF(AC10=Assumptions!$H$8,-Assumptions!$P$37,0)</f>
        <v>0</v>
      </c>
      <c r="AD86" s="102">
        <f>IF(AD10=Assumptions!$H$8,-Assumptions!$P$37,0)</f>
        <v>0</v>
      </c>
      <c r="AE86" s="102">
        <f>IF(AE10=Assumptions!$H$8,-Assumptions!$P$37,0)</f>
        <v>0</v>
      </c>
      <c r="AF86" s="102">
        <f>IF(AF10=Assumptions!$H$8,-Assumptions!$P$37,0)</f>
        <v>0</v>
      </c>
      <c r="AG86" s="102">
        <f>IF(AG10=Assumptions!$H$8,-Assumptions!$P$37,0)</f>
        <v>0</v>
      </c>
      <c r="AH86" s="102">
        <f>IF(AH10=Assumptions!$H$8,-Assumptions!$P$37,0)</f>
        <v>0</v>
      </c>
      <c r="AI86" s="102">
        <f>IF(AI10=Assumptions!$H$8,-Assumptions!$P$37,0)</f>
        <v>0</v>
      </c>
      <c r="AJ86" s="102">
        <f>IF(AJ10=Assumptions!$H$8,-Assumptions!$P$37,0)</f>
        <v>0</v>
      </c>
      <c r="AK86" s="102">
        <f>IF(AK10=Assumptions!$H$8,-Assumptions!$P$37,0)</f>
        <v>0</v>
      </c>
      <c r="AL86" s="102">
        <f>IF(AL10=Assumptions!$H$8,-Assumptions!$P$37,0)</f>
        <v>0</v>
      </c>
      <c r="AM86" s="102">
        <f>IF(AM10=Assumptions!$H$8,-Assumptions!$P$37,0)</f>
        <v>0</v>
      </c>
      <c r="AN86" s="102">
        <f>IF(AN10=Assumptions!$H$8,-Assumptions!$P$37,0)</f>
        <v>0</v>
      </c>
      <c r="AO86" s="102">
        <f>IF(AO10=Assumptions!$H$8,-Assumptions!$P$37,0)</f>
        <v>0</v>
      </c>
      <c r="AP86" s="102">
        <f>IF(AP10=Assumptions!$H$8,-Assumptions!$P$37,0)</f>
        <v>0</v>
      </c>
      <c r="AQ86" s="102">
        <f>IF(AQ10=Assumptions!$H$8,-Assumptions!$P$37,0)</f>
        <v>0</v>
      </c>
      <c r="AR86" s="102">
        <f>IF(AR10=Assumptions!$H$8,-Assumptions!$P$37,0)</f>
        <v>0</v>
      </c>
      <c r="AS86" s="102">
        <f>IF(AS10=Assumptions!$H$8,-Assumptions!$P$37,0)</f>
        <v>0</v>
      </c>
      <c r="AT86" s="102">
        <f>IF(AT10=Assumptions!$H$8,-Assumptions!$P$37,0)</f>
        <v>0</v>
      </c>
      <c r="AU86" s="102">
        <f>IF(AU10=Assumptions!$H$8,-Assumptions!$P$37,0)</f>
        <v>0</v>
      </c>
      <c r="AV86" s="102">
        <f>IF(AV10=Assumptions!$H$8,-Assumptions!$P$37,0)</f>
        <v>0</v>
      </c>
      <c r="AW86" s="102">
        <f>IF(AW10=Assumptions!$H$8,-Assumptions!$P$37,0)</f>
        <v>0</v>
      </c>
      <c r="AX86" s="102">
        <f>IF(AX10=Assumptions!$H$8,-Assumptions!$P$37,0)</f>
        <v>0</v>
      </c>
      <c r="AY86" s="102">
        <f>IF(AY10=Assumptions!$H$8,-Assumptions!$P$37,0)</f>
        <v>0</v>
      </c>
      <c r="AZ86" s="102">
        <f>IF(AZ10=Assumptions!$H$8,-Assumptions!$P$37,0)</f>
        <v>0</v>
      </c>
      <c r="BA86" s="102">
        <f>IF(BA10=Assumptions!$H$8,-Assumptions!$P$37,0)</f>
        <v>0</v>
      </c>
      <c r="BB86" s="102">
        <f>IF(BB10=Assumptions!$H$8,-Assumptions!$P$37,0)</f>
        <v>0</v>
      </c>
      <c r="BC86" s="102">
        <f>IF(BC10=Assumptions!$H$8,-Assumptions!$P$37,0)</f>
        <v>0</v>
      </c>
      <c r="BD86" s="102">
        <f>IF(BD10=Assumptions!$H$8,-Assumptions!$P$37,0)</f>
        <v>0</v>
      </c>
      <c r="BE86" s="102">
        <f>IF(BE10=Assumptions!$H$8,-Assumptions!$P$37,0)</f>
        <v>0</v>
      </c>
      <c r="BF86" s="102">
        <f>IF(BF10=Assumptions!$H$8,-Assumptions!$P$37,0)</f>
        <v>0</v>
      </c>
      <c r="BG86" s="102">
        <f>IF(BG10=Assumptions!$H$8,-Assumptions!$P$37,0)</f>
        <v>0</v>
      </c>
      <c r="BH86" s="102">
        <f>IF(BH10=Assumptions!$H$8,-Assumptions!$P$37,0)</f>
        <v>0</v>
      </c>
      <c r="BI86" s="102">
        <f>IF(BI10=Assumptions!$H$8,-Assumptions!$P$37,0)</f>
        <v>0</v>
      </c>
      <c r="BJ86" s="102">
        <f>IF(BJ10=Assumptions!$H$8,-Assumptions!$P$37,0)</f>
        <v>0</v>
      </c>
      <c r="BK86" s="102">
        <f>IF(BK10=Assumptions!$H$8,-Assumptions!$P$37,0)</f>
        <v>0</v>
      </c>
      <c r="BL86" s="102">
        <f>IF(BL10=Assumptions!$H$8,-Assumptions!$P$37,0)</f>
        <v>0</v>
      </c>
      <c r="BM86" s="102">
        <f>IF(BM10=Assumptions!$H$8,-Assumptions!$P$37,0)</f>
        <v>0</v>
      </c>
      <c r="BN86" s="102">
        <f>IF(BN10=Assumptions!$H$8,-Assumptions!$P$37,0)</f>
        <v>0</v>
      </c>
      <c r="BO86" s="102">
        <f>IF(BO10=Assumptions!$H$8,-Assumptions!$P$37,0)</f>
        <v>0</v>
      </c>
      <c r="BP86" s="102">
        <f>IF(BP10=Assumptions!$H$8,-Assumptions!$P$37,0)</f>
        <v>0</v>
      </c>
      <c r="BQ86" s="102">
        <f>IF(BQ10=Assumptions!$H$8,-Assumptions!$P$37,0)</f>
        <v>0</v>
      </c>
      <c r="BR86" s="102">
        <f>IF(BR10=Assumptions!$H$8,-Assumptions!$P$37,0)</f>
        <v>0</v>
      </c>
      <c r="BS86" s="102">
        <f>IF(BS10=Assumptions!$H$8,-Assumptions!$P$37,0)</f>
        <v>0</v>
      </c>
      <c r="BT86" s="102">
        <f>IF(BT10=Assumptions!$H$8,-Assumptions!$P$37,0)</f>
        <v>0</v>
      </c>
      <c r="BU86" s="102">
        <f>IF(BU10=Assumptions!$H$8,-Assumptions!$P$37,0)</f>
        <v>0</v>
      </c>
      <c r="BV86" s="102">
        <f>IF(BV10=Assumptions!$H$8,-Assumptions!$P$37,0)</f>
        <v>0</v>
      </c>
      <c r="BW86" s="102">
        <f>IF(BW10=Assumptions!$H$8,-Assumptions!$P$37,0)</f>
        <v>0</v>
      </c>
      <c r="BX86" s="102">
        <f>IF(BX10=Assumptions!$H$8,-Assumptions!$P$37,0)</f>
        <v>0</v>
      </c>
      <c r="BY86" s="102">
        <f>IF(BY10=Assumptions!$H$8,-Assumptions!$P$37,0)</f>
        <v>0</v>
      </c>
      <c r="BZ86" s="102">
        <f>IF(BZ10=Assumptions!$H$8,-Assumptions!$P$37,0)</f>
        <v>0</v>
      </c>
      <c r="CA86" s="102">
        <f>IF(CA10=Assumptions!$H$8,-Assumptions!$P$37,0)</f>
        <v>0</v>
      </c>
      <c r="CB86" s="102">
        <f>IF(CB10=Assumptions!$H$8,-Assumptions!$P$37,0)</f>
        <v>0</v>
      </c>
      <c r="CC86" s="102">
        <f>IF(CC10=Assumptions!$H$8,-Assumptions!$P$37,0)</f>
        <v>0</v>
      </c>
      <c r="CD86" s="102">
        <f>IF(CD10=Assumptions!$H$8,-Assumptions!$P$37,0)</f>
        <v>0</v>
      </c>
      <c r="CE86" s="102">
        <f>IF(CE10=Assumptions!$H$8,-Assumptions!$P$37,0)</f>
        <v>0</v>
      </c>
      <c r="CF86" s="102">
        <f>IF(CF10=Assumptions!$H$8,-Assumptions!$P$37,0)</f>
        <v>0</v>
      </c>
      <c r="CG86" s="102">
        <f>IF(CG10=Assumptions!$H$8,-Assumptions!$P$37,0)</f>
        <v>0</v>
      </c>
      <c r="CH86" s="102">
        <f>IF(CH10=Assumptions!$H$8,-Assumptions!$P$37,0)</f>
        <v>0</v>
      </c>
      <c r="CI86" s="102">
        <f>IF(CI10=Assumptions!$H$8,-Assumptions!$P$37,0)</f>
        <v>0</v>
      </c>
      <c r="CJ86" s="102">
        <f>IF(CJ10=Assumptions!$H$8,-Assumptions!$P$37,0)</f>
        <v>0</v>
      </c>
      <c r="CK86" s="102">
        <f>IF(CK10=Assumptions!$H$8,-Assumptions!$P$37,0)</f>
        <v>0</v>
      </c>
      <c r="CL86" s="102">
        <f>IF(CL10=Assumptions!$H$8,-Assumptions!$P$37,0)</f>
        <v>0</v>
      </c>
      <c r="CM86" s="102">
        <f>IF(CM10=Assumptions!$H$8,-Assumptions!$P$37,0)</f>
        <v>0</v>
      </c>
      <c r="CN86" s="102">
        <f>IF(CN10=Assumptions!$H$8,-Assumptions!$P$37,0)</f>
        <v>0</v>
      </c>
      <c r="CO86" s="102">
        <f>IF(CO10=Assumptions!$H$8,-Assumptions!$P$37,0)</f>
        <v>0</v>
      </c>
      <c r="CP86" s="102">
        <f>IF(CP10=Assumptions!$H$8,-Assumptions!$P$37,0)</f>
        <v>0</v>
      </c>
      <c r="CQ86" s="102">
        <f>IF(CQ10=Assumptions!$H$8,-Assumptions!$P$37,0)</f>
        <v>0</v>
      </c>
      <c r="CR86" s="102">
        <f>IF(CR10=Assumptions!$H$8,-Assumptions!$P$37,0)</f>
        <v>0</v>
      </c>
      <c r="CS86" s="102">
        <f>IF(CS10=Assumptions!$H$8,-Assumptions!$P$37,0)</f>
        <v>0</v>
      </c>
      <c r="CT86" s="102">
        <f>IF(CT10=Assumptions!$H$8,-Assumptions!$P$37,0)</f>
        <v>0</v>
      </c>
      <c r="CU86" s="102">
        <f>IF(CU10=Assumptions!$H$8,-Assumptions!$P$37,0)</f>
        <v>0</v>
      </c>
      <c r="CV86" s="102">
        <f>IF(CV10=Assumptions!$H$8,-Assumptions!$P$37,0)</f>
        <v>0</v>
      </c>
      <c r="CW86" s="102">
        <f>IF(CW10=Assumptions!$H$8,-Assumptions!$P$37,0)</f>
        <v>0</v>
      </c>
      <c r="CX86" s="102">
        <f>IF(CX10=Assumptions!$H$8,-Assumptions!$P$37,0)</f>
        <v>0</v>
      </c>
      <c r="CY86" s="102">
        <f>IF(CY10=Assumptions!$H$8,-Assumptions!$P$37,0)</f>
        <v>0</v>
      </c>
      <c r="CZ86" s="102">
        <f>IF(CZ10=Assumptions!$H$8,-Assumptions!$P$37,0)</f>
        <v>0</v>
      </c>
      <c r="DA86" s="102">
        <f>IF(DA10=Assumptions!$H$8,-Assumptions!$P$37,0)</f>
        <v>0</v>
      </c>
      <c r="DB86" s="102">
        <f>IF(DB10=Assumptions!$H$8,-Assumptions!$P$37,0)</f>
        <v>0</v>
      </c>
      <c r="DC86" s="102">
        <f>IF(DC10=Assumptions!$H$8,-Assumptions!$P$37,0)</f>
        <v>0</v>
      </c>
      <c r="DD86" s="102">
        <f>IF(DD10=Assumptions!$H$8,-Assumptions!$P$37,0)</f>
        <v>0</v>
      </c>
      <c r="DE86" s="102">
        <f>IF(DE10=Assumptions!$H$8,-Assumptions!$P$37,0)</f>
        <v>0</v>
      </c>
      <c r="DF86" s="102">
        <f>IF(DF10=Assumptions!$H$8,-Assumptions!$P$37,0)</f>
        <v>0</v>
      </c>
      <c r="DG86" s="102">
        <f>IF(DG10=Assumptions!$H$8,-Assumptions!$P$37,0)</f>
        <v>0</v>
      </c>
      <c r="DH86" s="102">
        <f>IF(DH10=Assumptions!$H$8,-Assumptions!$P$37,0)</f>
        <v>0</v>
      </c>
      <c r="DI86" s="102">
        <f>IF(DI10=Assumptions!$H$8,-Assumptions!$P$37,0)</f>
        <v>0</v>
      </c>
      <c r="DJ86" s="102">
        <f>IF(DJ10=Assumptions!$H$8,-Assumptions!$P$37,0)</f>
        <v>0</v>
      </c>
      <c r="DK86" s="102">
        <f>IF(DK10=Assumptions!$H$8,-Assumptions!$P$37,0)</f>
        <v>0</v>
      </c>
      <c r="DL86" s="102">
        <f>IF(DL10=Assumptions!$H$8,-Assumptions!$P$37,0)</f>
        <v>0</v>
      </c>
      <c r="DM86" s="102">
        <f>IF(DM10=Assumptions!$H$8,-Assumptions!$P$37,0)</f>
        <v>0</v>
      </c>
      <c r="DN86" s="102">
        <f>IF(DN10=Assumptions!$H$8,-Assumptions!$P$37,0)</f>
        <v>0</v>
      </c>
      <c r="DO86" s="102">
        <f>IF(DO10=Assumptions!$H$8,-Assumptions!$P$37,0)</f>
        <v>0</v>
      </c>
      <c r="DP86" s="102">
        <f>IF(DP10=Assumptions!$H$8,-Assumptions!$P$37,0)</f>
        <v>0</v>
      </c>
      <c r="DQ86" s="102">
        <f>IF(DQ10=Assumptions!$H$8,-Assumptions!$P$37,0)</f>
        <v>0</v>
      </c>
      <c r="DR86" s="102">
        <f>IF(DR10=Assumptions!$H$8,-Assumptions!$P$37,0)</f>
        <v>0</v>
      </c>
      <c r="DS86" s="102">
        <f>IF(DS10=Assumptions!$H$8,-Assumptions!$P$37,0)</f>
        <v>0</v>
      </c>
      <c r="DT86" s="102">
        <f>IF(DT10=Assumptions!$H$8,-Assumptions!$P$37,0)</f>
        <v>0</v>
      </c>
      <c r="DU86" s="102">
        <f>IF(DU10=Assumptions!$H$8,-Assumptions!$P$37,0)</f>
        <v>0</v>
      </c>
      <c r="DV86" s="102">
        <f>IF(DV10=Assumptions!$H$8,-Assumptions!$P$37,0)</f>
        <v>0</v>
      </c>
      <c r="DW86" s="102">
        <f>IF(DW10=Assumptions!$H$8,-Assumptions!$P$37,0)</f>
        <v>0</v>
      </c>
      <c r="DX86" s="102">
        <f>IF(DX10=Assumptions!$H$8,-Assumptions!$P$37,0)</f>
        <v>0</v>
      </c>
      <c r="DY86" s="102">
        <f>IF(DY10=Assumptions!$H$8,-Assumptions!$P$37,0)</f>
        <v>0</v>
      </c>
      <c r="DZ86" s="102">
        <f>IF(DZ10=Assumptions!$H$8,-Assumptions!$P$37,0)</f>
        <v>0</v>
      </c>
      <c r="EA86" s="102">
        <f>IF(EA10=Assumptions!$H$8,-Assumptions!$P$37,0)</f>
        <v>0</v>
      </c>
      <c r="EB86" s="102">
        <f>IF(EB10=Assumptions!$H$8,-Assumptions!$P$37,0)</f>
        <v>0</v>
      </c>
      <c r="EC86" s="102">
        <f>IF(EC10=Assumptions!$H$8,-Assumptions!$P$37,0)</f>
        <v>0</v>
      </c>
      <c r="ED86" s="102">
        <f>IF(ED10=Assumptions!$H$8,-Assumptions!$P$37,0)</f>
        <v>0</v>
      </c>
      <c r="EE86" s="102">
        <f>IF(EE10=Assumptions!$H$8,-Assumptions!$P$37,0)</f>
        <v>0</v>
      </c>
      <c r="EF86" s="102">
        <f>IF(EF10=Assumptions!$H$8,-Assumptions!$P$37,0)</f>
        <v>0</v>
      </c>
      <c r="EG86" s="102">
        <f>IF(EG10=Assumptions!$H$8,-Assumptions!$P$37,0)</f>
        <v>0</v>
      </c>
      <c r="EH86" s="102">
        <f>IF(EH10=Assumptions!$H$8,-Assumptions!$P$37,0)</f>
        <v>0</v>
      </c>
      <c r="EI86" s="102">
        <f>IF(EI10=Assumptions!$H$8,-Assumptions!$P$37,0)</f>
        <v>0</v>
      </c>
      <c r="EJ86" s="102">
        <f>IF(EJ10=Assumptions!$H$8,-Assumptions!$P$37,0)</f>
        <v>0</v>
      </c>
      <c r="EK86" s="102">
        <f>IF(EK10=Assumptions!$H$8,-Assumptions!$P$37,0)</f>
        <v>0</v>
      </c>
      <c r="EL86" s="102">
        <f>IF(EL10=Assumptions!$H$8,-Assumptions!$P$37,0)</f>
        <v>0</v>
      </c>
      <c r="EM86" s="102">
        <f>IF(EM10=Assumptions!$H$8,-Assumptions!$P$37,0)</f>
        <v>0</v>
      </c>
      <c r="EN86" s="102">
        <f>IF(EN10=Assumptions!$H$8,-Assumptions!$P$37,0)</f>
        <v>0</v>
      </c>
      <c r="EO86" s="102">
        <f>IF(EO10=Assumptions!$H$8,-Assumptions!$P$37,0)</f>
        <v>0</v>
      </c>
      <c r="EP86" s="102">
        <f>IF(EP10=Assumptions!$H$8,-Assumptions!$P$37,0)</f>
        <v>0</v>
      </c>
      <c r="EQ86" s="102">
        <f>IF(EQ10=Assumptions!$H$8,-Assumptions!$P$37,0)</f>
        <v>0</v>
      </c>
      <c r="ES86" s="98"/>
      <c r="ET86" s="98"/>
      <c r="EU86" s="98"/>
    </row>
    <row r="87" spans="7:151" ht="15.75">
      <c r="H87" s="94" t="s">
        <v>247</v>
      </c>
      <c r="I87" s="95"/>
      <c r="J87" s="102"/>
      <c r="K87" s="102"/>
      <c r="L87" s="102"/>
      <c r="M87" s="102"/>
      <c r="N87" s="102">
        <f ca="1">SUM(O87:EQ87)</f>
        <v>4410976.4252859643</v>
      </c>
      <c r="O87" s="102">
        <f>IF(O10=Assumptions!$G$10,SUM('Annual Cash Flow'!$E$66:$P$66),0)</f>
        <v>0</v>
      </c>
      <c r="P87" s="102">
        <f>IF(P10=Assumptions!$G$10,SUM('Annual Cash Flow'!$E$66:$P$66),0)</f>
        <v>0</v>
      </c>
      <c r="Q87" s="102">
        <f>IF(Q10=Assumptions!$G$10,SUM('Annual Cash Flow'!$E$66:$P$66),0)</f>
        <v>0</v>
      </c>
      <c r="R87" s="102">
        <f>IF(R10=Assumptions!$G$10,SUM('Annual Cash Flow'!$E$66:$P$66),0)</f>
        <v>0</v>
      </c>
      <c r="S87" s="102">
        <f>IF(S10=Assumptions!$G$10,SUM('Annual Cash Flow'!$E$66:$P$66),0)</f>
        <v>0</v>
      </c>
      <c r="T87" s="102">
        <f>IF(T10=Assumptions!$G$10,SUM('Annual Cash Flow'!$E$66:$P$66),0)</f>
        <v>0</v>
      </c>
      <c r="U87" s="102">
        <f>IF(U10=Assumptions!$G$10,SUM('Annual Cash Flow'!$E$66:$P$66),0)</f>
        <v>0</v>
      </c>
      <c r="V87" s="102">
        <f>IF(V10=Assumptions!$G$10,SUM('Annual Cash Flow'!$E$66:$P$66),0)</f>
        <v>0</v>
      </c>
      <c r="W87" s="102">
        <f>IF(W10=Assumptions!$G$10,SUM('Annual Cash Flow'!$E$66:$P$66),0)</f>
        <v>0</v>
      </c>
      <c r="X87" s="102">
        <f>IF(X10=Assumptions!$G$10,SUM('Annual Cash Flow'!$E$66:$P$66),0)</f>
        <v>0</v>
      </c>
      <c r="Y87" s="102">
        <f>IF(Y10=Assumptions!$G$10,SUM('Annual Cash Flow'!$E$66:$P$66),0)</f>
        <v>0</v>
      </c>
      <c r="Z87" s="102">
        <f>IF(Z10=Assumptions!$G$10,SUM('Annual Cash Flow'!$E$66:$P$66),0)</f>
        <v>0</v>
      </c>
      <c r="AA87" s="102">
        <f>IF(AA10=Assumptions!$G$10,SUM('Annual Cash Flow'!$E$66:$P$66),0)</f>
        <v>0</v>
      </c>
      <c r="AB87" s="102">
        <f>IF(AB10=Assumptions!$G$10,SUM('Annual Cash Flow'!$E$66:$P$66),0)</f>
        <v>0</v>
      </c>
      <c r="AC87" s="102">
        <f>IF(AC10=Assumptions!$G$10,SUM('Annual Cash Flow'!$E$66:$P$66),0)</f>
        <v>0</v>
      </c>
      <c r="AD87" s="102">
        <f>IF(AD10=Assumptions!$G$10,SUM('Annual Cash Flow'!$E$66:$P$66),0)</f>
        <v>0</v>
      </c>
      <c r="AE87" s="102">
        <f>IF(AE10=Assumptions!$G$10,SUM('Annual Cash Flow'!$E$66:$P$66),0)</f>
        <v>0</v>
      </c>
      <c r="AF87" s="102">
        <f>IF(AF10=Assumptions!$G$10,SUM('Annual Cash Flow'!$E$66:$P$66),0)</f>
        <v>0</v>
      </c>
      <c r="AG87" s="102">
        <f>IF(AG10=Assumptions!$G$10,SUM('Annual Cash Flow'!$E$66:$P$66),0)</f>
        <v>0</v>
      </c>
      <c r="AH87" s="102">
        <f>IF(AH10=Assumptions!$G$10,SUM('Annual Cash Flow'!$E$66:$P$66),0)</f>
        <v>0</v>
      </c>
      <c r="AI87" s="102">
        <f>IF(AI10=Assumptions!$G$10,SUM('Annual Cash Flow'!$E$66:$P$66),0)</f>
        <v>0</v>
      </c>
      <c r="AJ87" s="102">
        <f>IF(AJ10=Assumptions!$G$10,SUM('Annual Cash Flow'!$E$66:$P$66),0)</f>
        <v>0</v>
      </c>
      <c r="AK87" s="102">
        <f>IF(AK10=Assumptions!$G$10,SUM('Annual Cash Flow'!$E$66:$P$66),0)</f>
        <v>0</v>
      </c>
      <c r="AL87" s="102">
        <f>IF(AL10=Assumptions!$G$10,SUM('Annual Cash Flow'!$E$66:$P$66),0)</f>
        <v>0</v>
      </c>
      <c r="AM87" s="102">
        <f>IF(AM10=Assumptions!$G$10,SUM('Annual Cash Flow'!$E$66:$P$66),0)</f>
        <v>0</v>
      </c>
      <c r="AN87" s="102">
        <f>IF(AN10=Assumptions!$G$10,SUM('Annual Cash Flow'!$E$66:$P$66),0)</f>
        <v>0</v>
      </c>
      <c r="AO87" s="102">
        <f>IF(AO10=Assumptions!$G$10,SUM('Annual Cash Flow'!$E$66:$P$66),0)</f>
        <v>0</v>
      </c>
      <c r="AP87" s="102">
        <f>IF(AP10=Assumptions!$G$10,SUM('Annual Cash Flow'!$E$66:$P$66),0)</f>
        <v>0</v>
      </c>
      <c r="AQ87" s="102">
        <f>IF(AQ10=Assumptions!$G$10,SUM('Annual Cash Flow'!$E$66:$P$66),0)</f>
        <v>0</v>
      </c>
      <c r="AR87" s="102">
        <f>IF(AR10=Assumptions!$G$10,SUM('Annual Cash Flow'!$E$66:$P$66),0)</f>
        <v>0</v>
      </c>
      <c r="AS87" s="102">
        <f>IF(AS10=Assumptions!$G$10,SUM('Annual Cash Flow'!$E$66:$P$66),0)</f>
        <v>0</v>
      </c>
      <c r="AT87" s="102">
        <f>IF(AT10=Assumptions!$G$10,SUM('Annual Cash Flow'!$E$66:$P$66),0)</f>
        <v>0</v>
      </c>
      <c r="AU87" s="102">
        <f>IF(AU10=Assumptions!$G$10,SUM('Annual Cash Flow'!$E$66:$P$66),0)</f>
        <v>0</v>
      </c>
      <c r="AV87" s="102">
        <f>IF(AV10=Assumptions!$G$10,SUM('Annual Cash Flow'!$E$66:$P$66),0)</f>
        <v>0</v>
      </c>
      <c r="AW87" s="102">
        <f>IF(AW10=Assumptions!$G$10,SUM('Annual Cash Flow'!$E$66:$P$66),0)</f>
        <v>0</v>
      </c>
      <c r="AX87" s="102">
        <f>IF(AX10=Assumptions!$G$10,SUM('Annual Cash Flow'!$E$66:$P$66),0)</f>
        <v>0</v>
      </c>
      <c r="AY87" s="102">
        <f>IF(AY10=Assumptions!$G$10,SUM('Annual Cash Flow'!$E$66:$P$66),0)</f>
        <v>0</v>
      </c>
      <c r="AZ87" s="102">
        <f>IF(AZ10=Assumptions!$G$10,SUM('Annual Cash Flow'!$E$66:$P$66),0)</f>
        <v>0</v>
      </c>
      <c r="BA87" s="102">
        <f>IF(BA10=Assumptions!$G$10,SUM('Annual Cash Flow'!$E$66:$P$66),0)</f>
        <v>0</v>
      </c>
      <c r="BB87" s="102">
        <f>IF(BB10=Assumptions!$G$10,SUM('Annual Cash Flow'!$E$66:$P$66),0)</f>
        <v>0</v>
      </c>
      <c r="BC87" s="102">
        <f>IF(BC10=Assumptions!$G$10,SUM('Annual Cash Flow'!$E$66:$P$66),0)</f>
        <v>0</v>
      </c>
      <c r="BD87" s="102">
        <f>IF(BD10=Assumptions!$G$10,SUM('Annual Cash Flow'!$E$66:$P$66),0)</f>
        <v>0</v>
      </c>
      <c r="BE87" s="102">
        <f>IF(BE10=Assumptions!$G$10,SUM('Annual Cash Flow'!$E$66:$P$66),0)</f>
        <v>0</v>
      </c>
      <c r="BF87" s="102">
        <f>IF(BF10=Assumptions!$G$10,SUM('Annual Cash Flow'!$E$66:$P$66),0)</f>
        <v>0</v>
      </c>
      <c r="BG87" s="102">
        <f>IF(BG10=Assumptions!$G$10,SUM('Annual Cash Flow'!$E$66:$P$66),0)</f>
        <v>0</v>
      </c>
      <c r="BH87" s="102">
        <f>IF(BH10=Assumptions!$G$10,SUM('Annual Cash Flow'!$E$66:$P$66),0)</f>
        <v>0</v>
      </c>
      <c r="BI87" s="102">
        <f>IF(BI10=Assumptions!$G$10,SUM('Annual Cash Flow'!$E$66:$P$66),0)</f>
        <v>0</v>
      </c>
      <c r="BJ87" s="102">
        <f>IF(BJ10=Assumptions!$G$10,SUM('Annual Cash Flow'!$E$66:$P$66),0)</f>
        <v>0</v>
      </c>
      <c r="BK87" s="102">
        <f>IF(BK10=Assumptions!$G$10,SUM('Annual Cash Flow'!$E$66:$P$66),0)</f>
        <v>0</v>
      </c>
      <c r="BL87" s="102">
        <f>IF(BL10=Assumptions!$G$10,SUM('Annual Cash Flow'!$E$66:$P$66),0)</f>
        <v>0</v>
      </c>
      <c r="BM87" s="102">
        <f>IF(BM10=Assumptions!$G$10,SUM('Annual Cash Flow'!$E$66:$P$66),0)</f>
        <v>0</v>
      </c>
      <c r="BN87" s="102">
        <f>IF(BN10=Assumptions!$G$10,SUM('Annual Cash Flow'!$E$66:$P$66),0)</f>
        <v>0</v>
      </c>
      <c r="BO87" s="102">
        <f>IF(BO10=Assumptions!$G$10,SUM('Annual Cash Flow'!$E$66:$P$66),0)</f>
        <v>0</v>
      </c>
      <c r="BP87" s="102">
        <f>IF(BP10=Assumptions!$G$10,SUM('Annual Cash Flow'!$E$66:$P$66),0)</f>
        <v>0</v>
      </c>
      <c r="BQ87" s="102">
        <f>IF(BQ10=Assumptions!$G$10,SUM('Annual Cash Flow'!$E$66:$P$66),0)</f>
        <v>0</v>
      </c>
      <c r="BR87" s="102">
        <f>IF(BR10=Assumptions!$G$10,SUM('Annual Cash Flow'!$E$66:$P$66),0)</f>
        <v>0</v>
      </c>
      <c r="BS87" s="102">
        <f>IF(BS10=Assumptions!$G$10,SUM('Annual Cash Flow'!$E$66:$P$66),0)</f>
        <v>0</v>
      </c>
      <c r="BT87" s="102">
        <f>IF(BT10=Assumptions!$G$10,SUM('Annual Cash Flow'!$E$66:$P$66),0)</f>
        <v>0</v>
      </c>
      <c r="BU87" s="102">
        <f>IF(BU10=Assumptions!$G$10,SUM('Annual Cash Flow'!$E$66:$P$66),0)</f>
        <v>0</v>
      </c>
      <c r="BV87" s="102">
        <f>IF(BV10=Assumptions!$G$10,SUM('Annual Cash Flow'!$E$66:$P$66),0)</f>
        <v>0</v>
      </c>
      <c r="BW87" s="102">
        <f>IF(BW10=Assumptions!$G$10,SUM('Annual Cash Flow'!$E$66:$P$66),0)</f>
        <v>0</v>
      </c>
      <c r="BX87" s="102">
        <f>IF(BX10=Assumptions!$G$10,SUM('Annual Cash Flow'!$E$66:$P$66),0)</f>
        <v>0</v>
      </c>
      <c r="BY87" s="102">
        <f>IF(BY10=Assumptions!$G$10,SUM('Annual Cash Flow'!$E$66:$P$66),0)</f>
        <v>0</v>
      </c>
      <c r="BZ87" s="102">
        <f>IF(BZ10=Assumptions!$G$10,SUM('Annual Cash Flow'!$E$66:$P$66),0)</f>
        <v>0</v>
      </c>
      <c r="CA87" s="102">
        <f>IF(CA10=Assumptions!$G$10,SUM('Annual Cash Flow'!$E$66:$P$66),0)</f>
        <v>0</v>
      </c>
      <c r="CB87" s="102">
        <f>IF(CB10=Assumptions!$G$10,SUM('Annual Cash Flow'!$E$66:$P$66),0)</f>
        <v>0</v>
      </c>
      <c r="CC87" s="102">
        <f>IF(CC10=Assumptions!$G$10,SUM('Annual Cash Flow'!$E$66:$P$66),0)</f>
        <v>0</v>
      </c>
      <c r="CD87" s="102">
        <f>IF(CD10=Assumptions!$G$10,SUM('Annual Cash Flow'!$E$66:$P$66),0)</f>
        <v>0</v>
      </c>
      <c r="CE87" s="102">
        <f>IF(CE10=Assumptions!$G$10,SUM('Annual Cash Flow'!$E$66:$P$66),0)</f>
        <v>0</v>
      </c>
      <c r="CF87" s="102">
        <f>IF(CF10=Assumptions!$G$10,SUM('Annual Cash Flow'!$E$66:$P$66),0)</f>
        <v>0</v>
      </c>
      <c r="CG87" s="102">
        <f>IF(CG10=Assumptions!$G$10,SUM('Annual Cash Flow'!$E$66:$P$66),0)</f>
        <v>0</v>
      </c>
      <c r="CH87" s="102">
        <f>IF(CH10=Assumptions!$G$10,SUM('Annual Cash Flow'!$E$66:$P$66),0)</f>
        <v>0</v>
      </c>
      <c r="CI87" s="102">
        <f>IF(CI10=Assumptions!$G$10,SUM('Annual Cash Flow'!$E$66:$P$66),0)</f>
        <v>0</v>
      </c>
      <c r="CJ87" s="102">
        <f>IF(CJ10=Assumptions!$G$10,SUM('Annual Cash Flow'!$E$66:$P$66),0)</f>
        <v>0</v>
      </c>
      <c r="CK87" s="102">
        <f>IF(CK10=Assumptions!$G$10,SUM('Annual Cash Flow'!$E$66:$P$66),0)</f>
        <v>0</v>
      </c>
      <c r="CL87" s="102">
        <f>IF(CL10=Assumptions!$G$10,SUM('Annual Cash Flow'!$E$66:$P$66),0)</f>
        <v>0</v>
      </c>
      <c r="CM87" s="102">
        <f>IF(CM10=Assumptions!$G$10,SUM('Annual Cash Flow'!$E$66:$P$66),0)</f>
        <v>0</v>
      </c>
      <c r="CN87" s="102">
        <f>IF(CN10=Assumptions!$G$10,SUM('Annual Cash Flow'!$E$66:$P$66),0)</f>
        <v>0</v>
      </c>
      <c r="CO87" s="102">
        <f>IF(CO10=Assumptions!$G$10,SUM('Annual Cash Flow'!$E$66:$P$66),0)</f>
        <v>0</v>
      </c>
      <c r="CP87" s="102">
        <f>IF(CP10=Assumptions!$G$10,SUM('Annual Cash Flow'!$E$66:$P$66),0)</f>
        <v>0</v>
      </c>
      <c r="CQ87" s="102">
        <f>IF(CQ10=Assumptions!$G$10,SUM('Annual Cash Flow'!$E$66:$P$66),0)</f>
        <v>0</v>
      </c>
      <c r="CR87" s="102">
        <f>IF(CR10=Assumptions!$G$10,SUM('Annual Cash Flow'!$E$66:$P$66),0)</f>
        <v>0</v>
      </c>
      <c r="CS87" s="102">
        <f>IF(CS10=Assumptions!$G$10,SUM('Annual Cash Flow'!$E$66:$P$66),0)</f>
        <v>0</v>
      </c>
      <c r="CT87" s="102">
        <f>IF(CT10=Assumptions!$G$10,SUM('Annual Cash Flow'!$E$66:$P$66),0)</f>
        <v>0</v>
      </c>
      <c r="CU87" s="102">
        <f>IF(CU10=Assumptions!$G$10,SUM('Annual Cash Flow'!$E$66:$P$66),0)</f>
        <v>0</v>
      </c>
      <c r="CV87" s="102">
        <f>IF(CV10=Assumptions!$G$10,SUM('Annual Cash Flow'!$E$66:$P$66),0)</f>
        <v>0</v>
      </c>
      <c r="CW87" s="102">
        <f>IF(CW10=Assumptions!$G$10,SUM('Annual Cash Flow'!$E$66:$P$66),0)</f>
        <v>0</v>
      </c>
      <c r="CX87" s="102">
        <f>IF(CX10=Assumptions!$G$10,SUM('Annual Cash Flow'!$E$66:$P$66),0)</f>
        <v>0</v>
      </c>
      <c r="CY87" s="102">
        <f>IF(CY10=Assumptions!$G$10,SUM('Annual Cash Flow'!$E$66:$P$66),0)</f>
        <v>0</v>
      </c>
      <c r="CZ87" s="102">
        <f>IF(CZ10=Assumptions!$G$10,SUM('Annual Cash Flow'!$E$66:$P$66),0)</f>
        <v>0</v>
      </c>
      <c r="DA87" s="102">
        <f>IF(DA10=Assumptions!$G$10,SUM('Annual Cash Flow'!$E$66:$P$66),0)</f>
        <v>0</v>
      </c>
      <c r="DB87" s="102">
        <f>IF(DB10=Assumptions!$G$10,SUM('Annual Cash Flow'!$E$66:$P$66),0)</f>
        <v>0</v>
      </c>
      <c r="DC87" s="102">
        <f>IF(DC10=Assumptions!$G$10,SUM('Annual Cash Flow'!$E$66:$P$66),0)</f>
        <v>0</v>
      </c>
      <c r="DD87" s="102">
        <f>IF(DD10=Assumptions!$G$10,SUM('Annual Cash Flow'!$E$66:$P$66),0)</f>
        <v>0</v>
      </c>
      <c r="DE87" s="102">
        <f>IF(DE10=Assumptions!$G$10,SUM('Annual Cash Flow'!$E$66:$P$66),0)</f>
        <v>0</v>
      </c>
      <c r="DF87" s="102">
        <f>IF(DF10=Assumptions!$G$10,SUM('Annual Cash Flow'!$E$66:$P$66),0)</f>
        <v>0</v>
      </c>
      <c r="DG87" s="102">
        <f ca="1">IF(DG10=Assumptions!$G$10,SUM('Annual Cash Flow'!$E$66:$P$66),0)</f>
        <v>4410976.4252859643</v>
      </c>
      <c r="DH87" s="102">
        <f>IF(DH10=Assumptions!$G$10,SUM('Annual Cash Flow'!$E$66:$P$66),0)</f>
        <v>0</v>
      </c>
      <c r="DI87" s="102">
        <f>IF(DI10=Assumptions!$G$10,SUM('Annual Cash Flow'!$E$66:$P$66),0)</f>
        <v>0</v>
      </c>
      <c r="DJ87" s="102">
        <f>IF(DJ10=Assumptions!$G$10,SUM('Annual Cash Flow'!$E$66:$P$66),0)</f>
        <v>0</v>
      </c>
      <c r="DK87" s="102">
        <f>IF(DK10=Assumptions!$G$10,SUM('Annual Cash Flow'!$E$66:$P$66),0)</f>
        <v>0</v>
      </c>
      <c r="DL87" s="102">
        <f>IF(DL10=Assumptions!$G$10,SUM('Annual Cash Flow'!$E$66:$P$66),0)</f>
        <v>0</v>
      </c>
      <c r="DM87" s="102">
        <f>IF(DM10=Assumptions!$G$10,SUM('Annual Cash Flow'!$E$66:$P$66),0)</f>
        <v>0</v>
      </c>
      <c r="DN87" s="102">
        <f>IF(DN10=Assumptions!$G$10,SUM('Annual Cash Flow'!$E$66:$P$66),0)</f>
        <v>0</v>
      </c>
      <c r="DO87" s="102">
        <f>IF(DO10=Assumptions!$G$10,SUM('Annual Cash Flow'!$E$66:$P$66),0)</f>
        <v>0</v>
      </c>
      <c r="DP87" s="102">
        <f>IF(DP10=Assumptions!$G$10,SUM('Annual Cash Flow'!$E$66:$P$66),0)</f>
        <v>0</v>
      </c>
      <c r="DQ87" s="102">
        <f>IF(DQ10=Assumptions!$G$10,SUM('Annual Cash Flow'!$E$66:$P$66),0)</f>
        <v>0</v>
      </c>
      <c r="DR87" s="102">
        <f>IF(DR10=Assumptions!$G$10,SUM('Annual Cash Flow'!$E$66:$P$66),0)</f>
        <v>0</v>
      </c>
      <c r="DS87" s="102">
        <f>IF(DS10=Assumptions!$G$10,SUM('Annual Cash Flow'!$E$66:$P$66),0)</f>
        <v>0</v>
      </c>
      <c r="DT87" s="102">
        <f>IF(DT10=Assumptions!$G$10,SUM('Annual Cash Flow'!$E$66:$P$66),0)</f>
        <v>0</v>
      </c>
      <c r="DU87" s="102">
        <f>IF(DU10=Assumptions!$G$10,SUM('Annual Cash Flow'!$E$66:$P$66),0)</f>
        <v>0</v>
      </c>
      <c r="DV87" s="102">
        <f>IF(DV10=Assumptions!$G$10,SUM('Annual Cash Flow'!$E$66:$P$66),0)</f>
        <v>0</v>
      </c>
      <c r="DW87" s="102">
        <f>IF(DW10=Assumptions!$G$10,SUM('Annual Cash Flow'!$E$66:$P$66),0)</f>
        <v>0</v>
      </c>
      <c r="DX87" s="102">
        <f>IF(DX10=Assumptions!$G$10,SUM('Annual Cash Flow'!$E$66:$P$66),0)</f>
        <v>0</v>
      </c>
      <c r="DY87" s="102">
        <f>IF(DY10=Assumptions!$G$10,SUM('Annual Cash Flow'!$E$66:$P$66),0)</f>
        <v>0</v>
      </c>
      <c r="DZ87" s="102">
        <f>IF(DZ10=Assumptions!$G$10,SUM('Annual Cash Flow'!$E$66:$P$66),0)</f>
        <v>0</v>
      </c>
      <c r="EA87" s="102">
        <f>IF(EA10=Assumptions!$G$10,SUM('Annual Cash Flow'!$E$66:$P$66),0)</f>
        <v>0</v>
      </c>
      <c r="EB87" s="102">
        <f>IF(EB10=Assumptions!$G$10,SUM('Annual Cash Flow'!$E$66:$P$66),0)</f>
        <v>0</v>
      </c>
      <c r="EC87" s="102">
        <f>IF(EC10=Assumptions!$G$10,SUM('Annual Cash Flow'!$E$66:$P$66),0)</f>
        <v>0</v>
      </c>
      <c r="ED87" s="102">
        <f>IF(ED10=Assumptions!$G$10,SUM('Annual Cash Flow'!$E$66:$P$66),0)</f>
        <v>0</v>
      </c>
      <c r="EE87" s="102">
        <f>IF(EE10=Assumptions!$G$10,SUM('Annual Cash Flow'!$E$66:$P$66),0)</f>
        <v>0</v>
      </c>
      <c r="EF87" s="102">
        <f>IF(EF10=Assumptions!$G$10,SUM('Annual Cash Flow'!$E$66:$P$66),0)</f>
        <v>0</v>
      </c>
      <c r="EG87" s="102">
        <f>IF(EG10=Assumptions!$G$10,SUM('Annual Cash Flow'!$E$66:$P$66),0)</f>
        <v>0</v>
      </c>
      <c r="EH87" s="102">
        <f>IF(EH10=Assumptions!$G$10,SUM('Annual Cash Flow'!$E$66:$P$66),0)</f>
        <v>0</v>
      </c>
      <c r="EI87" s="102">
        <f>IF(EI10=Assumptions!$G$10,SUM('Annual Cash Flow'!$E$66:$P$66),0)</f>
        <v>0</v>
      </c>
      <c r="EJ87" s="102">
        <f>IF(EJ10=Assumptions!$G$10,SUM('Annual Cash Flow'!$E$66:$P$66),0)</f>
        <v>0</v>
      </c>
      <c r="EK87" s="102">
        <f>IF(EK10=Assumptions!$G$10,SUM('Annual Cash Flow'!$E$66:$P$66),0)</f>
        <v>0</v>
      </c>
      <c r="EL87" s="102">
        <f>IF(EL10=Assumptions!$G$10,SUM('Annual Cash Flow'!$E$66:$P$66),0)</f>
        <v>0</v>
      </c>
      <c r="EM87" s="102">
        <f>IF(EM10=Assumptions!$G$10,SUM('Annual Cash Flow'!$E$66:$P$66),0)</f>
        <v>0</v>
      </c>
      <c r="EN87" s="102">
        <f>IF(EN10=Assumptions!$G$10,SUM('Annual Cash Flow'!$E$66:$P$66),0)</f>
        <v>0</v>
      </c>
      <c r="EO87" s="102">
        <f>IF(EO10=Assumptions!$G$10,SUM('Annual Cash Flow'!$E$66:$P$66),0)</f>
        <v>0</v>
      </c>
      <c r="EP87" s="102">
        <f>IF(EP10=Assumptions!$G$10,SUM('Annual Cash Flow'!$E$66:$P$66),0)</f>
        <v>0</v>
      </c>
      <c r="EQ87" s="102">
        <f>IF(EQ10=Assumptions!$G$10,SUM('Annual Cash Flow'!$E$66:$P$66),0)</f>
        <v>0</v>
      </c>
      <c r="ES87" s="98"/>
      <c r="ET87" s="98"/>
      <c r="EU87" s="98"/>
    </row>
    <row r="88" spans="7:151" ht="15.75">
      <c r="G88" s="94"/>
      <c r="H88" s="117"/>
      <c r="I88" s="95"/>
      <c r="J88" s="102"/>
      <c r="K88" s="102"/>
      <c r="L88" s="102"/>
      <c r="M88" s="102"/>
      <c r="N88" s="102"/>
      <c r="O88" s="102"/>
      <c r="P88" s="102"/>
      <c r="Q88" s="104"/>
      <c r="R88" s="104"/>
      <c r="S88" s="105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  <c r="CH88" s="104"/>
      <c r="CI88" s="104"/>
      <c r="CJ88" s="104"/>
      <c r="CK88" s="104"/>
      <c r="CL88" s="104"/>
      <c r="CM88" s="104"/>
      <c r="CN88" s="104"/>
      <c r="CO88" s="104"/>
      <c r="CP88" s="104"/>
      <c r="CQ88" s="104"/>
      <c r="CR88" s="104"/>
      <c r="CS88" s="104"/>
      <c r="CT88" s="104"/>
      <c r="CU88" s="104"/>
      <c r="CV88" s="104"/>
      <c r="CW88" s="104"/>
      <c r="CX88" s="104"/>
      <c r="CY88" s="104"/>
      <c r="CZ88" s="104"/>
      <c r="DA88" s="104"/>
      <c r="DB88" s="104"/>
      <c r="DC88" s="104"/>
      <c r="DD88" s="104"/>
      <c r="DE88" s="104"/>
      <c r="DF88" s="104"/>
      <c r="DG88" s="104"/>
      <c r="DH88" s="104"/>
      <c r="DI88" s="104"/>
      <c r="DJ88" s="104"/>
      <c r="DK88" s="104"/>
      <c r="DL88" s="104"/>
      <c r="DM88" s="104"/>
      <c r="DN88" s="104"/>
      <c r="DO88" s="104"/>
      <c r="DP88" s="104"/>
      <c r="DQ88" s="104"/>
      <c r="DR88" s="104"/>
      <c r="DS88" s="104"/>
      <c r="DT88" s="104"/>
      <c r="DU88" s="104"/>
      <c r="DV88" s="104"/>
      <c r="DW88" s="104"/>
      <c r="DX88" s="104"/>
      <c r="DY88" s="104"/>
      <c r="DZ88" s="104"/>
      <c r="EA88" s="104"/>
      <c r="EB88" s="104"/>
      <c r="EC88" s="104"/>
      <c r="ED88" s="104"/>
      <c r="EE88" s="104"/>
      <c r="EF88" s="104"/>
      <c r="EG88" s="104"/>
      <c r="EH88" s="104"/>
      <c r="EI88" s="104"/>
      <c r="EJ88" s="104"/>
      <c r="EK88" s="104"/>
      <c r="EL88" s="104"/>
      <c r="EM88" s="104"/>
      <c r="EN88" s="104"/>
      <c r="EO88" s="104"/>
      <c r="EP88" s="104"/>
      <c r="EQ88" s="104"/>
      <c r="ES88" s="98"/>
      <c r="ET88" s="98"/>
      <c r="EU88" s="98"/>
    </row>
    <row r="89" spans="7:151" ht="15.75">
      <c r="G89" s="101" t="s">
        <v>314</v>
      </c>
      <c r="H89" s="117"/>
      <c r="I89" s="95"/>
      <c r="J89" s="102"/>
      <c r="K89" s="102"/>
      <c r="L89" s="102"/>
      <c r="M89" s="102"/>
      <c r="N89" s="585" t="s">
        <v>10</v>
      </c>
      <c r="O89" s="585"/>
      <c r="P89" s="102"/>
      <c r="Q89" s="104"/>
      <c r="R89" s="104"/>
      <c r="S89" s="105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F89" s="104"/>
      <c r="CG89" s="104"/>
      <c r="CH89" s="104"/>
      <c r="CI89" s="104"/>
      <c r="CJ89" s="104"/>
      <c r="CK89" s="104"/>
      <c r="CL89" s="104"/>
      <c r="CM89" s="104"/>
      <c r="CN89" s="104"/>
      <c r="CO89" s="104"/>
      <c r="CP89" s="104"/>
      <c r="CQ89" s="104"/>
      <c r="CR89" s="104"/>
      <c r="CS89" s="104"/>
      <c r="CT89" s="104"/>
      <c r="CU89" s="104"/>
      <c r="CV89" s="104"/>
      <c r="CW89" s="104"/>
      <c r="CX89" s="104"/>
      <c r="CY89" s="104"/>
      <c r="CZ89" s="104"/>
      <c r="DA89" s="104"/>
      <c r="DB89" s="104"/>
      <c r="DC89" s="104"/>
      <c r="DD89" s="104"/>
      <c r="DE89" s="104"/>
      <c r="DF89" s="104"/>
      <c r="DG89" s="104"/>
      <c r="DH89" s="104"/>
      <c r="DI89" s="104"/>
      <c r="DJ89" s="104"/>
      <c r="DK89" s="104"/>
      <c r="DL89" s="104"/>
      <c r="DM89" s="104"/>
      <c r="DN89" s="104"/>
      <c r="DO89" s="104"/>
      <c r="DP89" s="104"/>
      <c r="DQ89" s="104"/>
      <c r="DR89" s="104"/>
      <c r="DS89" s="104"/>
      <c r="DT89" s="104"/>
      <c r="DU89" s="104"/>
      <c r="DV89" s="104"/>
      <c r="DW89" s="104"/>
      <c r="DX89" s="104"/>
      <c r="DY89" s="104"/>
      <c r="DZ89" s="104"/>
      <c r="EA89" s="104"/>
      <c r="EB89" s="104"/>
      <c r="EC89" s="104"/>
      <c r="ED89" s="104"/>
      <c r="EE89" s="104"/>
      <c r="EF89" s="104"/>
      <c r="EG89" s="104"/>
      <c r="EH89" s="104"/>
      <c r="EI89" s="104"/>
      <c r="EJ89" s="104"/>
      <c r="EK89" s="104"/>
      <c r="EL89" s="104"/>
      <c r="EM89" s="104"/>
      <c r="EN89" s="104"/>
      <c r="EO89" s="104"/>
      <c r="EP89" s="104"/>
      <c r="EQ89" s="104"/>
      <c r="ES89" s="98"/>
      <c r="ET89" s="98"/>
      <c r="EU89" s="98"/>
    </row>
    <row r="90" spans="7:151" ht="15.75">
      <c r="G90" s="101"/>
      <c r="H90" s="236" t="s">
        <v>196</v>
      </c>
      <c r="I90" s="182"/>
      <c r="J90" s="140"/>
      <c r="K90" s="140"/>
      <c r="L90" s="140"/>
      <c r="M90" s="140"/>
      <c r="N90" s="102">
        <f>SUM(O90:EQ90)</f>
        <v>0</v>
      </c>
      <c r="O90" s="649">
        <v>0</v>
      </c>
      <c r="P90" s="798"/>
      <c r="Q90" s="798"/>
      <c r="R90" s="798"/>
      <c r="S90" s="798"/>
      <c r="T90" s="798"/>
      <c r="U90" s="798"/>
      <c r="V90" s="798"/>
      <c r="W90" s="798"/>
      <c r="X90" s="798"/>
      <c r="Y90" s="798"/>
      <c r="Z90" s="798"/>
      <c r="AA90" s="798"/>
      <c r="AB90" s="798"/>
      <c r="AC90" s="798"/>
      <c r="AD90" s="798"/>
      <c r="AE90" s="798"/>
      <c r="AF90" s="798"/>
      <c r="AG90" s="798"/>
      <c r="AH90" s="798"/>
      <c r="AI90" s="798"/>
      <c r="AJ90" s="798"/>
      <c r="AK90" s="798"/>
      <c r="AL90" s="798"/>
      <c r="AM90" s="798"/>
      <c r="AN90" s="798"/>
      <c r="AO90" s="798"/>
      <c r="AP90" s="798"/>
      <c r="AQ90" s="798"/>
      <c r="AR90" s="798"/>
      <c r="AS90" s="798"/>
      <c r="AT90" s="798"/>
      <c r="AU90" s="798"/>
      <c r="AV90" s="798"/>
      <c r="AW90" s="798"/>
      <c r="AX90" s="798"/>
      <c r="AY90" s="798"/>
      <c r="AZ90" s="798"/>
      <c r="BA90" s="798"/>
      <c r="BB90" s="798"/>
      <c r="BC90" s="798"/>
      <c r="BD90" s="798"/>
      <c r="BE90" s="798"/>
      <c r="BF90" s="798"/>
      <c r="BG90" s="798"/>
      <c r="BH90" s="798"/>
      <c r="BI90" s="798"/>
      <c r="BJ90" s="798"/>
      <c r="BK90" s="798"/>
      <c r="BL90" s="798"/>
      <c r="BM90" s="798"/>
      <c r="BN90" s="798"/>
      <c r="BO90" s="798"/>
      <c r="BP90" s="798"/>
      <c r="BQ90" s="798"/>
      <c r="BR90" s="798"/>
      <c r="BS90" s="798"/>
      <c r="BT90" s="798"/>
      <c r="BU90" s="798"/>
      <c r="BV90" s="798"/>
      <c r="BW90" s="798"/>
      <c r="BX90" s="798"/>
      <c r="BY90" s="798"/>
      <c r="BZ90" s="798"/>
      <c r="CA90" s="798"/>
      <c r="CB90" s="798"/>
      <c r="CC90" s="798"/>
      <c r="CD90" s="798"/>
      <c r="CE90" s="798"/>
      <c r="CF90" s="798"/>
      <c r="CG90" s="798"/>
      <c r="CH90" s="798"/>
      <c r="CI90" s="798"/>
      <c r="CJ90" s="798"/>
      <c r="CK90" s="798"/>
      <c r="CL90" s="798"/>
      <c r="CM90" s="798"/>
      <c r="CN90" s="798"/>
      <c r="CO90" s="798"/>
      <c r="CP90" s="798"/>
      <c r="CQ90" s="798"/>
      <c r="CR90" s="798"/>
      <c r="CS90" s="798"/>
      <c r="CT90" s="798"/>
      <c r="CU90" s="798"/>
      <c r="CV90" s="798"/>
      <c r="CW90" s="798"/>
      <c r="CX90" s="798"/>
      <c r="CY90" s="798"/>
      <c r="CZ90" s="798"/>
      <c r="DA90" s="798"/>
      <c r="DB90" s="798"/>
      <c r="DC90" s="798"/>
      <c r="DD90" s="798"/>
      <c r="DE90" s="798"/>
      <c r="DF90" s="798"/>
      <c r="DG90" s="798"/>
      <c r="DH90" s="798"/>
      <c r="DI90" s="798"/>
      <c r="DJ90" s="798"/>
      <c r="DK90" s="798"/>
      <c r="DL90" s="798"/>
      <c r="DM90" s="798"/>
      <c r="DN90" s="798"/>
      <c r="DO90" s="798"/>
      <c r="DP90" s="798"/>
      <c r="DQ90" s="798"/>
      <c r="DR90" s="798"/>
      <c r="DS90" s="798"/>
      <c r="DT90" s="798"/>
      <c r="DU90" s="798"/>
      <c r="DV90" s="798"/>
      <c r="DW90" s="798"/>
      <c r="DX90" s="798"/>
      <c r="DY90" s="798"/>
      <c r="DZ90" s="798"/>
      <c r="EA90" s="798"/>
      <c r="EB90" s="798"/>
      <c r="EC90" s="798"/>
      <c r="ED90" s="798"/>
      <c r="EE90" s="798"/>
      <c r="EF90" s="798"/>
      <c r="EG90" s="798"/>
      <c r="EH90" s="798"/>
      <c r="EI90" s="798"/>
      <c r="EJ90" s="798"/>
      <c r="EK90" s="798"/>
      <c r="EL90" s="798"/>
      <c r="EM90" s="798"/>
      <c r="EN90" s="798"/>
      <c r="EO90" s="798"/>
      <c r="EP90" s="798"/>
      <c r="EQ90" s="798"/>
      <c r="ER90" s="102"/>
      <c r="ES90" s="98"/>
      <c r="ET90" s="98"/>
      <c r="EU90" s="98"/>
    </row>
    <row r="91" spans="7:151" ht="15.75">
      <c r="G91" s="101"/>
      <c r="H91" s="125" t="s">
        <v>215</v>
      </c>
      <c r="I91" s="95"/>
      <c r="J91" s="102"/>
      <c r="K91" s="102"/>
      <c r="L91" s="102"/>
      <c r="M91" s="102"/>
      <c r="N91" s="102">
        <f ca="1">SUM(O91:EQ91)</f>
        <v>-780159.45048735198</v>
      </c>
      <c r="O91" s="102">
        <f>IF(AND(Assumptions!$M$48&gt;0,'Monthly Cash Flow Exercise'!O10&gt;=Assumptions!$M$48,'Monthly Cash Flow Exercise'!O10&lt;=Assumptions!$G$10),Assumptions!$L$51,0)</f>
        <v>0</v>
      </c>
      <c r="P91" s="102">
        <f>IF(AND(Assumptions!$M$48&gt;0,'Monthly Cash Flow Exercise'!P10&gt;=Assumptions!$M$48,'Monthly Cash Flow Exercise'!P10&lt;=Assumptions!$G$10),Assumptions!$L$51,0)</f>
        <v>0</v>
      </c>
      <c r="Q91" s="102">
        <f>IF(AND(Assumptions!$M$48&gt;0,'Monthly Cash Flow Exercise'!Q10&gt;=Assumptions!$M$48,'Monthly Cash Flow Exercise'!Q10&lt;=Assumptions!$G$10),Assumptions!$L$51,0)</f>
        <v>0</v>
      </c>
      <c r="R91" s="102">
        <f>IF(AND(Assumptions!$M$48&gt;0,'Monthly Cash Flow Exercise'!R10&gt;=Assumptions!$M$48,'Monthly Cash Flow Exercise'!R10&lt;=Assumptions!$G$10),Assumptions!$L$51,0)</f>
        <v>0</v>
      </c>
      <c r="S91" s="102">
        <f>IF(AND(Assumptions!$M$48&gt;0,'Monthly Cash Flow Exercise'!S10&gt;=Assumptions!$M$48,'Monthly Cash Flow Exercise'!S10&lt;=Assumptions!$G$10),Assumptions!$L$51,0)</f>
        <v>0</v>
      </c>
      <c r="T91" s="102">
        <f>IF(AND(Assumptions!$M$48&gt;0,'Monthly Cash Flow Exercise'!T10&gt;=Assumptions!$M$48,'Monthly Cash Flow Exercise'!T10&lt;=Assumptions!$G$10),Assumptions!$L$51,0)</f>
        <v>0</v>
      </c>
      <c r="U91" s="102">
        <f>IF(AND(Assumptions!$M$48&gt;0,'Monthly Cash Flow Exercise'!U10&gt;=Assumptions!$M$48,'Monthly Cash Flow Exercise'!U10&lt;=Assumptions!$G$10),Assumptions!$L$51,0)</f>
        <v>0</v>
      </c>
      <c r="V91" s="102">
        <f>IF(AND(Assumptions!$M$48&gt;0,'Monthly Cash Flow Exercise'!V10&gt;=Assumptions!$M$48,'Monthly Cash Flow Exercise'!V10&lt;=Assumptions!$G$10),Assumptions!$L$51,0)</f>
        <v>0</v>
      </c>
      <c r="W91" s="102">
        <f>IF(AND(Assumptions!$M$48&gt;0,'Monthly Cash Flow Exercise'!W10&gt;=Assumptions!$M$48,'Monthly Cash Flow Exercise'!W10&lt;=Assumptions!$G$10),Assumptions!$L$51,0)</f>
        <v>0</v>
      </c>
      <c r="X91" s="102">
        <f>IF(AND(Assumptions!$M$48&gt;0,'Monthly Cash Flow Exercise'!X10&gt;=Assumptions!$M$48,'Monthly Cash Flow Exercise'!X10&lt;=Assumptions!$G$10),Assumptions!$L$51,0)</f>
        <v>0</v>
      </c>
      <c r="Y91" s="102">
        <f>IF(AND(Assumptions!$M$48&gt;0,'Monthly Cash Flow Exercise'!Y10&gt;=Assumptions!$M$48,'Monthly Cash Flow Exercise'!Y10&lt;=Assumptions!$G$10),Assumptions!$L$51,0)</f>
        <v>0</v>
      </c>
      <c r="Z91" s="102">
        <f>IF(AND(Assumptions!$M$48&gt;0,'Monthly Cash Flow Exercise'!Z10&gt;=Assumptions!$M$48,'Monthly Cash Flow Exercise'!Z10&lt;=Assumptions!$G$10),Assumptions!$L$51,0)</f>
        <v>0</v>
      </c>
      <c r="AA91" s="102">
        <f>IF(AND(Assumptions!$M$48&gt;0,'Monthly Cash Flow Exercise'!AA10&gt;=Assumptions!$M$48,'Monthly Cash Flow Exercise'!AA10&lt;=Assumptions!$G$10),Assumptions!$L$51,0)</f>
        <v>0</v>
      </c>
      <c r="AB91" s="102">
        <f>IF(AND(Assumptions!$M$48&gt;0,'Monthly Cash Flow Exercise'!AB10&gt;=Assumptions!$M$48,'Monthly Cash Flow Exercise'!AB10&lt;=Assumptions!$G$10),Assumptions!$L$51,0)</f>
        <v>0</v>
      </c>
      <c r="AC91" s="102">
        <f>IF(AND(Assumptions!$M$48&gt;0,'Monthly Cash Flow Exercise'!AC10&gt;=Assumptions!$M$48,'Monthly Cash Flow Exercise'!AC10&lt;=Assumptions!$G$10),Assumptions!$L$51,0)</f>
        <v>0</v>
      </c>
      <c r="AD91" s="102">
        <f>IF(AND(Assumptions!$M$48&gt;0,'Monthly Cash Flow Exercise'!AD10&gt;=Assumptions!$M$48,'Monthly Cash Flow Exercise'!AD10&lt;=Assumptions!$G$10),Assumptions!$L$51,0)</f>
        <v>0</v>
      </c>
      <c r="AE91" s="102">
        <f>IF(AND(Assumptions!$M$48&gt;0,'Monthly Cash Flow Exercise'!AE10&gt;=Assumptions!$M$48,'Monthly Cash Flow Exercise'!AE10&lt;=Assumptions!$G$10),Assumptions!$L$51,0)</f>
        <v>0</v>
      </c>
      <c r="AF91" s="102">
        <f>IF(AND(Assumptions!$M$48&gt;0,'Monthly Cash Flow Exercise'!AF10&gt;=Assumptions!$M$48,'Monthly Cash Flow Exercise'!AF10&lt;=Assumptions!$G$10),Assumptions!$L$51,0)</f>
        <v>0</v>
      </c>
      <c r="AG91" s="102">
        <f>IF(AND(Assumptions!$M$48&gt;0,'Monthly Cash Flow Exercise'!AG10&gt;=Assumptions!$M$48,'Monthly Cash Flow Exercise'!AG10&lt;=Assumptions!$G$10),Assumptions!$L$51,0)</f>
        <v>0</v>
      </c>
      <c r="AH91" s="102">
        <f>IF(AND(Assumptions!$M$48&gt;0,'Monthly Cash Flow Exercise'!AH10&gt;=Assumptions!$M$48,'Monthly Cash Flow Exercise'!AH10&lt;=Assumptions!$G$10),Assumptions!$L$51,0)</f>
        <v>0</v>
      </c>
      <c r="AI91" s="102">
        <f>IF(AND(Assumptions!$M$48&gt;0,'Monthly Cash Flow Exercise'!AI10&gt;=Assumptions!$M$48,'Monthly Cash Flow Exercise'!AI10&lt;=Assumptions!$G$10),Assumptions!$L$51,0)</f>
        <v>0</v>
      </c>
      <c r="AJ91" s="102">
        <f>IF(AND(Assumptions!$M$48&gt;0,'Monthly Cash Flow Exercise'!AJ10&gt;=Assumptions!$M$48,'Monthly Cash Flow Exercise'!AJ10&lt;=Assumptions!$G$10),Assumptions!$L$51,0)</f>
        <v>0</v>
      </c>
      <c r="AK91" s="102">
        <f>IF(AND(Assumptions!$M$48&gt;0,'Monthly Cash Flow Exercise'!AK10&gt;=Assumptions!$M$48,'Monthly Cash Flow Exercise'!AK10&lt;=Assumptions!$G$10),Assumptions!$L$51,0)</f>
        <v>0</v>
      </c>
      <c r="AL91" s="102">
        <f>IF(AND(Assumptions!$M$48&gt;0,'Monthly Cash Flow Exercise'!AL10&gt;=Assumptions!$M$48,'Monthly Cash Flow Exercise'!AL10&lt;=Assumptions!$G$10),Assumptions!$L$51,0)</f>
        <v>0</v>
      </c>
      <c r="AM91" s="102">
        <f>IF(AND(Assumptions!$M$48&gt;0,'Monthly Cash Flow Exercise'!AM10&gt;=Assumptions!$M$48,'Monthly Cash Flow Exercise'!AM10&lt;=Assumptions!$G$10),Assumptions!$L$51,0)</f>
        <v>0</v>
      </c>
      <c r="AN91" s="102">
        <f>IF(AND(Assumptions!$M$48&gt;0,'Monthly Cash Flow Exercise'!AN10&gt;=Assumptions!$M$48,'Monthly Cash Flow Exercise'!AN10&lt;=Assumptions!$G$10),Assumptions!$L$51,0)</f>
        <v>0</v>
      </c>
      <c r="AO91" s="102">
        <f>IF(AND(Assumptions!$M$48&gt;0,'Monthly Cash Flow Exercise'!AO10&gt;=Assumptions!$M$48,'Monthly Cash Flow Exercise'!AO10&lt;=Assumptions!$G$10),Assumptions!$L$51,0)</f>
        <v>0</v>
      </c>
      <c r="AP91" s="102">
        <f>IF(AND(Assumptions!$M$48&gt;0,'Monthly Cash Flow Exercise'!AP10&gt;=Assumptions!$M$48,'Monthly Cash Flow Exercise'!AP10&lt;=Assumptions!$G$10),Assumptions!$L$51,0)</f>
        <v>0</v>
      </c>
      <c r="AQ91" s="102">
        <f>IF(AND(Assumptions!$M$48&gt;0,'Monthly Cash Flow Exercise'!AQ10&gt;=Assumptions!$M$48,'Monthly Cash Flow Exercise'!AQ10&lt;=Assumptions!$G$10),Assumptions!$L$51,0)</f>
        <v>0</v>
      </c>
      <c r="AR91" s="102">
        <f>IF(AND(Assumptions!$M$48&gt;0,'Monthly Cash Flow Exercise'!AR10&gt;=Assumptions!$M$48,'Monthly Cash Flow Exercise'!AR10&lt;=Assumptions!$G$10),Assumptions!$L$51,0)</f>
        <v>0</v>
      </c>
      <c r="AS91" s="102">
        <f>IF(AND(Assumptions!$M$48&gt;0,'Monthly Cash Flow Exercise'!AS10&gt;=Assumptions!$M$48,'Monthly Cash Flow Exercise'!AS10&lt;=Assumptions!$G$10),Assumptions!$L$51,0)</f>
        <v>0</v>
      </c>
      <c r="AT91" s="102">
        <f>IF(AND(Assumptions!$M$48&gt;0,'Monthly Cash Flow Exercise'!AT10&gt;=Assumptions!$M$48,'Monthly Cash Flow Exercise'!AT10&lt;=Assumptions!$G$10),Assumptions!$L$51,0)</f>
        <v>0</v>
      </c>
      <c r="AU91" s="102">
        <f>IF(AND(Assumptions!$M$48&gt;0,'Monthly Cash Flow Exercise'!AU10&gt;=Assumptions!$M$48,'Monthly Cash Flow Exercise'!AU10&lt;=Assumptions!$G$10),Assumptions!$L$51,0)</f>
        <v>0</v>
      </c>
      <c r="AV91" s="102">
        <f>IF(AND(Assumptions!$M$48&gt;0,'Monthly Cash Flow Exercise'!AV10&gt;=Assumptions!$M$48,'Monthly Cash Flow Exercise'!AV10&lt;=Assumptions!$G$10),Assumptions!$L$51,0)</f>
        <v>0</v>
      </c>
      <c r="AW91" s="102">
        <f>IF(AND(Assumptions!$M$48&gt;0,'Monthly Cash Flow Exercise'!AW10&gt;=Assumptions!$M$48,'Monthly Cash Flow Exercise'!AW10&lt;=Assumptions!$G$10),Assumptions!$L$51,0)</f>
        <v>0</v>
      </c>
      <c r="AX91" s="102">
        <f>IF(AND(Assumptions!$M$48&gt;0,'Monthly Cash Flow Exercise'!AX10&gt;=Assumptions!$M$48,'Monthly Cash Flow Exercise'!AX10&lt;=Assumptions!$G$10),Assumptions!$L$51,0)</f>
        <v>0</v>
      </c>
      <c r="AY91" s="102">
        <f>IF(AND(Assumptions!$M$48&gt;0,'Monthly Cash Flow Exercise'!AY10&gt;=Assumptions!$M$48,'Monthly Cash Flow Exercise'!AY10&lt;=Assumptions!$G$10),Assumptions!$L$51,0)</f>
        <v>0</v>
      </c>
      <c r="AZ91" s="102">
        <f>IF(AND(Assumptions!$M$48&gt;0,'Monthly Cash Flow Exercise'!AZ10&gt;=Assumptions!$M$48,'Monthly Cash Flow Exercise'!AZ10&lt;=Assumptions!$G$10),Assumptions!$L$51,0)</f>
        <v>0</v>
      </c>
      <c r="BA91" s="102">
        <f>IF(AND(Assumptions!$M$48&gt;0,'Monthly Cash Flow Exercise'!BA10&gt;=Assumptions!$M$48,'Monthly Cash Flow Exercise'!BA10&lt;=Assumptions!$G$10),Assumptions!$L$51,0)</f>
        <v>0</v>
      </c>
      <c r="BB91" s="102">
        <f>IF(AND(Assumptions!$M$48&gt;0,'Monthly Cash Flow Exercise'!BB10&gt;=Assumptions!$M$48,'Monthly Cash Flow Exercise'!BB10&lt;=Assumptions!$G$10),Assumptions!$L$51,0)</f>
        <v>0</v>
      </c>
      <c r="BC91" s="102">
        <f>IF(AND(Assumptions!$M$48&gt;0,'Monthly Cash Flow Exercise'!BC10&gt;=Assumptions!$M$48,'Monthly Cash Flow Exercise'!BC10&lt;=Assumptions!$G$10),Assumptions!$L$51,0)</f>
        <v>0</v>
      </c>
      <c r="BD91" s="102">
        <f>IF(AND(Assumptions!$M$48&gt;0,'Monthly Cash Flow Exercise'!BD10&gt;=Assumptions!$M$48,'Monthly Cash Flow Exercise'!BD10&lt;=Assumptions!$G$10),Assumptions!$L$51,0)</f>
        <v>0</v>
      </c>
      <c r="BE91" s="102">
        <f>IF(AND(Assumptions!$M$48&gt;0,'Monthly Cash Flow Exercise'!BE10&gt;=Assumptions!$M$48,'Monthly Cash Flow Exercise'!BE10&lt;=Assumptions!$G$10),Assumptions!$L$51,0)</f>
        <v>0</v>
      </c>
      <c r="BF91" s="102">
        <f>IF(AND(Assumptions!$M$48&gt;0,'Monthly Cash Flow Exercise'!BF10&gt;=Assumptions!$M$48,'Monthly Cash Flow Exercise'!BF10&lt;=Assumptions!$G$10),Assumptions!$L$51,0)</f>
        <v>0</v>
      </c>
      <c r="BG91" s="102">
        <f>IF(AND(Assumptions!$M$48&gt;0,'Monthly Cash Flow Exercise'!BG10&gt;=Assumptions!$M$48,'Monthly Cash Flow Exercise'!BG10&lt;=Assumptions!$G$10),Assumptions!$L$51,0)</f>
        <v>0</v>
      </c>
      <c r="BH91" s="102">
        <f>IF(AND(Assumptions!$M$48&gt;0,'Monthly Cash Flow Exercise'!BH10&gt;=Assumptions!$M$48,'Monthly Cash Flow Exercise'!BH10&lt;=Assumptions!$G$10),Assumptions!$L$51,0)</f>
        <v>0</v>
      </c>
      <c r="BI91" s="102">
        <f>IF(AND(Assumptions!$M$48&gt;0,'Monthly Cash Flow Exercise'!BI10&gt;=Assumptions!$M$48,'Monthly Cash Flow Exercise'!BI10&lt;=Assumptions!$G$10),Assumptions!$L$51,0)</f>
        <v>0</v>
      </c>
      <c r="BJ91" s="102">
        <f>IF(AND(Assumptions!$M$48&gt;0,'Monthly Cash Flow Exercise'!BJ10&gt;=Assumptions!$M$48,'Monthly Cash Flow Exercise'!BJ10&lt;=Assumptions!$G$10),Assumptions!$L$51,0)</f>
        <v>0</v>
      </c>
      <c r="BK91" s="102">
        <f ca="1">IF(AND(Assumptions!$M$48&gt;0,'Monthly Cash Flow Exercise'!BK10&gt;=Assumptions!$M$48,'Monthly Cash Flow Exercise'!BK10&lt;=Assumptions!$G$10),Assumptions!$L$51,0)</f>
        <v>-15921.621438517401</v>
      </c>
      <c r="BL91" s="102">
        <f ca="1">IF(AND(Assumptions!$M$48&gt;0,'Monthly Cash Flow Exercise'!BL10&gt;=Assumptions!$M$48,'Monthly Cash Flow Exercise'!BL10&lt;=Assumptions!$G$10),Assumptions!$L$51,0)</f>
        <v>-15921.621438517401</v>
      </c>
      <c r="BM91" s="102">
        <f ca="1">IF(AND(Assumptions!$M$48&gt;0,'Monthly Cash Flow Exercise'!BM10&gt;=Assumptions!$M$48,'Monthly Cash Flow Exercise'!BM10&lt;=Assumptions!$G$10),Assumptions!$L$51,0)</f>
        <v>-15921.621438517401</v>
      </c>
      <c r="BN91" s="102">
        <f ca="1">IF(AND(Assumptions!$M$48&gt;0,'Monthly Cash Flow Exercise'!BN10&gt;=Assumptions!$M$48,'Monthly Cash Flow Exercise'!BN10&lt;=Assumptions!$G$10),Assumptions!$L$51,0)</f>
        <v>-15921.621438517401</v>
      </c>
      <c r="BO91" s="102">
        <f ca="1">IF(AND(Assumptions!$M$48&gt;0,'Monthly Cash Flow Exercise'!BO10&gt;=Assumptions!$M$48,'Monthly Cash Flow Exercise'!BO10&lt;=Assumptions!$G$10),Assumptions!$L$51,0)</f>
        <v>-15921.621438517401</v>
      </c>
      <c r="BP91" s="102">
        <f ca="1">IF(AND(Assumptions!$M$48&gt;0,'Monthly Cash Flow Exercise'!BP10&gt;=Assumptions!$M$48,'Monthly Cash Flow Exercise'!BP10&lt;=Assumptions!$G$10),Assumptions!$L$51,0)</f>
        <v>-15921.621438517401</v>
      </c>
      <c r="BQ91" s="102">
        <f ca="1">IF(AND(Assumptions!$M$48&gt;0,'Monthly Cash Flow Exercise'!BQ10&gt;=Assumptions!$M$48,'Monthly Cash Flow Exercise'!BQ10&lt;=Assumptions!$G$10),Assumptions!$L$51,0)</f>
        <v>-15921.621438517401</v>
      </c>
      <c r="BR91" s="102">
        <f ca="1">IF(AND(Assumptions!$M$48&gt;0,'Monthly Cash Flow Exercise'!BR10&gt;=Assumptions!$M$48,'Monthly Cash Flow Exercise'!BR10&lt;=Assumptions!$G$10),Assumptions!$L$51,0)</f>
        <v>-15921.621438517401</v>
      </c>
      <c r="BS91" s="102">
        <f ca="1">IF(AND(Assumptions!$M$48&gt;0,'Monthly Cash Flow Exercise'!BS10&gt;=Assumptions!$M$48,'Monthly Cash Flow Exercise'!BS10&lt;=Assumptions!$G$10),Assumptions!$L$51,0)</f>
        <v>-15921.621438517401</v>
      </c>
      <c r="BT91" s="102">
        <f ca="1">IF(AND(Assumptions!$M$48&gt;0,'Monthly Cash Flow Exercise'!BT10&gt;=Assumptions!$M$48,'Monthly Cash Flow Exercise'!BT10&lt;=Assumptions!$G$10),Assumptions!$L$51,0)</f>
        <v>-15921.621438517401</v>
      </c>
      <c r="BU91" s="102">
        <f ca="1">IF(AND(Assumptions!$M$48&gt;0,'Monthly Cash Flow Exercise'!BU10&gt;=Assumptions!$M$48,'Monthly Cash Flow Exercise'!BU10&lt;=Assumptions!$G$10),Assumptions!$L$51,0)</f>
        <v>-15921.621438517401</v>
      </c>
      <c r="BV91" s="102">
        <f ca="1">IF(AND(Assumptions!$M$48&gt;0,'Monthly Cash Flow Exercise'!BV10&gt;=Assumptions!$M$48,'Monthly Cash Flow Exercise'!BV10&lt;=Assumptions!$G$10),Assumptions!$L$51,0)</f>
        <v>-15921.621438517401</v>
      </c>
      <c r="BW91" s="102">
        <f ca="1">IF(AND(Assumptions!$M$48&gt;0,'Monthly Cash Flow Exercise'!BW10&gt;=Assumptions!$M$48,'Monthly Cash Flow Exercise'!BW10&lt;=Assumptions!$G$10),Assumptions!$L$51,0)</f>
        <v>-15921.621438517401</v>
      </c>
      <c r="BX91" s="102">
        <f ca="1">IF(AND(Assumptions!$M$48&gt;0,'Monthly Cash Flow Exercise'!BX10&gt;=Assumptions!$M$48,'Monthly Cash Flow Exercise'!BX10&lt;=Assumptions!$G$10),Assumptions!$L$51,0)</f>
        <v>-15921.621438517401</v>
      </c>
      <c r="BY91" s="102">
        <f ca="1">IF(AND(Assumptions!$M$48&gt;0,'Monthly Cash Flow Exercise'!BY10&gt;=Assumptions!$M$48,'Monthly Cash Flow Exercise'!BY10&lt;=Assumptions!$G$10),Assumptions!$L$51,0)</f>
        <v>-15921.621438517401</v>
      </c>
      <c r="BZ91" s="102">
        <f ca="1">IF(AND(Assumptions!$M$48&gt;0,'Monthly Cash Flow Exercise'!BZ10&gt;=Assumptions!$M$48,'Monthly Cash Flow Exercise'!BZ10&lt;=Assumptions!$G$10),Assumptions!$L$51,0)</f>
        <v>-15921.621438517401</v>
      </c>
      <c r="CA91" s="102">
        <f ca="1">IF(AND(Assumptions!$M$48&gt;0,'Monthly Cash Flow Exercise'!CA10&gt;=Assumptions!$M$48,'Monthly Cash Flow Exercise'!CA10&lt;=Assumptions!$G$10),Assumptions!$L$51,0)</f>
        <v>-15921.621438517401</v>
      </c>
      <c r="CB91" s="102">
        <f ca="1">IF(AND(Assumptions!$M$48&gt;0,'Monthly Cash Flow Exercise'!CB10&gt;=Assumptions!$M$48,'Monthly Cash Flow Exercise'!CB10&lt;=Assumptions!$G$10),Assumptions!$L$51,0)</f>
        <v>-15921.621438517401</v>
      </c>
      <c r="CC91" s="102">
        <f ca="1">IF(AND(Assumptions!$M$48&gt;0,'Monthly Cash Flow Exercise'!CC10&gt;=Assumptions!$M$48,'Monthly Cash Flow Exercise'!CC10&lt;=Assumptions!$G$10),Assumptions!$L$51,0)</f>
        <v>-15921.621438517401</v>
      </c>
      <c r="CD91" s="102">
        <f ca="1">IF(AND(Assumptions!$M$48&gt;0,'Monthly Cash Flow Exercise'!CD10&gt;=Assumptions!$M$48,'Monthly Cash Flow Exercise'!CD10&lt;=Assumptions!$G$10),Assumptions!$L$51,0)</f>
        <v>-15921.621438517401</v>
      </c>
      <c r="CE91" s="102">
        <f ca="1">IF(AND(Assumptions!$M$48&gt;0,'Monthly Cash Flow Exercise'!CE10&gt;=Assumptions!$M$48,'Monthly Cash Flow Exercise'!CE10&lt;=Assumptions!$G$10),Assumptions!$L$51,0)</f>
        <v>-15921.621438517401</v>
      </c>
      <c r="CF91" s="102">
        <f ca="1">IF(AND(Assumptions!$M$48&gt;0,'Monthly Cash Flow Exercise'!CF10&gt;=Assumptions!$M$48,'Monthly Cash Flow Exercise'!CF10&lt;=Assumptions!$G$10),Assumptions!$L$51,0)</f>
        <v>-15921.621438517401</v>
      </c>
      <c r="CG91" s="102">
        <f ca="1">IF(AND(Assumptions!$M$48&gt;0,'Monthly Cash Flow Exercise'!CG10&gt;=Assumptions!$M$48,'Monthly Cash Flow Exercise'!CG10&lt;=Assumptions!$G$10),Assumptions!$L$51,0)</f>
        <v>-15921.621438517401</v>
      </c>
      <c r="CH91" s="102">
        <f ca="1">IF(AND(Assumptions!$M$48&gt;0,'Monthly Cash Flow Exercise'!CH10&gt;=Assumptions!$M$48,'Monthly Cash Flow Exercise'!CH10&lt;=Assumptions!$G$10),Assumptions!$L$51,0)</f>
        <v>-15921.621438517401</v>
      </c>
      <c r="CI91" s="102">
        <f ca="1">IF(AND(Assumptions!$M$48&gt;0,'Monthly Cash Flow Exercise'!CI10&gt;=Assumptions!$M$48,'Monthly Cash Flow Exercise'!CI10&lt;=Assumptions!$G$10),Assumptions!$L$51,0)</f>
        <v>-15921.621438517401</v>
      </c>
      <c r="CJ91" s="102">
        <f ca="1">IF(AND(Assumptions!$M$48&gt;0,'Monthly Cash Flow Exercise'!CJ10&gt;=Assumptions!$M$48,'Monthly Cash Flow Exercise'!CJ10&lt;=Assumptions!$G$10),Assumptions!$L$51,0)</f>
        <v>-15921.621438517401</v>
      </c>
      <c r="CK91" s="102">
        <f ca="1">IF(AND(Assumptions!$M$48&gt;0,'Monthly Cash Flow Exercise'!CK10&gt;=Assumptions!$M$48,'Monthly Cash Flow Exercise'!CK10&lt;=Assumptions!$G$10),Assumptions!$L$51,0)</f>
        <v>-15921.621438517401</v>
      </c>
      <c r="CL91" s="102">
        <f ca="1">IF(AND(Assumptions!$M$48&gt;0,'Monthly Cash Flow Exercise'!CL10&gt;=Assumptions!$M$48,'Monthly Cash Flow Exercise'!CL10&lt;=Assumptions!$G$10),Assumptions!$L$51,0)</f>
        <v>-15921.621438517401</v>
      </c>
      <c r="CM91" s="102">
        <f ca="1">IF(AND(Assumptions!$M$48&gt;0,'Monthly Cash Flow Exercise'!CM10&gt;=Assumptions!$M$48,'Monthly Cash Flow Exercise'!CM10&lt;=Assumptions!$G$10),Assumptions!$L$51,0)</f>
        <v>-15921.621438517401</v>
      </c>
      <c r="CN91" s="102">
        <f ca="1">IF(AND(Assumptions!$M$48&gt;0,'Monthly Cash Flow Exercise'!CN10&gt;=Assumptions!$M$48,'Monthly Cash Flow Exercise'!CN10&lt;=Assumptions!$G$10),Assumptions!$L$51,0)</f>
        <v>-15921.621438517401</v>
      </c>
      <c r="CO91" s="102">
        <f ca="1">IF(AND(Assumptions!$M$48&gt;0,'Monthly Cash Flow Exercise'!CO10&gt;=Assumptions!$M$48,'Monthly Cash Flow Exercise'!CO10&lt;=Assumptions!$G$10),Assumptions!$L$51,0)</f>
        <v>-15921.621438517401</v>
      </c>
      <c r="CP91" s="102">
        <f ca="1">IF(AND(Assumptions!$M$48&gt;0,'Monthly Cash Flow Exercise'!CP10&gt;=Assumptions!$M$48,'Monthly Cash Flow Exercise'!CP10&lt;=Assumptions!$G$10),Assumptions!$L$51,0)</f>
        <v>-15921.621438517401</v>
      </c>
      <c r="CQ91" s="102">
        <f ca="1">IF(AND(Assumptions!$M$48&gt;0,'Monthly Cash Flow Exercise'!CQ10&gt;=Assumptions!$M$48,'Monthly Cash Flow Exercise'!CQ10&lt;=Assumptions!$G$10),Assumptions!$L$51,0)</f>
        <v>-15921.621438517401</v>
      </c>
      <c r="CR91" s="102">
        <f ca="1">IF(AND(Assumptions!$M$48&gt;0,'Monthly Cash Flow Exercise'!CR10&gt;=Assumptions!$M$48,'Monthly Cash Flow Exercise'!CR10&lt;=Assumptions!$G$10),Assumptions!$L$51,0)</f>
        <v>-15921.621438517401</v>
      </c>
      <c r="CS91" s="102">
        <f ca="1">IF(AND(Assumptions!$M$48&gt;0,'Monthly Cash Flow Exercise'!CS10&gt;=Assumptions!$M$48,'Monthly Cash Flow Exercise'!CS10&lt;=Assumptions!$G$10),Assumptions!$L$51,0)</f>
        <v>-15921.621438517401</v>
      </c>
      <c r="CT91" s="102">
        <f ca="1">IF(AND(Assumptions!$M$48&gt;0,'Monthly Cash Flow Exercise'!CT10&gt;=Assumptions!$M$48,'Monthly Cash Flow Exercise'!CT10&lt;=Assumptions!$G$10),Assumptions!$L$51,0)</f>
        <v>-15921.621438517401</v>
      </c>
      <c r="CU91" s="102">
        <f ca="1">IF(AND(Assumptions!$M$48&gt;0,'Monthly Cash Flow Exercise'!CU10&gt;=Assumptions!$M$48,'Monthly Cash Flow Exercise'!CU10&lt;=Assumptions!$G$10),Assumptions!$L$51,0)</f>
        <v>-15921.621438517401</v>
      </c>
      <c r="CV91" s="102">
        <f ca="1">IF(AND(Assumptions!$M$48&gt;0,'Monthly Cash Flow Exercise'!CV10&gt;=Assumptions!$M$48,'Monthly Cash Flow Exercise'!CV10&lt;=Assumptions!$G$10),Assumptions!$L$51,0)</f>
        <v>-15921.621438517401</v>
      </c>
      <c r="CW91" s="102">
        <f ca="1">IF(AND(Assumptions!$M$48&gt;0,'Monthly Cash Flow Exercise'!CW10&gt;=Assumptions!$M$48,'Monthly Cash Flow Exercise'!CW10&lt;=Assumptions!$G$10),Assumptions!$L$51,0)</f>
        <v>-15921.621438517401</v>
      </c>
      <c r="CX91" s="102">
        <f ca="1">IF(AND(Assumptions!$M$48&gt;0,'Monthly Cash Flow Exercise'!CX10&gt;=Assumptions!$M$48,'Monthly Cash Flow Exercise'!CX10&lt;=Assumptions!$G$10),Assumptions!$L$51,0)</f>
        <v>-15921.621438517401</v>
      </c>
      <c r="CY91" s="102">
        <f ca="1">IF(AND(Assumptions!$M$48&gt;0,'Monthly Cash Flow Exercise'!CY10&gt;=Assumptions!$M$48,'Monthly Cash Flow Exercise'!CY10&lt;=Assumptions!$G$10),Assumptions!$L$51,0)</f>
        <v>-15921.621438517401</v>
      </c>
      <c r="CZ91" s="102">
        <f ca="1">IF(AND(Assumptions!$M$48&gt;0,'Monthly Cash Flow Exercise'!CZ10&gt;=Assumptions!$M$48,'Monthly Cash Flow Exercise'!CZ10&lt;=Assumptions!$G$10),Assumptions!$L$51,0)</f>
        <v>-15921.621438517401</v>
      </c>
      <c r="DA91" s="102">
        <f ca="1">IF(AND(Assumptions!$M$48&gt;0,'Monthly Cash Flow Exercise'!DA10&gt;=Assumptions!$M$48,'Monthly Cash Flow Exercise'!DA10&lt;=Assumptions!$G$10),Assumptions!$L$51,0)</f>
        <v>-15921.621438517401</v>
      </c>
      <c r="DB91" s="102">
        <f ca="1">IF(AND(Assumptions!$M$48&gt;0,'Monthly Cash Flow Exercise'!DB10&gt;=Assumptions!$M$48,'Monthly Cash Flow Exercise'!DB10&lt;=Assumptions!$G$10),Assumptions!$L$51,0)</f>
        <v>-15921.621438517401</v>
      </c>
      <c r="DC91" s="102">
        <f ca="1">IF(AND(Assumptions!$M$48&gt;0,'Monthly Cash Flow Exercise'!DC10&gt;=Assumptions!$M$48,'Monthly Cash Flow Exercise'!DC10&lt;=Assumptions!$G$10),Assumptions!$L$51,0)</f>
        <v>-15921.621438517401</v>
      </c>
      <c r="DD91" s="102">
        <f ca="1">IF(AND(Assumptions!$M$48&gt;0,'Monthly Cash Flow Exercise'!DD10&gt;=Assumptions!$M$48,'Monthly Cash Flow Exercise'!DD10&lt;=Assumptions!$G$10),Assumptions!$L$51,0)</f>
        <v>-15921.621438517401</v>
      </c>
      <c r="DE91" s="102">
        <f ca="1">IF(AND(Assumptions!$M$48&gt;0,'Monthly Cash Flow Exercise'!DE10&gt;=Assumptions!$M$48,'Monthly Cash Flow Exercise'!DE10&lt;=Assumptions!$G$10),Assumptions!$L$51,0)</f>
        <v>-15921.621438517401</v>
      </c>
      <c r="DF91" s="102">
        <f ca="1">IF(AND(Assumptions!$M$48&gt;0,'Monthly Cash Flow Exercise'!DF10&gt;=Assumptions!$M$48,'Monthly Cash Flow Exercise'!DF10&lt;=Assumptions!$G$10),Assumptions!$L$51,0)</f>
        <v>-15921.621438517401</v>
      </c>
      <c r="DG91" s="102">
        <f ca="1">IF(AND(Assumptions!$M$48&gt;0,'Monthly Cash Flow Exercise'!DG10&gt;=Assumptions!$M$48,'Monthly Cash Flow Exercise'!DG10&lt;=Assumptions!$G$10),Assumptions!$L$51,0)</f>
        <v>-15921.621438517401</v>
      </c>
      <c r="DH91" s="102">
        <f>IF(AND(Assumptions!$M$48&gt;0,'Monthly Cash Flow Exercise'!DH10&gt;=Assumptions!$M$48,'Monthly Cash Flow Exercise'!DH10&lt;=Assumptions!$G$10),Assumptions!$L$51,0)</f>
        <v>0</v>
      </c>
      <c r="DI91" s="102">
        <f>IF(AND(Assumptions!$M$48&gt;0,'Monthly Cash Flow Exercise'!DI10&gt;=Assumptions!$M$48,'Monthly Cash Flow Exercise'!DI10&lt;=Assumptions!$G$10),Assumptions!$L$51,0)</f>
        <v>0</v>
      </c>
      <c r="DJ91" s="102">
        <f>IF(AND(Assumptions!$M$48&gt;0,'Monthly Cash Flow Exercise'!DJ10&gt;=Assumptions!$M$48,'Monthly Cash Flow Exercise'!DJ10&lt;=Assumptions!$G$10),Assumptions!$L$51,0)</f>
        <v>0</v>
      </c>
      <c r="DK91" s="102">
        <f>IF(AND(Assumptions!$M$48&gt;0,'Monthly Cash Flow Exercise'!DK10&gt;=Assumptions!$M$48,'Monthly Cash Flow Exercise'!DK10&lt;=Assumptions!$G$10),Assumptions!$L$51,0)</f>
        <v>0</v>
      </c>
      <c r="DL91" s="102">
        <f>IF(AND(Assumptions!$M$48&gt;0,'Monthly Cash Flow Exercise'!DL10&gt;=Assumptions!$M$48,'Monthly Cash Flow Exercise'!DL10&lt;=Assumptions!$G$10),Assumptions!$L$51,0)</f>
        <v>0</v>
      </c>
      <c r="DM91" s="102">
        <f>IF(AND(Assumptions!$M$48&gt;0,'Monthly Cash Flow Exercise'!DM10&gt;=Assumptions!$M$48,'Monthly Cash Flow Exercise'!DM10&lt;=Assumptions!$G$10),Assumptions!$L$51,0)</f>
        <v>0</v>
      </c>
      <c r="DN91" s="102">
        <f>IF(AND(Assumptions!$M$48&gt;0,'Monthly Cash Flow Exercise'!DN10&gt;=Assumptions!$M$48,'Monthly Cash Flow Exercise'!DN10&lt;=Assumptions!$G$10),Assumptions!$L$51,0)</f>
        <v>0</v>
      </c>
      <c r="DO91" s="102">
        <f>IF(AND(Assumptions!$M$48&gt;0,'Monthly Cash Flow Exercise'!DO10&gt;=Assumptions!$M$48,'Monthly Cash Flow Exercise'!DO10&lt;=Assumptions!$G$10),Assumptions!$L$51,0)</f>
        <v>0</v>
      </c>
      <c r="DP91" s="102">
        <f>IF(AND(Assumptions!$M$48&gt;0,'Monthly Cash Flow Exercise'!DP10&gt;=Assumptions!$M$48,'Monthly Cash Flow Exercise'!DP10&lt;=Assumptions!$G$10),Assumptions!$L$51,0)</f>
        <v>0</v>
      </c>
      <c r="DQ91" s="102">
        <f>IF(AND(Assumptions!$M$48&gt;0,'Monthly Cash Flow Exercise'!DQ10&gt;=Assumptions!$M$48,'Monthly Cash Flow Exercise'!DQ10&lt;=Assumptions!$G$10),Assumptions!$L$51,0)</f>
        <v>0</v>
      </c>
      <c r="DR91" s="102">
        <f>IF(AND(Assumptions!$M$48&gt;0,'Monthly Cash Flow Exercise'!DR10&gt;=Assumptions!$M$48,'Monthly Cash Flow Exercise'!DR10&lt;=Assumptions!$G$10),Assumptions!$L$51,0)</f>
        <v>0</v>
      </c>
      <c r="DS91" s="102">
        <f>IF(AND(Assumptions!$M$48&gt;0,'Monthly Cash Flow Exercise'!DS10&gt;=Assumptions!$M$48,'Monthly Cash Flow Exercise'!DS10&lt;=Assumptions!$G$10),Assumptions!$L$51,0)</f>
        <v>0</v>
      </c>
      <c r="DT91" s="102">
        <f>IF(AND(Assumptions!$M$48&gt;0,'Monthly Cash Flow Exercise'!DT10&gt;=Assumptions!$M$48,'Monthly Cash Flow Exercise'!DT10&lt;=Assumptions!$G$10),Assumptions!$L$51,0)</f>
        <v>0</v>
      </c>
      <c r="DU91" s="102">
        <f>IF(AND(Assumptions!$M$48&gt;0,'Monthly Cash Flow Exercise'!DU10&gt;=Assumptions!$M$48,'Monthly Cash Flow Exercise'!DU10&lt;=Assumptions!$G$10),Assumptions!$L$51,0)</f>
        <v>0</v>
      </c>
      <c r="DV91" s="102">
        <f>IF(AND(Assumptions!$M$48&gt;0,'Monthly Cash Flow Exercise'!DV10&gt;=Assumptions!$M$48,'Monthly Cash Flow Exercise'!DV10&lt;=Assumptions!$G$10),Assumptions!$L$51,0)</f>
        <v>0</v>
      </c>
      <c r="DW91" s="102">
        <f>IF(AND(Assumptions!$M$48&gt;0,'Monthly Cash Flow Exercise'!DW10&gt;=Assumptions!$M$48,'Monthly Cash Flow Exercise'!DW10&lt;=Assumptions!$G$10),Assumptions!$L$51,0)</f>
        <v>0</v>
      </c>
      <c r="DX91" s="102">
        <f>IF(AND(Assumptions!$M$48&gt;0,'Monthly Cash Flow Exercise'!DX10&gt;=Assumptions!$M$48,'Monthly Cash Flow Exercise'!DX10&lt;=Assumptions!$G$10),Assumptions!$L$51,0)</f>
        <v>0</v>
      </c>
      <c r="DY91" s="102">
        <f>IF(AND(Assumptions!$M$48&gt;0,'Monthly Cash Flow Exercise'!DY10&gt;=Assumptions!$M$48,'Monthly Cash Flow Exercise'!DY10&lt;=Assumptions!$G$10),Assumptions!$L$51,0)</f>
        <v>0</v>
      </c>
      <c r="DZ91" s="102">
        <f>IF(AND(Assumptions!$M$48&gt;0,'Monthly Cash Flow Exercise'!DZ10&gt;=Assumptions!$M$48,'Monthly Cash Flow Exercise'!DZ10&lt;=Assumptions!$G$10),Assumptions!$L$51,0)</f>
        <v>0</v>
      </c>
      <c r="EA91" s="102">
        <f>IF(AND(Assumptions!$M$48&gt;0,'Monthly Cash Flow Exercise'!EA10&gt;=Assumptions!$M$48,'Monthly Cash Flow Exercise'!EA10&lt;=Assumptions!$G$10),Assumptions!$L$51,0)</f>
        <v>0</v>
      </c>
      <c r="EB91" s="102">
        <f>IF(AND(Assumptions!$M$48&gt;0,'Monthly Cash Flow Exercise'!EB10&gt;=Assumptions!$M$48,'Monthly Cash Flow Exercise'!EB10&lt;=Assumptions!$G$10),Assumptions!$L$51,0)</f>
        <v>0</v>
      </c>
      <c r="EC91" s="102">
        <f>IF(AND(Assumptions!$M$48&gt;0,'Monthly Cash Flow Exercise'!EC10&gt;=Assumptions!$M$48,'Monthly Cash Flow Exercise'!EC10&lt;=Assumptions!$G$10),Assumptions!$L$51,0)</f>
        <v>0</v>
      </c>
      <c r="ED91" s="102">
        <f>IF(AND(Assumptions!$M$48&gt;0,'Monthly Cash Flow Exercise'!ED10&gt;=Assumptions!$M$48,'Monthly Cash Flow Exercise'!ED10&lt;=Assumptions!$G$10),Assumptions!$L$51,0)</f>
        <v>0</v>
      </c>
      <c r="EE91" s="102">
        <f>IF(AND(Assumptions!$M$48&gt;0,'Monthly Cash Flow Exercise'!EE10&gt;=Assumptions!$M$48,'Monthly Cash Flow Exercise'!EE10&lt;=Assumptions!$G$10),Assumptions!$L$51,0)</f>
        <v>0</v>
      </c>
      <c r="EF91" s="102">
        <f>IF(AND(Assumptions!$M$48&gt;0,'Monthly Cash Flow Exercise'!EF10&gt;=Assumptions!$M$48,'Monthly Cash Flow Exercise'!EF10&lt;=Assumptions!$G$10),Assumptions!$L$51,0)</f>
        <v>0</v>
      </c>
      <c r="EG91" s="102">
        <f>IF(AND(Assumptions!$M$48&gt;0,'Monthly Cash Flow Exercise'!EG10&gt;=Assumptions!$M$48,'Monthly Cash Flow Exercise'!EG10&lt;=Assumptions!$G$10),Assumptions!$L$51,0)</f>
        <v>0</v>
      </c>
      <c r="EH91" s="102">
        <f>IF(AND(Assumptions!$M$48&gt;0,'Monthly Cash Flow Exercise'!EH10&gt;=Assumptions!$M$48,'Monthly Cash Flow Exercise'!EH10&lt;=Assumptions!$G$10),Assumptions!$L$51,0)</f>
        <v>0</v>
      </c>
      <c r="EI91" s="102">
        <f>IF(AND(Assumptions!$M$48&gt;0,'Monthly Cash Flow Exercise'!EI10&gt;=Assumptions!$M$48,'Monthly Cash Flow Exercise'!EI10&lt;=Assumptions!$G$10),Assumptions!$L$51,0)</f>
        <v>0</v>
      </c>
      <c r="EJ91" s="102">
        <f>IF(AND(Assumptions!$M$48&gt;0,'Monthly Cash Flow Exercise'!EJ10&gt;=Assumptions!$M$48,'Monthly Cash Flow Exercise'!EJ10&lt;=Assumptions!$G$10),Assumptions!$L$51,0)</f>
        <v>0</v>
      </c>
      <c r="EK91" s="102">
        <f>IF(AND(Assumptions!$M$48&gt;0,'Monthly Cash Flow Exercise'!EK10&gt;=Assumptions!$M$48,'Monthly Cash Flow Exercise'!EK10&lt;=Assumptions!$G$10),Assumptions!$L$51,0)</f>
        <v>0</v>
      </c>
      <c r="EL91" s="102">
        <f>IF(AND(Assumptions!$M$48&gt;0,'Monthly Cash Flow Exercise'!EL10&gt;=Assumptions!$M$48,'Monthly Cash Flow Exercise'!EL10&lt;=Assumptions!$G$10),Assumptions!$L$51,0)</f>
        <v>0</v>
      </c>
      <c r="EM91" s="102">
        <f>IF(AND(Assumptions!$M$48&gt;0,'Monthly Cash Flow Exercise'!EM10&gt;=Assumptions!$M$48,'Monthly Cash Flow Exercise'!EM10&lt;=Assumptions!$G$10),Assumptions!$L$51,0)</f>
        <v>0</v>
      </c>
      <c r="EN91" s="102">
        <f>IF(AND(Assumptions!$M$48&gt;0,'Monthly Cash Flow Exercise'!EN10&gt;=Assumptions!$M$48,'Monthly Cash Flow Exercise'!EN10&lt;=Assumptions!$G$10),Assumptions!$L$51,0)</f>
        <v>0</v>
      </c>
      <c r="EO91" s="102">
        <f>IF(AND(Assumptions!$M$48&gt;0,'Monthly Cash Flow Exercise'!EO10&gt;=Assumptions!$M$48,'Monthly Cash Flow Exercise'!EO10&lt;=Assumptions!$G$10),Assumptions!$L$51,0)</f>
        <v>0</v>
      </c>
      <c r="EP91" s="102">
        <f>IF(AND(Assumptions!$M$48&gt;0,'Monthly Cash Flow Exercise'!EP10&gt;=Assumptions!$M$48,'Monthly Cash Flow Exercise'!EP10&lt;=Assumptions!$G$10),Assumptions!$L$51,0)</f>
        <v>0</v>
      </c>
      <c r="EQ91" s="102">
        <f>IF(AND(Assumptions!$M$48&gt;0,'Monthly Cash Flow Exercise'!EQ10&gt;=Assumptions!$M$48,'Monthly Cash Flow Exercise'!EQ10&lt;=Assumptions!$G$10),Assumptions!$L$51,0)</f>
        <v>0</v>
      </c>
      <c r="ES91" s="98"/>
      <c r="ET91" s="98"/>
      <c r="EU91" s="98"/>
    </row>
    <row r="92" spans="7:151" ht="15.75">
      <c r="G92" s="94"/>
      <c r="H92" s="117"/>
      <c r="I92" s="95"/>
      <c r="J92" s="102"/>
      <c r="K92" s="102"/>
      <c r="L92" s="102"/>
      <c r="M92" s="102"/>
      <c r="N92" s="585" t="s">
        <v>10</v>
      </c>
      <c r="O92" s="585"/>
      <c r="P92" s="102"/>
      <c r="Q92" s="104"/>
      <c r="R92" s="104"/>
      <c r="S92" s="105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4"/>
      <c r="BL92" s="104"/>
      <c r="BM92" s="104"/>
      <c r="BN92" s="104"/>
      <c r="BO92" s="104"/>
      <c r="BP92" s="104"/>
      <c r="BQ92" s="104"/>
      <c r="BR92" s="104"/>
      <c r="BS92" s="104"/>
      <c r="BT92" s="104"/>
      <c r="BU92" s="104"/>
      <c r="BV92" s="104"/>
      <c r="BW92" s="104"/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4"/>
      <c r="CP92" s="104"/>
      <c r="CQ92" s="104"/>
      <c r="CR92" s="104"/>
      <c r="CS92" s="104"/>
      <c r="CT92" s="104"/>
      <c r="CU92" s="104"/>
      <c r="CV92" s="104"/>
      <c r="CW92" s="104"/>
      <c r="CX92" s="104"/>
      <c r="CY92" s="104"/>
      <c r="CZ92" s="104"/>
      <c r="DA92" s="104"/>
      <c r="DB92" s="104"/>
      <c r="DC92" s="104"/>
      <c r="DD92" s="104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104"/>
      <c r="DP92" s="104"/>
      <c r="DQ92" s="104"/>
      <c r="DR92" s="104"/>
      <c r="DS92" s="104"/>
      <c r="DT92" s="104"/>
      <c r="DU92" s="104"/>
      <c r="DV92" s="104"/>
      <c r="DW92" s="104"/>
      <c r="DX92" s="104"/>
      <c r="DY92" s="104"/>
      <c r="DZ92" s="104"/>
      <c r="EA92" s="104"/>
      <c r="EB92" s="104"/>
      <c r="EC92" s="104"/>
      <c r="ED92" s="104"/>
      <c r="EE92" s="104"/>
      <c r="EF92" s="104"/>
      <c r="EG92" s="104"/>
      <c r="EH92" s="104"/>
      <c r="EI92" s="104"/>
      <c r="EJ92" s="104"/>
      <c r="EK92" s="104"/>
      <c r="EL92" s="104"/>
      <c r="EM92" s="104"/>
      <c r="EN92" s="104"/>
      <c r="EO92" s="104"/>
      <c r="EP92" s="104"/>
      <c r="EQ92" s="104"/>
      <c r="ES92" s="98"/>
      <c r="ET92" s="98"/>
      <c r="EU92" s="98"/>
    </row>
    <row r="93" spans="7:151" ht="15.75">
      <c r="G93" s="101" t="s">
        <v>315</v>
      </c>
      <c r="H93" s="117"/>
      <c r="I93" s="95"/>
      <c r="J93" s="102"/>
      <c r="K93" s="102"/>
      <c r="L93" s="102"/>
      <c r="M93" s="102"/>
      <c r="N93" s="102">
        <f ca="1">SUM(P93:EQ93)</f>
        <v>5501414.4785149265</v>
      </c>
      <c r="O93" s="102">
        <f>SUM(O82:O91)</f>
        <v>-2894896.8</v>
      </c>
      <c r="P93" s="102">
        <f ca="1">SUM(P82:P91)</f>
        <v>16044.999558333333</v>
      </c>
      <c r="Q93" s="102">
        <f t="shared" ref="Q93:CB93" ca="1" si="78">SUM(Q82:Q91)</f>
        <v>8544.9995583333366</v>
      </c>
      <c r="R93" s="102">
        <f t="shared" ca="1" si="78"/>
        <v>-13955.000441666663</v>
      </c>
      <c r="S93" s="102">
        <f t="shared" ca="1" si="78"/>
        <v>-21455.000441666663</v>
      </c>
      <c r="T93" s="102">
        <f t="shared" ca="1" si="78"/>
        <v>16145.712058333334</v>
      </c>
      <c r="U93" s="102">
        <f t="shared" ca="1" si="78"/>
        <v>16548.562058333333</v>
      </c>
      <c r="V93" s="102">
        <f t="shared" ca="1" si="78"/>
        <v>17052.124558333337</v>
      </c>
      <c r="W93" s="102">
        <f t="shared" ca="1" si="78"/>
        <v>17052.124558333337</v>
      </c>
      <c r="X93" s="102">
        <f t="shared" ca="1" si="78"/>
        <v>17052.124558333337</v>
      </c>
      <c r="Y93" s="102">
        <f t="shared" ca="1" si="78"/>
        <v>17052.124558333337</v>
      </c>
      <c r="Z93" s="102">
        <f t="shared" ca="1" si="78"/>
        <v>17052.124558333337</v>
      </c>
      <c r="AA93" s="102">
        <f t="shared" ca="1" si="78"/>
        <v>17052.124558333337</v>
      </c>
      <c r="AB93" s="102">
        <f t="shared" ca="1" si="78"/>
        <v>-20607.420161734113</v>
      </c>
      <c r="AC93" s="102">
        <f t="shared" ca="1" si="78"/>
        <v>-20607.420161734113</v>
      </c>
      <c r="AD93" s="102">
        <f t="shared" ca="1" si="78"/>
        <v>18017.579838265887</v>
      </c>
      <c r="AE93" s="102">
        <f t="shared" ca="1" si="78"/>
        <v>-20063.756217134116</v>
      </c>
      <c r="AF93" s="102">
        <f t="shared" ca="1" si="78"/>
        <v>19104.907727465885</v>
      </c>
      <c r="AG93" s="102">
        <f t="shared" ca="1" si="78"/>
        <v>19104.907727465885</v>
      </c>
      <c r="AH93" s="102">
        <f t="shared" ca="1" si="78"/>
        <v>19648.571672065882</v>
      </c>
      <c r="AI93" s="102">
        <f t="shared" ca="1" si="78"/>
        <v>19648.571672065882</v>
      </c>
      <c r="AJ93" s="102">
        <f t="shared" ca="1" si="78"/>
        <v>19648.571672065882</v>
      </c>
      <c r="AK93" s="102">
        <f t="shared" ca="1" si="78"/>
        <v>19648.571672065882</v>
      </c>
      <c r="AL93" s="102">
        <f t="shared" ca="1" si="78"/>
        <v>19648.571672065882</v>
      </c>
      <c r="AM93" s="102">
        <f t="shared" ca="1" si="78"/>
        <v>19648.571672065882</v>
      </c>
      <c r="AN93" s="102">
        <f t="shared" ca="1" si="78"/>
        <v>20695.926482111317</v>
      </c>
      <c r="AO93" s="102">
        <f t="shared" ca="1" si="78"/>
        <v>20695.926482111317</v>
      </c>
      <c r="AP93" s="102">
        <f t="shared" ca="1" si="78"/>
        <v>20695.926482111317</v>
      </c>
      <c r="AQ93" s="102">
        <f t="shared" ca="1" si="78"/>
        <v>-11131.073517888683</v>
      </c>
      <c r="AR93" s="102">
        <f t="shared" ca="1" si="78"/>
        <v>20695.926482111317</v>
      </c>
      <c r="AS93" s="102">
        <f t="shared" ca="1" si="78"/>
        <v>12739.176482111317</v>
      </c>
      <c r="AT93" s="102">
        <f t="shared" ca="1" si="78"/>
        <v>21150.902100208274</v>
      </c>
      <c r="AU93" s="102">
        <f t="shared" ca="1" si="78"/>
        <v>21150.902100208274</v>
      </c>
      <c r="AV93" s="102">
        <f t="shared" ca="1" si="78"/>
        <v>21264.646004732516</v>
      </c>
      <c r="AW93" s="102">
        <f t="shared" ca="1" si="78"/>
        <v>21264.646004732516</v>
      </c>
      <c r="AX93" s="102">
        <f t="shared" ca="1" si="78"/>
        <v>21264.646004732516</v>
      </c>
      <c r="AY93" s="102">
        <f t="shared" ca="1" si="78"/>
        <v>21264.646004732516</v>
      </c>
      <c r="AZ93" s="102">
        <f t="shared" ca="1" si="78"/>
        <v>21988.804600566182</v>
      </c>
      <c r="BA93" s="102">
        <f t="shared" ca="1" si="78"/>
        <v>21988.804600566182</v>
      </c>
      <c r="BB93" s="102">
        <f t="shared" ca="1" si="78"/>
        <v>21988.804600566182</v>
      </c>
      <c r="BC93" s="102">
        <f t="shared" ca="1" si="78"/>
        <v>21988.804600566182</v>
      </c>
      <c r="BD93" s="102">
        <f t="shared" ca="1" si="78"/>
        <v>21988.804600566182</v>
      </c>
      <c r="BE93" s="102">
        <f t="shared" ca="1" si="78"/>
        <v>21988.804600566182</v>
      </c>
      <c r="BF93" s="102">
        <f t="shared" ca="1" si="78"/>
        <v>21988.804600566182</v>
      </c>
      <c r="BG93" s="102">
        <f t="shared" ca="1" si="78"/>
        <v>21988.804600566182</v>
      </c>
      <c r="BH93" s="102">
        <f t="shared" ca="1" si="78"/>
        <v>21988.804600566182</v>
      </c>
      <c r="BI93" s="102">
        <f t="shared" ca="1" si="78"/>
        <v>21988.804600566182</v>
      </c>
      <c r="BJ93" s="102">
        <f t="shared" ca="1" si="78"/>
        <v>21988.804600566182</v>
      </c>
      <c r="BK93" s="102">
        <f t="shared" ca="1" si="78"/>
        <v>6067.183162048781</v>
      </c>
      <c r="BL93" s="102">
        <f t="shared" ca="1" si="78"/>
        <v>6637.7828502562352</v>
      </c>
      <c r="BM93" s="102">
        <f t="shared" ca="1" si="78"/>
        <v>6637.7828502562352</v>
      </c>
      <c r="BN93" s="102">
        <f t="shared" ca="1" si="78"/>
        <v>6637.7828502562352</v>
      </c>
      <c r="BO93" s="102">
        <f t="shared" ca="1" si="78"/>
        <v>6637.7828502562352</v>
      </c>
      <c r="BP93" s="102">
        <f t="shared" ca="1" si="78"/>
        <v>6637.7828502562352</v>
      </c>
      <c r="BQ93" s="102">
        <f t="shared" ca="1" si="78"/>
        <v>6637.7828502562352</v>
      </c>
      <c r="BR93" s="102">
        <f t="shared" ca="1" si="78"/>
        <v>6637.7828502562352</v>
      </c>
      <c r="BS93" s="102">
        <f t="shared" ca="1" si="78"/>
        <v>6637.7828502562352</v>
      </c>
      <c r="BT93" s="102">
        <f t="shared" ca="1" si="78"/>
        <v>6637.7828502562352</v>
      </c>
      <c r="BU93" s="102">
        <f t="shared" ca="1" si="78"/>
        <v>6637.7828502562352</v>
      </c>
      <c r="BV93" s="102">
        <f t="shared" ca="1" si="78"/>
        <v>6637.7828502562352</v>
      </c>
      <c r="BW93" s="102">
        <f t="shared" ca="1" si="78"/>
        <v>6637.7828502562352</v>
      </c>
      <c r="BX93" s="102">
        <f t="shared" ca="1" si="78"/>
        <v>7314.5649789194485</v>
      </c>
      <c r="BY93" s="102">
        <f t="shared" ca="1" si="78"/>
        <v>7314.5649789194485</v>
      </c>
      <c r="BZ93" s="102">
        <f t="shared" ca="1" si="78"/>
        <v>7314.5649789194485</v>
      </c>
      <c r="CA93" s="102">
        <f t="shared" ca="1" si="78"/>
        <v>7314.5649789194485</v>
      </c>
      <c r="CB93" s="102">
        <f t="shared" ca="1" si="78"/>
        <v>7314.5649789194485</v>
      </c>
      <c r="CC93" s="102">
        <f t="shared" ref="CC93:EN93" ca="1" si="79">SUM(CC82:CC91)</f>
        <v>7314.5649789194485</v>
      </c>
      <c r="CD93" s="102">
        <f t="shared" ca="1" si="79"/>
        <v>7314.5649789194485</v>
      </c>
      <c r="CE93" s="102">
        <f t="shared" ca="1" si="79"/>
        <v>7314.5649789194485</v>
      </c>
      <c r="CF93" s="102">
        <f t="shared" ca="1" si="79"/>
        <v>7314.5649789194485</v>
      </c>
      <c r="CG93" s="102">
        <f t="shared" ca="1" si="79"/>
        <v>7314.5649789194485</v>
      </c>
      <c r="CH93" s="102">
        <f t="shared" ca="1" si="79"/>
        <v>7314.5649789194485</v>
      </c>
      <c r="CI93" s="102">
        <f t="shared" ca="1" si="79"/>
        <v>7314.5649789194485</v>
      </c>
      <c r="CJ93" s="102">
        <f t="shared" ca="1" si="79"/>
        <v>8011.6505714425602</v>
      </c>
      <c r="CK93" s="102">
        <f t="shared" ca="1" si="79"/>
        <v>8011.6505714425602</v>
      </c>
      <c r="CL93" s="102">
        <f t="shared" ca="1" si="79"/>
        <v>8011.6505714425602</v>
      </c>
      <c r="CM93" s="102">
        <f t="shared" ca="1" si="79"/>
        <v>8011.6505714425602</v>
      </c>
      <c r="CN93" s="102">
        <f t="shared" ca="1" si="79"/>
        <v>8011.6505714425602</v>
      </c>
      <c r="CO93" s="102">
        <f t="shared" ca="1" si="79"/>
        <v>8011.6505714425602</v>
      </c>
      <c r="CP93" s="102">
        <f t="shared" ca="1" si="79"/>
        <v>8011.6505714425602</v>
      </c>
      <c r="CQ93" s="102">
        <f t="shared" ca="1" si="79"/>
        <v>8011.6505714425602</v>
      </c>
      <c r="CR93" s="102">
        <f t="shared" ca="1" si="79"/>
        <v>8011.6505714425602</v>
      </c>
      <c r="CS93" s="102">
        <f t="shared" ca="1" si="79"/>
        <v>8011.6505714425602</v>
      </c>
      <c r="CT93" s="102">
        <f t="shared" ca="1" si="79"/>
        <v>8011.6505714425602</v>
      </c>
      <c r="CU93" s="102">
        <f t="shared" ca="1" si="79"/>
        <v>8011.6505714425602</v>
      </c>
      <c r="CV93" s="102">
        <f t="shared" ca="1" si="79"/>
        <v>8729.6487317413576</v>
      </c>
      <c r="CW93" s="102">
        <f t="shared" ca="1" si="79"/>
        <v>8729.6487317413576</v>
      </c>
      <c r="CX93" s="102">
        <f t="shared" ca="1" si="79"/>
        <v>8729.6487317413576</v>
      </c>
      <c r="CY93" s="102">
        <f t="shared" ca="1" si="79"/>
        <v>8729.6487317413576</v>
      </c>
      <c r="CZ93" s="102">
        <f t="shared" ca="1" si="79"/>
        <v>8729.6487317413576</v>
      </c>
      <c r="DA93" s="102">
        <f t="shared" ca="1" si="79"/>
        <v>8729.6487317413576</v>
      </c>
      <c r="DB93" s="102">
        <f t="shared" ca="1" si="79"/>
        <v>8729.6487317413576</v>
      </c>
      <c r="DC93" s="102">
        <f t="shared" ca="1" si="79"/>
        <v>8729.6487317413576</v>
      </c>
      <c r="DD93" s="102">
        <f t="shared" ca="1" si="79"/>
        <v>8729.6487317413576</v>
      </c>
      <c r="DE93" s="102">
        <f t="shared" ca="1" si="79"/>
        <v>8729.6487317413576</v>
      </c>
      <c r="DF93" s="102">
        <f t="shared" ca="1" si="79"/>
        <v>8729.6487317413576</v>
      </c>
      <c r="DG93" s="102">
        <f t="shared" ca="1" si="79"/>
        <v>4419706.0740177054</v>
      </c>
      <c r="DH93" s="102">
        <f t="shared" ca="1" si="79"/>
        <v>25390.808275366519</v>
      </c>
      <c r="DI93" s="102">
        <f t="shared" si="79"/>
        <v>0</v>
      </c>
      <c r="DJ93" s="102">
        <f t="shared" si="79"/>
        <v>0</v>
      </c>
      <c r="DK93" s="102">
        <f t="shared" si="79"/>
        <v>0</v>
      </c>
      <c r="DL93" s="102">
        <f t="shared" si="79"/>
        <v>0</v>
      </c>
      <c r="DM93" s="102">
        <f t="shared" si="79"/>
        <v>0</v>
      </c>
      <c r="DN93" s="102">
        <f t="shared" si="79"/>
        <v>0</v>
      </c>
      <c r="DO93" s="102">
        <f t="shared" si="79"/>
        <v>0</v>
      </c>
      <c r="DP93" s="102">
        <f t="shared" si="79"/>
        <v>0</v>
      </c>
      <c r="DQ93" s="102">
        <f t="shared" si="79"/>
        <v>0</v>
      </c>
      <c r="DR93" s="102">
        <f t="shared" si="79"/>
        <v>0</v>
      </c>
      <c r="DS93" s="102">
        <f t="shared" si="79"/>
        <v>0</v>
      </c>
      <c r="DT93" s="102">
        <f t="shared" si="79"/>
        <v>0</v>
      </c>
      <c r="DU93" s="102">
        <f t="shared" si="79"/>
        <v>0</v>
      </c>
      <c r="DV93" s="102">
        <f t="shared" si="79"/>
        <v>0</v>
      </c>
      <c r="DW93" s="102">
        <f t="shared" si="79"/>
        <v>0</v>
      </c>
      <c r="DX93" s="102">
        <f t="shared" si="79"/>
        <v>0</v>
      </c>
      <c r="DY93" s="102">
        <f t="shared" si="79"/>
        <v>0</v>
      </c>
      <c r="DZ93" s="102">
        <f t="shared" si="79"/>
        <v>0</v>
      </c>
      <c r="EA93" s="102">
        <f t="shared" si="79"/>
        <v>0</v>
      </c>
      <c r="EB93" s="102">
        <f t="shared" si="79"/>
        <v>0</v>
      </c>
      <c r="EC93" s="102">
        <f t="shared" si="79"/>
        <v>0</v>
      </c>
      <c r="ED93" s="102">
        <f t="shared" si="79"/>
        <v>0</v>
      </c>
      <c r="EE93" s="102">
        <f t="shared" si="79"/>
        <v>0</v>
      </c>
      <c r="EF93" s="102">
        <f t="shared" si="79"/>
        <v>0</v>
      </c>
      <c r="EG93" s="102">
        <f t="shared" si="79"/>
        <v>0</v>
      </c>
      <c r="EH93" s="102">
        <f t="shared" si="79"/>
        <v>0</v>
      </c>
      <c r="EI93" s="102">
        <f t="shared" si="79"/>
        <v>0</v>
      </c>
      <c r="EJ93" s="102">
        <f t="shared" si="79"/>
        <v>0</v>
      </c>
      <c r="EK93" s="102">
        <f t="shared" si="79"/>
        <v>0</v>
      </c>
      <c r="EL93" s="102">
        <f t="shared" si="79"/>
        <v>0</v>
      </c>
      <c r="EM93" s="102">
        <f t="shared" si="79"/>
        <v>0</v>
      </c>
      <c r="EN93" s="102">
        <f t="shared" si="79"/>
        <v>0</v>
      </c>
      <c r="EO93" s="102">
        <f>SUM(EO82:EO91)</f>
        <v>0</v>
      </c>
      <c r="EP93" s="102">
        <f>SUM(EP82:EP91)</f>
        <v>0</v>
      </c>
      <c r="EQ93" s="102">
        <f>SUM(EQ82:EQ91)</f>
        <v>0</v>
      </c>
      <c r="ES93" s="98"/>
      <c r="ET93" s="98"/>
      <c r="EU93" s="98"/>
    </row>
    <row r="94" spans="7:151" ht="15.75">
      <c r="G94" s="94"/>
      <c r="H94" s="117"/>
      <c r="I94" s="95"/>
      <c r="J94" s="102"/>
      <c r="K94" s="102"/>
      <c r="L94" s="102"/>
      <c r="M94" s="102"/>
      <c r="N94" s="102"/>
      <c r="O94" s="102"/>
      <c r="P94" s="102"/>
      <c r="Q94" s="104"/>
      <c r="R94" s="104"/>
      <c r="S94" s="105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4"/>
      <c r="BI94" s="104"/>
      <c r="BJ94" s="104"/>
      <c r="BK94" s="104"/>
      <c r="BL94" s="104"/>
      <c r="BM94" s="104"/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  <c r="DH94" s="104"/>
      <c r="DI94" s="104"/>
      <c r="DJ94" s="104"/>
      <c r="DK94" s="104"/>
      <c r="DL94" s="104"/>
      <c r="DM94" s="104"/>
      <c r="DN94" s="104"/>
      <c r="DO94" s="104"/>
      <c r="DP94" s="104"/>
      <c r="DQ94" s="104"/>
      <c r="DR94" s="104"/>
      <c r="DS94" s="104"/>
      <c r="DT94" s="104"/>
      <c r="DU94" s="104"/>
      <c r="DV94" s="104"/>
      <c r="DW94" s="104"/>
      <c r="DX94" s="104"/>
      <c r="DY94" s="104"/>
      <c r="DZ94" s="104"/>
      <c r="EA94" s="104"/>
      <c r="EB94" s="104"/>
      <c r="EC94" s="104"/>
      <c r="ED94" s="104"/>
      <c r="EE94" s="104"/>
      <c r="EF94" s="104"/>
      <c r="EG94" s="104"/>
      <c r="EH94" s="104"/>
      <c r="EI94" s="104"/>
      <c r="EJ94" s="104"/>
      <c r="EK94" s="104"/>
      <c r="EL94" s="104"/>
      <c r="EM94" s="104"/>
      <c r="EN94" s="104"/>
      <c r="EO94" s="104"/>
      <c r="EP94" s="104"/>
      <c r="EQ94" s="104"/>
      <c r="ES94" s="98"/>
      <c r="ET94" s="98"/>
      <c r="EU94" s="98"/>
    </row>
    <row r="95" spans="7:151" ht="15.75">
      <c r="G95" s="101" t="s">
        <v>69</v>
      </c>
      <c r="H95" s="117"/>
      <c r="I95" s="95"/>
      <c r="J95" s="102"/>
      <c r="K95" s="102"/>
      <c r="L95" s="102"/>
      <c r="M95" s="102"/>
      <c r="N95" s="585" t="s">
        <v>10</v>
      </c>
      <c r="O95" s="585"/>
      <c r="P95" s="102"/>
      <c r="Q95" s="104"/>
      <c r="R95" s="104"/>
      <c r="S95" s="105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  <c r="BA95" s="104"/>
      <c r="BB95" s="104"/>
      <c r="BC95" s="104"/>
      <c r="BD95" s="104"/>
      <c r="BE95" s="104"/>
      <c r="BF95" s="104"/>
      <c r="BG95" s="104"/>
      <c r="BH95" s="104"/>
      <c r="BI95" s="104"/>
      <c r="BJ95" s="104"/>
      <c r="BK95" s="104"/>
      <c r="BL95" s="104"/>
      <c r="BM95" s="104"/>
      <c r="BN95" s="104"/>
      <c r="BO95" s="104"/>
      <c r="BP95" s="104"/>
      <c r="BQ95" s="104"/>
      <c r="BR95" s="104"/>
      <c r="BS95" s="104"/>
      <c r="BT95" s="104"/>
      <c r="BU95" s="104"/>
      <c r="BV95" s="104"/>
      <c r="BW95" s="104"/>
      <c r="BX95" s="104"/>
      <c r="BY95" s="104"/>
      <c r="BZ95" s="104"/>
      <c r="CA95" s="104"/>
      <c r="CB95" s="104"/>
      <c r="CC95" s="104"/>
      <c r="CD95" s="104"/>
      <c r="CE95" s="104"/>
      <c r="CF95" s="104"/>
      <c r="CG95" s="104"/>
      <c r="CH95" s="104"/>
      <c r="CI95" s="104"/>
      <c r="CJ95" s="104"/>
      <c r="CK95" s="104"/>
      <c r="CL95" s="104"/>
      <c r="CM95" s="104"/>
      <c r="CN95" s="104"/>
      <c r="CO95" s="104"/>
      <c r="CP95" s="104"/>
      <c r="CQ95" s="104"/>
      <c r="CR95" s="104"/>
      <c r="CS95" s="104"/>
      <c r="CT95" s="104"/>
      <c r="CU95" s="104"/>
      <c r="CV95" s="104"/>
      <c r="CW95" s="104"/>
      <c r="CX95" s="104"/>
      <c r="CY95" s="104"/>
      <c r="CZ95" s="104"/>
      <c r="DA95" s="104"/>
      <c r="DB95" s="104"/>
      <c r="DC95" s="104"/>
      <c r="DD95" s="104"/>
      <c r="DE95" s="104"/>
      <c r="DF95" s="104"/>
      <c r="DG95" s="104"/>
      <c r="DH95" s="104"/>
      <c r="DI95" s="104"/>
      <c r="DJ95" s="104"/>
      <c r="DK95" s="104"/>
      <c r="DL95" s="104"/>
      <c r="DM95" s="104"/>
      <c r="DN95" s="104"/>
      <c r="DO95" s="104"/>
      <c r="DP95" s="104"/>
      <c r="DQ95" s="104"/>
      <c r="DR95" s="104"/>
      <c r="DS95" s="104"/>
      <c r="DT95" s="104"/>
      <c r="DU95" s="104"/>
      <c r="DV95" s="104"/>
      <c r="DW95" s="104"/>
      <c r="DX95" s="104"/>
      <c r="DY95" s="104"/>
      <c r="DZ95" s="104"/>
      <c r="EA95" s="104"/>
      <c r="EB95" s="104"/>
      <c r="EC95" s="104"/>
      <c r="ED95" s="104"/>
      <c r="EE95" s="104"/>
      <c r="EF95" s="104"/>
      <c r="EG95" s="104"/>
      <c r="EH95" s="104"/>
      <c r="EI95" s="104"/>
      <c r="EJ95" s="104"/>
      <c r="EK95" s="104"/>
      <c r="EL95" s="104"/>
      <c r="EM95" s="104"/>
      <c r="EN95" s="104"/>
      <c r="EO95" s="104"/>
      <c r="EP95" s="104"/>
      <c r="EQ95" s="104"/>
      <c r="ES95" s="98"/>
      <c r="ET95" s="98"/>
      <c r="EU95" s="98"/>
    </row>
    <row r="96" spans="7:151" ht="15.75">
      <c r="G96" s="101"/>
      <c r="H96" s="236" t="s">
        <v>198</v>
      </c>
      <c r="I96" s="182"/>
      <c r="J96" s="706">
        <v>0.1</v>
      </c>
      <c r="K96" s="102" t="e">
        <f>#REF!</f>
        <v>#REF!</v>
      </c>
      <c r="L96" s="102" t="e">
        <f ca="1">-N96-K96</f>
        <v>#REF!</v>
      </c>
      <c r="N96" s="102">
        <f ca="1">SUM(O96:EQ96)</f>
        <v>-101063.94764187204</v>
      </c>
      <c r="O96" s="102">
        <f>MIN($J$96*(O86+O98),0)</f>
        <v>-87553.680000000008</v>
      </c>
      <c r="P96" s="102">
        <f t="shared" ref="P96:AC96" ca="1" si="80">IF(P93&lt;0,$J$96*P93,0)-IF(-P99&gt;P100,$J$96*(-P99-P100),0)+$J$96*P101</f>
        <v>0</v>
      </c>
      <c r="Q96" s="102">
        <f t="shared" ca="1" si="80"/>
        <v>0</v>
      </c>
      <c r="R96" s="102">
        <f t="shared" ca="1" si="80"/>
        <v>-1395.5000441666664</v>
      </c>
      <c r="S96" s="102">
        <f t="shared" ca="1" si="80"/>
        <v>-2145.5000441666666</v>
      </c>
      <c r="T96" s="102">
        <f t="shared" ca="1" si="80"/>
        <v>0</v>
      </c>
      <c r="U96" s="102">
        <f t="shared" ca="1" si="80"/>
        <v>0</v>
      </c>
      <c r="V96" s="102">
        <f t="shared" ca="1" si="80"/>
        <v>0</v>
      </c>
      <c r="W96" s="102">
        <f t="shared" ca="1" si="80"/>
        <v>0</v>
      </c>
      <c r="X96" s="102">
        <f t="shared" ca="1" si="80"/>
        <v>0</v>
      </c>
      <c r="Y96" s="102">
        <f t="shared" ca="1" si="80"/>
        <v>0</v>
      </c>
      <c r="Z96" s="102">
        <f t="shared" ca="1" si="80"/>
        <v>0</v>
      </c>
      <c r="AA96" s="102">
        <f t="shared" ca="1" si="80"/>
        <v>0</v>
      </c>
      <c r="AB96" s="102">
        <f t="shared" ca="1" si="80"/>
        <v>-2060.7420161734112</v>
      </c>
      <c r="AC96" s="102">
        <f t="shared" ca="1" si="80"/>
        <v>-2060.7420161734112</v>
      </c>
      <c r="AD96" s="102">
        <f ca="1">IF(AD93&lt;0,$J$96*AD93,0)-IF(-AD99&gt;AD100,$J$96*(-AD99-AD100),0)+$J$96*AD101</f>
        <v>0</v>
      </c>
      <c r="AE96" s="102">
        <f t="shared" ref="AE96:CP96" ca="1" si="81">IF(AE93&lt;0,$J$96*AE93,0)-IF(-AE99&gt;AE100,$J$96*(-AE99-AE100),0)+$J$96*AE101</f>
        <v>-2006.3756217134116</v>
      </c>
      <c r="AF96" s="102">
        <f t="shared" ca="1" si="81"/>
        <v>0</v>
      </c>
      <c r="AG96" s="102">
        <f t="shared" ca="1" si="81"/>
        <v>0</v>
      </c>
      <c r="AH96" s="102">
        <f t="shared" ca="1" si="81"/>
        <v>0</v>
      </c>
      <c r="AI96" s="102">
        <f t="shared" ca="1" si="81"/>
        <v>0</v>
      </c>
      <c r="AJ96" s="102">
        <f t="shared" ca="1" si="81"/>
        <v>0</v>
      </c>
      <c r="AK96" s="102">
        <f t="shared" ca="1" si="81"/>
        <v>0</v>
      </c>
      <c r="AL96" s="102">
        <f t="shared" ca="1" si="81"/>
        <v>0</v>
      </c>
      <c r="AM96" s="102">
        <f t="shared" ca="1" si="81"/>
        <v>0</v>
      </c>
      <c r="AN96" s="102">
        <f t="shared" ca="1" si="81"/>
        <v>0</v>
      </c>
      <c r="AO96" s="102">
        <f t="shared" ca="1" si="81"/>
        <v>0</v>
      </c>
      <c r="AP96" s="102">
        <f t="shared" ca="1" si="81"/>
        <v>0</v>
      </c>
      <c r="AQ96" s="102">
        <f t="shared" ca="1" si="81"/>
        <v>-1113.1073517888683</v>
      </c>
      <c r="AR96" s="102">
        <f t="shared" ca="1" si="81"/>
        <v>0</v>
      </c>
      <c r="AS96" s="102">
        <f t="shared" ca="1" si="81"/>
        <v>0</v>
      </c>
      <c r="AT96" s="102">
        <f t="shared" ca="1" si="81"/>
        <v>0</v>
      </c>
      <c r="AU96" s="102">
        <f t="shared" ca="1" si="81"/>
        <v>0</v>
      </c>
      <c r="AV96" s="102">
        <f t="shared" ca="1" si="81"/>
        <v>0</v>
      </c>
      <c r="AW96" s="102">
        <f t="shared" ca="1" si="81"/>
        <v>0</v>
      </c>
      <c r="AX96" s="102">
        <f t="shared" ca="1" si="81"/>
        <v>0</v>
      </c>
      <c r="AY96" s="102">
        <f t="shared" ca="1" si="81"/>
        <v>0</v>
      </c>
      <c r="AZ96" s="102">
        <f t="shared" ca="1" si="81"/>
        <v>0</v>
      </c>
      <c r="BA96" s="102">
        <f t="shared" ca="1" si="81"/>
        <v>0</v>
      </c>
      <c r="BB96" s="102">
        <f t="shared" ca="1" si="81"/>
        <v>0</v>
      </c>
      <c r="BC96" s="102">
        <f t="shared" ca="1" si="81"/>
        <v>0</v>
      </c>
      <c r="BD96" s="102">
        <f t="shared" ca="1" si="81"/>
        <v>0</v>
      </c>
      <c r="BE96" s="102">
        <f t="shared" ca="1" si="81"/>
        <v>0</v>
      </c>
      <c r="BF96" s="102">
        <f t="shared" ca="1" si="81"/>
        <v>0</v>
      </c>
      <c r="BG96" s="102">
        <f t="shared" ca="1" si="81"/>
        <v>0</v>
      </c>
      <c r="BH96" s="102">
        <f t="shared" ca="1" si="81"/>
        <v>0</v>
      </c>
      <c r="BI96" s="102">
        <f t="shared" ca="1" si="81"/>
        <v>0</v>
      </c>
      <c r="BJ96" s="102">
        <f t="shared" ca="1" si="81"/>
        <v>0</v>
      </c>
      <c r="BK96" s="102">
        <f t="shared" ca="1" si="81"/>
        <v>-2728.3005476896178</v>
      </c>
      <c r="BL96" s="102">
        <f t="shared" ca="1" si="81"/>
        <v>0</v>
      </c>
      <c r="BM96" s="102">
        <f t="shared" ca="1" si="81"/>
        <v>0</v>
      </c>
      <c r="BN96" s="102">
        <f t="shared" ca="1" si="81"/>
        <v>0</v>
      </c>
      <c r="BO96" s="102">
        <f t="shared" ca="1" si="81"/>
        <v>0</v>
      </c>
      <c r="BP96" s="102">
        <f t="shared" ca="1" si="81"/>
        <v>0</v>
      </c>
      <c r="BQ96" s="102">
        <f t="shared" ca="1" si="81"/>
        <v>0</v>
      </c>
      <c r="BR96" s="102">
        <f t="shared" ca="1" si="81"/>
        <v>0</v>
      </c>
      <c r="BS96" s="102">
        <f t="shared" ca="1" si="81"/>
        <v>0</v>
      </c>
      <c r="BT96" s="102">
        <f t="shared" ca="1" si="81"/>
        <v>0</v>
      </c>
      <c r="BU96" s="102">
        <f t="shared" ca="1" si="81"/>
        <v>0</v>
      </c>
      <c r="BV96" s="102">
        <f t="shared" ca="1" si="81"/>
        <v>0</v>
      </c>
      <c r="BW96" s="102">
        <f t="shared" ca="1" si="81"/>
        <v>0</v>
      </c>
      <c r="BX96" s="102">
        <f t="shared" ca="1" si="81"/>
        <v>0</v>
      </c>
      <c r="BY96" s="102">
        <f t="shared" ca="1" si="81"/>
        <v>0</v>
      </c>
      <c r="BZ96" s="102">
        <f t="shared" ca="1" si="81"/>
        <v>0</v>
      </c>
      <c r="CA96" s="102">
        <f t="shared" ca="1" si="81"/>
        <v>0</v>
      </c>
      <c r="CB96" s="102">
        <f t="shared" ca="1" si="81"/>
        <v>0</v>
      </c>
      <c r="CC96" s="102">
        <f t="shared" ca="1" si="81"/>
        <v>0</v>
      </c>
      <c r="CD96" s="102">
        <f t="shared" ca="1" si="81"/>
        <v>0</v>
      </c>
      <c r="CE96" s="102">
        <f t="shared" ca="1" si="81"/>
        <v>0</v>
      </c>
      <c r="CF96" s="102">
        <f t="shared" ca="1" si="81"/>
        <v>0</v>
      </c>
      <c r="CG96" s="102">
        <f t="shared" ca="1" si="81"/>
        <v>0</v>
      </c>
      <c r="CH96" s="102">
        <f t="shared" ca="1" si="81"/>
        <v>0</v>
      </c>
      <c r="CI96" s="102">
        <f t="shared" ca="1" si="81"/>
        <v>0</v>
      </c>
      <c r="CJ96" s="102">
        <f t="shared" ca="1" si="81"/>
        <v>0</v>
      </c>
      <c r="CK96" s="102">
        <f t="shared" ca="1" si="81"/>
        <v>0</v>
      </c>
      <c r="CL96" s="102">
        <f t="shared" ca="1" si="81"/>
        <v>0</v>
      </c>
      <c r="CM96" s="102">
        <f t="shared" ca="1" si="81"/>
        <v>0</v>
      </c>
      <c r="CN96" s="102">
        <f t="shared" ca="1" si="81"/>
        <v>0</v>
      </c>
      <c r="CO96" s="102">
        <f t="shared" ca="1" si="81"/>
        <v>0</v>
      </c>
      <c r="CP96" s="102">
        <f t="shared" ca="1" si="81"/>
        <v>0</v>
      </c>
      <c r="CQ96" s="102">
        <f t="shared" ref="CQ96:EQ96" ca="1" si="82">IF(CQ93&lt;0,$J$96*CQ93,0)-IF(-CQ99&gt;CQ100,$J$96*(-CQ99-CQ100),0)+$J$96*CQ101</f>
        <v>0</v>
      </c>
      <c r="CR96" s="102">
        <f t="shared" ca="1" si="82"/>
        <v>0</v>
      </c>
      <c r="CS96" s="102">
        <f t="shared" ca="1" si="82"/>
        <v>0</v>
      </c>
      <c r="CT96" s="102">
        <f t="shared" ca="1" si="82"/>
        <v>0</v>
      </c>
      <c r="CU96" s="102">
        <f t="shared" ca="1" si="82"/>
        <v>0</v>
      </c>
      <c r="CV96" s="102">
        <f t="shared" ca="1" si="82"/>
        <v>0</v>
      </c>
      <c r="CW96" s="102">
        <f t="shared" ca="1" si="82"/>
        <v>0</v>
      </c>
      <c r="CX96" s="102">
        <f t="shared" ca="1" si="82"/>
        <v>0</v>
      </c>
      <c r="CY96" s="102">
        <f t="shared" ca="1" si="82"/>
        <v>0</v>
      </c>
      <c r="CZ96" s="102">
        <f t="shared" ca="1" si="82"/>
        <v>0</v>
      </c>
      <c r="DA96" s="102">
        <f t="shared" ca="1" si="82"/>
        <v>0</v>
      </c>
      <c r="DB96" s="102">
        <f t="shared" ca="1" si="82"/>
        <v>0</v>
      </c>
      <c r="DC96" s="102">
        <f t="shared" ca="1" si="82"/>
        <v>0</v>
      </c>
      <c r="DD96" s="102">
        <f t="shared" ca="1" si="82"/>
        <v>0</v>
      </c>
      <c r="DE96" s="102">
        <f t="shared" ca="1" si="82"/>
        <v>0</v>
      </c>
      <c r="DF96" s="102">
        <f t="shared" ca="1" si="82"/>
        <v>0</v>
      </c>
      <c r="DG96" s="102">
        <f t="shared" ca="1" si="82"/>
        <v>0</v>
      </c>
      <c r="DH96" s="102">
        <f t="shared" ca="1" si="82"/>
        <v>0</v>
      </c>
      <c r="DI96" s="102">
        <f t="shared" si="82"/>
        <v>0</v>
      </c>
      <c r="DJ96" s="102">
        <f t="shared" si="82"/>
        <v>0</v>
      </c>
      <c r="DK96" s="102">
        <f t="shared" si="82"/>
        <v>0</v>
      </c>
      <c r="DL96" s="102">
        <f t="shared" si="82"/>
        <v>0</v>
      </c>
      <c r="DM96" s="102">
        <f t="shared" si="82"/>
        <v>0</v>
      </c>
      <c r="DN96" s="102">
        <f t="shared" si="82"/>
        <v>0</v>
      </c>
      <c r="DO96" s="102">
        <f t="shared" si="82"/>
        <v>0</v>
      </c>
      <c r="DP96" s="102">
        <f t="shared" si="82"/>
        <v>0</v>
      </c>
      <c r="DQ96" s="102">
        <f t="shared" si="82"/>
        <v>0</v>
      </c>
      <c r="DR96" s="102">
        <f t="shared" si="82"/>
        <v>0</v>
      </c>
      <c r="DS96" s="102">
        <f t="shared" si="82"/>
        <v>0</v>
      </c>
      <c r="DT96" s="102">
        <f t="shared" si="82"/>
        <v>0</v>
      </c>
      <c r="DU96" s="102">
        <f t="shared" si="82"/>
        <v>0</v>
      </c>
      <c r="DV96" s="102">
        <f t="shared" si="82"/>
        <v>0</v>
      </c>
      <c r="DW96" s="102">
        <f t="shared" si="82"/>
        <v>0</v>
      </c>
      <c r="DX96" s="102">
        <f t="shared" si="82"/>
        <v>0</v>
      </c>
      <c r="DY96" s="102">
        <f t="shared" si="82"/>
        <v>0</v>
      </c>
      <c r="DZ96" s="102">
        <f t="shared" si="82"/>
        <v>0</v>
      </c>
      <c r="EA96" s="102">
        <f t="shared" si="82"/>
        <v>0</v>
      </c>
      <c r="EB96" s="102">
        <f t="shared" si="82"/>
        <v>0</v>
      </c>
      <c r="EC96" s="102">
        <f t="shared" si="82"/>
        <v>0</v>
      </c>
      <c r="ED96" s="102">
        <f t="shared" si="82"/>
        <v>0</v>
      </c>
      <c r="EE96" s="102">
        <f t="shared" si="82"/>
        <v>0</v>
      </c>
      <c r="EF96" s="102">
        <f t="shared" si="82"/>
        <v>0</v>
      </c>
      <c r="EG96" s="102">
        <f t="shared" si="82"/>
        <v>0</v>
      </c>
      <c r="EH96" s="102">
        <f t="shared" si="82"/>
        <v>0</v>
      </c>
      <c r="EI96" s="102">
        <f t="shared" si="82"/>
        <v>0</v>
      </c>
      <c r="EJ96" s="102">
        <f t="shared" si="82"/>
        <v>0</v>
      </c>
      <c r="EK96" s="102">
        <f t="shared" si="82"/>
        <v>0</v>
      </c>
      <c r="EL96" s="102">
        <f t="shared" si="82"/>
        <v>0</v>
      </c>
      <c r="EM96" s="102">
        <f t="shared" si="82"/>
        <v>0</v>
      </c>
      <c r="EN96" s="102">
        <f t="shared" si="82"/>
        <v>0</v>
      </c>
      <c r="EO96" s="102">
        <f t="shared" si="82"/>
        <v>0</v>
      </c>
      <c r="EP96" s="102">
        <f t="shared" si="82"/>
        <v>0</v>
      </c>
      <c r="EQ96" s="102">
        <f t="shared" si="82"/>
        <v>0</v>
      </c>
      <c r="ES96" s="98"/>
      <c r="ET96" s="98"/>
      <c r="EU96" s="98"/>
    </row>
    <row r="97" spans="7:151" ht="15.75">
      <c r="G97" s="101"/>
      <c r="H97" s="236" t="s">
        <v>199</v>
      </c>
      <c r="I97" s="182"/>
      <c r="J97" s="431">
        <f>1-J96</f>
        <v>0.9</v>
      </c>
      <c r="K97" s="102" t="e">
        <f>#REF!</f>
        <v>#REF!</v>
      </c>
      <c r="L97" s="102" t="e">
        <f ca="1">-N97-K97</f>
        <v>#REF!</v>
      </c>
      <c r="N97" s="102">
        <f t="shared" ref="N97:N102" ca="1" si="83">SUM(O97:EQ97)</f>
        <v>-909575.52877684846</v>
      </c>
      <c r="O97" s="102">
        <f>$J$97*MIN(O93+O98-O82,0)</f>
        <v>-787983.12000000011</v>
      </c>
      <c r="P97" s="102">
        <f ca="1">IF(P93&lt;0,$J$97*P93,0)-IF(-P99&gt;P100,$J$97*(-P99-P100),0)+$J$97*P101</f>
        <v>0</v>
      </c>
      <c r="Q97" s="102">
        <f t="shared" ref="Q97:CB97" ca="1" si="84">IF(Q93&lt;0,$J$97*Q93,0)-IF(-Q99&gt;Q100,$J$97*(-Q99-Q100),0)+$J$97*Q101</f>
        <v>0</v>
      </c>
      <c r="R97" s="102">
        <f t="shared" ca="1" si="84"/>
        <v>-12559.500397499998</v>
      </c>
      <c r="S97" s="102">
        <f t="shared" ca="1" si="84"/>
        <v>-19309.500397499996</v>
      </c>
      <c r="T97" s="102">
        <f t="shared" ca="1" si="84"/>
        <v>0</v>
      </c>
      <c r="U97" s="102">
        <f t="shared" ca="1" si="84"/>
        <v>0</v>
      </c>
      <c r="V97" s="102">
        <f t="shared" ca="1" si="84"/>
        <v>0</v>
      </c>
      <c r="W97" s="102">
        <f t="shared" ca="1" si="84"/>
        <v>0</v>
      </c>
      <c r="X97" s="102">
        <f t="shared" ca="1" si="84"/>
        <v>0</v>
      </c>
      <c r="Y97" s="102">
        <f t="shared" ca="1" si="84"/>
        <v>0</v>
      </c>
      <c r="Z97" s="102">
        <f t="shared" ca="1" si="84"/>
        <v>0</v>
      </c>
      <c r="AA97" s="102">
        <f t="shared" ca="1" si="84"/>
        <v>0</v>
      </c>
      <c r="AB97" s="102">
        <f t="shared" ca="1" si="84"/>
        <v>-18546.678145560702</v>
      </c>
      <c r="AC97" s="102">
        <f t="shared" ca="1" si="84"/>
        <v>-18546.678145560702</v>
      </c>
      <c r="AD97" s="102">
        <f t="shared" ca="1" si="84"/>
        <v>0</v>
      </c>
      <c r="AE97" s="102">
        <f t="shared" ca="1" si="84"/>
        <v>-18057.380595420706</v>
      </c>
      <c r="AF97" s="102">
        <f t="shared" ca="1" si="84"/>
        <v>0</v>
      </c>
      <c r="AG97" s="102">
        <f t="shared" ca="1" si="84"/>
        <v>0</v>
      </c>
      <c r="AH97" s="102">
        <f t="shared" ca="1" si="84"/>
        <v>0</v>
      </c>
      <c r="AI97" s="102">
        <f t="shared" ca="1" si="84"/>
        <v>0</v>
      </c>
      <c r="AJ97" s="102">
        <f t="shared" ca="1" si="84"/>
        <v>0</v>
      </c>
      <c r="AK97" s="102">
        <f t="shared" ca="1" si="84"/>
        <v>0</v>
      </c>
      <c r="AL97" s="102">
        <f t="shared" ca="1" si="84"/>
        <v>0</v>
      </c>
      <c r="AM97" s="102">
        <f t="shared" ca="1" si="84"/>
        <v>0</v>
      </c>
      <c r="AN97" s="102">
        <f t="shared" ca="1" si="84"/>
        <v>0</v>
      </c>
      <c r="AO97" s="102">
        <f t="shared" ca="1" si="84"/>
        <v>0</v>
      </c>
      <c r="AP97" s="102">
        <f t="shared" ca="1" si="84"/>
        <v>0</v>
      </c>
      <c r="AQ97" s="102">
        <f t="shared" ca="1" si="84"/>
        <v>-10017.966166099815</v>
      </c>
      <c r="AR97" s="102">
        <f t="shared" ca="1" si="84"/>
        <v>0</v>
      </c>
      <c r="AS97" s="102">
        <f t="shared" ca="1" si="84"/>
        <v>0</v>
      </c>
      <c r="AT97" s="102">
        <f t="shared" ca="1" si="84"/>
        <v>0</v>
      </c>
      <c r="AU97" s="102">
        <f t="shared" ca="1" si="84"/>
        <v>0</v>
      </c>
      <c r="AV97" s="102">
        <f t="shared" ca="1" si="84"/>
        <v>0</v>
      </c>
      <c r="AW97" s="102">
        <f t="shared" ca="1" si="84"/>
        <v>0</v>
      </c>
      <c r="AX97" s="102">
        <f t="shared" ca="1" si="84"/>
        <v>0</v>
      </c>
      <c r="AY97" s="102">
        <f t="shared" ca="1" si="84"/>
        <v>0</v>
      </c>
      <c r="AZ97" s="102">
        <f t="shared" ca="1" si="84"/>
        <v>0</v>
      </c>
      <c r="BA97" s="102">
        <f t="shared" ca="1" si="84"/>
        <v>0</v>
      </c>
      <c r="BB97" s="102">
        <f t="shared" ca="1" si="84"/>
        <v>0</v>
      </c>
      <c r="BC97" s="102">
        <f t="shared" ca="1" si="84"/>
        <v>0</v>
      </c>
      <c r="BD97" s="102">
        <f t="shared" ca="1" si="84"/>
        <v>0</v>
      </c>
      <c r="BE97" s="102">
        <f t="shared" ca="1" si="84"/>
        <v>0</v>
      </c>
      <c r="BF97" s="102">
        <f t="shared" ca="1" si="84"/>
        <v>0</v>
      </c>
      <c r="BG97" s="102">
        <f t="shared" ca="1" si="84"/>
        <v>0</v>
      </c>
      <c r="BH97" s="102">
        <f t="shared" ca="1" si="84"/>
        <v>0</v>
      </c>
      <c r="BI97" s="102">
        <f t="shared" ca="1" si="84"/>
        <v>0</v>
      </c>
      <c r="BJ97" s="102">
        <f t="shared" ca="1" si="84"/>
        <v>0</v>
      </c>
      <c r="BK97" s="102">
        <f t="shared" ca="1" si="84"/>
        <v>-24554.70492920656</v>
      </c>
      <c r="BL97" s="102">
        <f t="shared" ca="1" si="84"/>
        <v>0</v>
      </c>
      <c r="BM97" s="102">
        <f t="shared" ca="1" si="84"/>
        <v>0</v>
      </c>
      <c r="BN97" s="102">
        <f t="shared" ca="1" si="84"/>
        <v>0</v>
      </c>
      <c r="BO97" s="102">
        <f t="shared" ca="1" si="84"/>
        <v>0</v>
      </c>
      <c r="BP97" s="102">
        <f t="shared" ca="1" si="84"/>
        <v>0</v>
      </c>
      <c r="BQ97" s="102">
        <f t="shared" ca="1" si="84"/>
        <v>0</v>
      </c>
      <c r="BR97" s="102">
        <f t="shared" ca="1" si="84"/>
        <v>0</v>
      </c>
      <c r="BS97" s="102">
        <f t="shared" ca="1" si="84"/>
        <v>0</v>
      </c>
      <c r="BT97" s="102">
        <f t="shared" ca="1" si="84"/>
        <v>0</v>
      </c>
      <c r="BU97" s="102">
        <f t="shared" ca="1" si="84"/>
        <v>0</v>
      </c>
      <c r="BV97" s="102">
        <f t="shared" ca="1" si="84"/>
        <v>0</v>
      </c>
      <c r="BW97" s="102">
        <f t="shared" ca="1" si="84"/>
        <v>0</v>
      </c>
      <c r="BX97" s="102">
        <f t="shared" ca="1" si="84"/>
        <v>0</v>
      </c>
      <c r="BY97" s="102">
        <f t="shared" ca="1" si="84"/>
        <v>0</v>
      </c>
      <c r="BZ97" s="102">
        <f t="shared" ca="1" si="84"/>
        <v>0</v>
      </c>
      <c r="CA97" s="102">
        <f t="shared" ca="1" si="84"/>
        <v>0</v>
      </c>
      <c r="CB97" s="102">
        <f t="shared" ca="1" si="84"/>
        <v>0</v>
      </c>
      <c r="CC97" s="102">
        <f t="shared" ref="CC97:EN97" ca="1" si="85">IF(CC93&lt;0,$J$97*CC93,0)-IF(-CC99&gt;CC100,$J$97*(-CC99-CC100),0)+$J$97*CC101</f>
        <v>0</v>
      </c>
      <c r="CD97" s="102">
        <f t="shared" ca="1" si="85"/>
        <v>0</v>
      </c>
      <c r="CE97" s="102">
        <f t="shared" ca="1" si="85"/>
        <v>0</v>
      </c>
      <c r="CF97" s="102">
        <f t="shared" ca="1" si="85"/>
        <v>0</v>
      </c>
      <c r="CG97" s="102">
        <f t="shared" ca="1" si="85"/>
        <v>0</v>
      </c>
      <c r="CH97" s="102">
        <f t="shared" ca="1" si="85"/>
        <v>0</v>
      </c>
      <c r="CI97" s="102">
        <f t="shared" ca="1" si="85"/>
        <v>0</v>
      </c>
      <c r="CJ97" s="102">
        <f t="shared" ca="1" si="85"/>
        <v>0</v>
      </c>
      <c r="CK97" s="102">
        <f t="shared" ca="1" si="85"/>
        <v>0</v>
      </c>
      <c r="CL97" s="102">
        <f t="shared" ca="1" si="85"/>
        <v>0</v>
      </c>
      <c r="CM97" s="102">
        <f t="shared" ca="1" si="85"/>
        <v>0</v>
      </c>
      <c r="CN97" s="102">
        <f t="shared" ca="1" si="85"/>
        <v>0</v>
      </c>
      <c r="CO97" s="102">
        <f t="shared" ca="1" si="85"/>
        <v>0</v>
      </c>
      <c r="CP97" s="102">
        <f t="shared" ca="1" si="85"/>
        <v>0</v>
      </c>
      <c r="CQ97" s="102">
        <f t="shared" ca="1" si="85"/>
        <v>0</v>
      </c>
      <c r="CR97" s="102">
        <f t="shared" ca="1" si="85"/>
        <v>0</v>
      </c>
      <c r="CS97" s="102">
        <f t="shared" ca="1" si="85"/>
        <v>0</v>
      </c>
      <c r="CT97" s="102">
        <f t="shared" ca="1" si="85"/>
        <v>0</v>
      </c>
      <c r="CU97" s="102">
        <f t="shared" ca="1" si="85"/>
        <v>0</v>
      </c>
      <c r="CV97" s="102">
        <f t="shared" ca="1" si="85"/>
        <v>0</v>
      </c>
      <c r="CW97" s="102">
        <f t="shared" ca="1" si="85"/>
        <v>0</v>
      </c>
      <c r="CX97" s="102">
        <f t="shared" ca="1" si="85"/>
        <v>0</v>
      </c>
      <c r="CY97" s="102">
        <f t="shared" ca="1" si="85"/>
        <v>0</v>
      </c>
      <c r="CZ97" s="102">
        <f t="shared" ca="1" si="85"/>
        <v>0</v>
      </c>
      <c r="DA97" s="102">
        <f t="shared" ca="1" si="85"/>
        <v>0</v>
      </c>
      <c r="DB97" s="102">
        <f t="shared" ca="1" si="85"/>
        <v>0</v>
      </c>
      <c r="DC97" s="102">
        <f t="shared" ca="1" si="85"/>
        <v>0</v>
      </c>
      <c r="DD97" s="102">
        <f t="shared" ca="1" si="85"/>
        <v>0</v>
      </c>
      <c r="DE97" s="102">
        <f t="shared" ca="1" si="85"/>
        <v>0</v>
      </c>
      <c r="DF97" s="102">
        <f t="shared" ca="1" si="85"/>
        <v>0</v>
      </c>
      <c r="DG97" s="102">
        <f t="shared" ca="1" si="85"/>
        <v>0</v>
      </c>
      <c r="DH97" s="102">
        <f t="shared" ca="1" si="85"/>
        <v>0</v>
      </c>
      <c r="DI97" s="102">
        <f t="shared" si="85"/>
        <v>0</v>
      </c>
      <c r="DJ97" s="102">
        <f t="shared" si="85"/>
        <v>0</v>
      </c>
      <c r="DK97" s="102">
        <f t="shared" si="85"/>
        <v>0</v>
      </c>
      <c r="DL97" s="102">
        <f t="shared" si="85"/>
        <v>0</v>
      </c>
      <c r="DM97" s="102">
        <f t="shared" si="85"/>
        <v>0</v>
      </c>
      <c r="DN97" s="102">
        <f t="shared" si="85"/>
        <v>0</v>
      </c>
      <c r="DO97" s="102">
        <f t="shared" si="85"/>
        <v>0</v>
      </c>
      <c r="DP97" s="102">
        <f t="shared" si="85"/>
        <v>0</v>
      </c>
      <c r="DQ97" s="102">
        <f t="shared" si="85"/>
        <v>0</v>
      </c>
      <c r="DR97" s="102">
        <f t="shared" si="85"/>
        <v>0</v>
      </c>
      <c r="DS97" s="102">
        <f t="shared" si="85"/>
        <v>0</v>
      </c>
      <c r="DT97" s="102">
        <f t="shared" si="85"/>
        <v>0</v>
      </c>
      <c r="DU97" s="102">
        <f t="shared" si="85"/>
        <v>0</v>
      </c>
      <c r="DV97" s="102">
        <f t="shared" si="85"/>
        <v>0</v>
      </c>
      <c r="DW97" s="102">
        <f t="shared" si="85"/>
        <v>0</v>
      </c>
      <c r="DX97" s="102">
        <f t="shared" si="85"/>
        <v>0</v>
      </c>
      <c r="DY97" s="102">
        <f t="shared" si="85"/>
        <v>0</v>
      </c>
      <c r="DZ97" s="102">
        <f t="shared" si="85"/>
        <v>0</v>
      </c>
      <c r="EA97" s="102">
        <f t="shared" si="85"/>
        <v>0</v>
      </c>
      <c r="EB97" s="102">
        <f t="shared" si="85"/>
        <v>0</v>
      </c>
      <c r="EC97" s="102">
        <f t="shared" si="85"/>
        <v>0</v>
      </c>
      <c r="ED97" s="102">
        <f t="shared" si="85"/>
        <v>0</v>
      </c>
      <c r="EE97" s="102">
        <f t="shared" si="85"/>
        <v>0</v>
      </c>
      <c r="EF97" s="102">
        <f t="shared" si="85"/>
        <v>0</v>
      </c>
      <c r="EG97" s="102">
        <f t="shared" si="85"/>
        <v>0</v>
      </c>
      <c r="EH97" s="102">
        <f t="shared" si="85"/>
        <v>0</v>
      </c>
      <c r="EI97" s="102">
        <f t="shared" si="85"/>
        <v>0</v>
      </c>
      <c r="EJ97" s="102">
        <f t="shared" si="85"/>
        <v>0</v>
      </c>
      <c r="EK97" s="102">
        <f t="shared" si="85"/>
        <v>0</v>
      </c>
      <c r="EL97" s="102">
        <f t="shared" si="85"/>
        <v>0</v>
      </c>
      <c r="EM97" s="102">
        <f t="shared" si="85"/>
        <v>0</v>
      </c>
      <c r="EN97" s="102">
        <f t="shared" si="85"/>
        <v>0</v>
      </c>
      <c r="EO97" s="102">
        <f>IF(EO93&lt;0,$J$97*EO93,0)-IF(-EO99&gt;EO100,$J$97*(-EO99-EO100),0)+$J$97*EO101</f>
        <v>0</v>
      </c>
      <c r="EP97" s="102">
        <f>IF(EP93&lt;0,$J$97*EP93,0)-IF(-EP99&gt;EP100,$J$97*(-EP99-EP100),0)+$J$97*EP101</f>
        <v>0</v>
      </c>
      <c r="EQ97" s="102">
        <f>IF(EQ93&lt;0,$J$97*EQ93,0)-IF(-EQ99&gt;EQ100,$J$97*(-EQ99-EQ100),0)+$J$97*EQ101</f>
        <v>0</v>
      </c>
      <c r="ES97" s="98"/>
      <c r="ET97" s="98"/>
      <c r="EU97" s="98"/>
    </row>
    <row r="98" spans="7:151" ht="15.75">
      <c r="G98" s="101"/>
      <c r="H98" s="117" t="s">
        <v>195</v>
      </c>
      <c r="I98" s="95"/>
      <c r="J98" s="102"/>
      <c r="K98" s="102"/>
      <c r="L98" s="102" t="e">
        <f ca="1">SUM(L96:L97)</f>
        <v>#REF!</v>
      </c>
      <c r="N98" s="102">
        <f t="shared" si="83"/>
        <v>2019359.9999999998</v>
      </c>
      <c r="O98" s="102">
        <f>IF(O10=Assumptions!$D$8,Assumptions!$M$40,0)</f>
        <v>2019359.9999999998</v>
      </c>
      <c r="P98" s="102">
        <f>IF(P10=Assumptions!$D$8,Assumptions!$M$40,0)</f>
        <v>0</v>
      </c>
      <c r="Q98" s="102">
        <f>IF(Q10=Assumptions!$D$8,Assumptions!$M$40,0)</f>
        <v>0</v>
      </c>
      <c r="R98" s="102">
        <f>IF(R10=Assumptions!$D$8,Assumptions!$M$40,0)</f>
        <v>0</v>
      </c>
      <c r="S98" s="102">
        <f>IF(S10=Assumptions!$D$8,Assumptions!$M$40,0)</f>
        <v>0</v>
      </c>
      <c r="T98" s="102">
        <f>IF(T10=Assumptions!$D$8,Assumptions!$M$40,0)</f>
        <v>0</v>
      </c>
      <c r="U98" s="102">
        <f>IF(U10=Assumptions!$D$8,Assumptions!$M$40,0)</f>
        <v>0</v>
      </c>
      <c r="V98" s="102">
        <f>IF(V10=Assumptions!$D$8,Assumptions!$M$40,0)</f>
        <v>0</v>
      </c>
      <c r="W98" s="102">
        <f>IF(W10=Assumptions!$D$8,Assumptions!$M$40,0)</f>
        <v>0</v>
      </c>
      <c r="X98" s="102">
        <f>IF(X10=Assumptions!$D$8,Assumptions!$M$40,0)</f>
        <v>0</v>
      </c>
      <c r="Y98" s="102">
        <f>IF(Y10=Assumptions!$D$8,Assumptions!$M$40,0)</f>
        <v>0</v>
      </c>
      <c r="Z98" s="102">
        <f>IF(Z10=Assumptions!$D$8,Assumptions!$M$40,0)</f>
        <v>0</v>
      </c>
      <c r="AA98" s="102">
        <f>IF(AA10=Assumptions!$D$8,Assumptions!$M$40,0)</f>
        <v>0</v>
      </c>
      <c r="AB98" s="102">
        <f>IF(AB10=Assumptions!$D$8,Assumptions!$M$40,0)</f>
        <v>0</v>
      </c>
      <c r="AC98" s="102">
        <f>IF(AC10=Assumptions!$D$8,Assumptions!$M$40,0)</f>
        <v>0</v>
      </c>
      <c r="AD98" s="102">
        <f>IF(AD10=Assumptions!$D$8,Assumptions!$M$40,0)</f>
        <v>0</v>
      </c>
      <c r="AE98" s="102">
        <f>IF(AE10=Assumptions!$D$8,Assumptions!$M$40,0)</f>
        <v>0</v>
      </c>
      <c r="AF98" s="102">
        <f>IF(AF10=Assumptions!$D$8,Assumptions!$M$40,0)</f>
        <v>0</v>
      </c>
      <c r="AG98" s="102">
        <f>IF(AG10=Assumptions!$D$8,Assumptions!$M$40,0)</f>
        <v>0</v>
      </c>
      <c r="AH98" s="102">
        <f>IF(AH10=Assumptions!$D$8,Assumptions!$M$40,0)</f>
        <v>0</v>
      </c>
      <c r="AI98" s="102">
        <f>IF(AI10=Assumptions!$D$8,Assumptions!$M$40,0)</f>
        <v>0</v>
      </c>
      <c r="AJ98" s="102">
        <f>IF(AJ10=Assumptions!$D$8,Assumptions!$M$40,0)</f>
        <v>0</v>
      </c>
      <c r="AK98" s="102">
        <f>IF(AK10=Assumptions!$D$8,Assumptions!$M$40,0)</f>
        <v>0</v>
      </c>
      <c r="AL98" s="102">
        <f>IF(AL10=Assumptions!$D$8,Assumptions!$M$40,0)</f>
        <v>0</v>
      </c>
      <c r="AM98" s="102">
        <f>IF(AM10=Assumptions!$D$8,Assumptions!$M$40,0)</f>
        <v>0</v>
      </c>
      <c r="AN98" s="102">
        <f>IF(AN10=Assumptions!$D$8,Assumptions!$M$40,0)</f>
        <v>0</v>
      </c>
      <c r="AO98" s="102">
        <f>IF(AO10=Assumptions!$D$8,Assumptions!$M$40,0)</f>
        <v>0</v>
      </c>
      <c r="AP98" s="102">
        <f>IF(AP10=Assumptions!$D$8,Assumptions!$M$40,0)</f>
        <v>0</v>
      </c>
      <c r="AQ98" s="102">
        <f>IF(AQ10=Assumptions!$D$8,Assumptions!$M$40,0)</f>
        <v>0</v>
      </c>
      <c r="AR98" s="102">
        <f>IF(AR10=Assumptions!$D$8,Assumptions!$M$40,0)</f>
        <v>0</v>
      </c>
      <c r="AS98" s="102">
        <f>IF(AS10=Assumptions!$D$8,Assumptions!$M$40,0)</f>
        <v>0</v>
      </c>
      <c r="AT98" s="102">
        <f>IF(AT10=Assumptions!$D$8,Assumptions!$M$40,0)</f>
        <v>0</v>
      </c>
      <c r="AU98" s="102">
        <f>IF(AU10=Assumptions!$D$8,Assumptions!$M$40,0)</f>
        <v>0</v>
      </c>
      <c r="AV98" s="102">
        <f>IF(AV10=Assumptions!$D$8,Assumptions!$M$40,0)</f>
        <v>0</v>
      </c>
      <c r="AW98" s="102">
        <f>IF(AW10=Assumptions!$D$8,Assumptions!$M$40,0)</f>
        <v>0</v>
      </c>
      <c r="AX98" s="102">
        <f>IF(AX10=Assumptions!$D$8,Assumptions!$M$40,0)</f>
        <v>0</v>
      </c>
      <c r="AY98" s="102">
        <f>IF(AY10=Assumptions!$D$8,Assumptions!$M$40,0)</f>
        <v>0</v>
      </c>
      <c r="AZ98" s="102">
        <f>IF(AZ10=Assumptions!$D$8,Assumptions!$M$40,0)</f>
        <v>0</v>
      </c>
      <c r="BA98" s="102">
        <f>IF(BA10=Assumptions!$D$8,Assumptions!$M$40,0)</f>
        <v>0</v>
      </c>
      <c r="BB98" s="102">
        <f>IF(BB10=Assumptions!$D$8,Assumptions!$M$40,0)</f>
        <v>0</v>
      </c>
      <c r="BC98" s="102">
        <f>IF(BC10=Assumptions!$D$8,Assumptions!$M$40,0)</f>
        <v>0</v>
      </c>
      <c r="BD98" s="102">
        <f>IF(BD10=Assumptions!$D$8,Assumptions!$M$40,0)</f>
        <v>0</v>
      </c>
      <c r="BE98" s="102">
        <f>IF(BE10=Assumptions!$D$8,Assumptions!$M$40,0)</f>
        <v>0</v>
      </c>
      <c r="BF98" s="102">
        <f>IF(BF10=Assumptions!$D$8,Assumptions!$M$40,0)</f>
        <v>0</v>
      </c>
      <c r="BG98" s="102">
        <f>IF(BG10=Assumptions!$D$8,Assumptions!$M$40,0)</f>
        <v>0</v>
      </c>
      <c r="BH98" s="102">
        <f>IF(BH10=Assumptions!$D$8,Assumptions!$M$40,0)</f>
        <v>0</v>
      </c>
      <c r="BI98" s="102">
        <f>IF(BI10=Assumptions!$D$8,Assumptions!$M$40,0)</f>
        <v>0</v>
      </c>
      <c r="BJ98" s="102">
        <f>IF(BJ10=Assumptions!$D$8,Assumptions!$M$40,0)</f>
        <v>0</v>
      </c>
      <c r="BK98" s="102">
        <f>IF(BK10=Assumptions!$D$8,Assumptions!$M$40,0)</f>
        <v>0</v>
      </c>
      <c r="BL98" s="102">
        <f>IF(BL10=Assumptions!$D$8,Assumptions!$M$40,0)</f>
        <v>0</v>
      </c>
      <c r="BM98" s="102">
        <f>IF(BM10=Assumptions!$D$8,Assumptions!$M$40,0)</f>
        <v>0</v>
      </c>
      <c r="BN98" s="102">
        <f>IF(BN10=Assumptions!$D$8,Assumptions!$M$40,0)</f>
        <v>0</v>
      </c>
      <c r="BO98" s="102">
        <f>IF(BO10=Assumptions!$D$8,Assumptions!$M$40,0)</f>
        <v>0</v>
      </c>
      <c r="BP98" s="102">
        <f>IF(BP10=Assumptions!$D$8,Assumptions!$M$40,0)</f>
        <v>0</v>
      </c>
      <c r="BQ98" s="102">
        <f>IF(BQ10=Assumptions!$D$8,Assumptions!$M$40,0)</f>
        <v>0</v>
      </c>
      <c r="BR98" s="102">
        <f>IF(BR10=Assumptions!$D$8,Assumptions!$M$40,0)</f>
        <v>0</v>
      </c>
      <c r="BS98" s="102">
        <f>IF(BS10=Assumptions!$D$8,Assumptions!$M$40,0)</f>
        <v>0</v>
      </c>
      <c r="BT98" s="102">
        <f>IF(BT10=Assumptions!$D$8,Assumptions!$M$40,0)</f>
        <v>0</v>
      </c>
      <c r="BU98" s="102">
        <f>IF(BU10=Assumptions!$D$8,Assumptions!$M$40,0)</f>
        <v>0</v>
      </c>
      <c r="BV98" s="102">
        <f>IF(BV10=Assumptions!$D$8,Assumptions!$M$40,0)</f>
        <v>0</v>
      </c>
      <c r="BW98" s="102">
        <f>IF(BW10=Assumptions!$D$8,Assumptions!$M$40,0)</f>
        <v>0</v>
      </c>
      <c r="BX98" s="102">
        <f>IF(BX10=Assumptions!$D$8,Assumptions!$M$40,0)</f>
        <v>0</v>
      </c>
      <c r="BY98" s="102">
        <f>IF(BY10=Assumptions!$D$8,Assumptions!$M$40,0)</f>
        <v>0</v>
      </c>
      <c r="BZ98" s="102">
        <f>IF(BZ10=Assumptions!$D$8,Assumptions!$M$40,0)</f>
        <v>0</v>
      </c>
      <c r="CA98" s="102">
        <f>IF(CA10=Assumptions!$D$8,Assumptions!$M$40,0)</f>
        <v>0</v>
      </c>
      <c r="CB98" s="102">
        <f>IF(CB10=Assumptions!$D$8,Assumptions!$M$40,0)</f>
        <v>0</v>
      </c>
      <c r="CC98" s="102">
        <f>IF(CC10=Assumptions!$D$8,Assumptions!$M$40,0)</f>
        <v>0</v>
      </c>
      <c r="CD98" s="102">
        <f>IF(CD10=Assumptions!$D$8,Assumptions!$M$40,0)</f>
        <v>0</v>
      </c>
      <c r="CE98" s="102">
        <f>IF(CE10=Assumptions!$D$8,Assumptions!$M$40,0)</f>
        <v>0</v>
      </c>
      <c r="CF98" s="102">
        <f>IF(CF10=Assumptions!$D$8,Assumptions!$M$40,0)</f>
        <v>0</v>
      </c>
      <c r="CG98" s="102">
        <f>IF(CG10=Assumptions!$D$8,Assumptions!$M$40,0)</f>
        <v>0</v>
      </c>
      <c r="CH98" s="102">
        <f>IF(CH10=Assumptions!$D$8,Assumptions!$M$40,0)</f>
        <v>0</v>
      </c>
      <c r="CI98" s="102">
        <f>IF(CI10=Assumptions!$D$8,Assumptions!$M$40,0)</f>
        <v>0</v>
      </c>
      <c r="CJ98" s="102">
        <f>IF(CJ10=Assumptions!$D$8,Assumptions!$M$40,0)</f>
        <v>0</v>
      </c>
      <c r="CK98" s="102">
        <f>IF(CK10=Assumptions!$D$8,Assumptions!$M$40,0)</f>
        <v>0</v>
      </c>
      <c r="CL98" s="102">
        <f>IF(CL10=Assumptions!$D$8,Assumptions!$M$40,0)</f>
        <v>0</v>
      </c>
      <c r="CM98" s="102">
        <f>IF(CM10=Assumptions!$D$8,Assumptions!$M$40,0)</f>
        <v>0</v>
      </c>
      <c r="CN98" s="102">
        <f>IF(CN10=Assumptions!$D$8,Assumptions!$M$40,0)</f>
        <v>0</v>
      </c>
      <c r="CO98" s="102">
        <f>IF(CO10=Assumptions!$D$8,Assumptions!$M$40,0)</f>
        <v>0</v>
      </c>
      <c r="CP98" s="102">
        <f>IF(CP10=Assumptions!$D$8,Assumptions!$M$40,0)</f>
        <v>0</v>
      </c>
      <c r="CQ98" s="102">
        <f>IF(CQ10=Assumptions!$D$8,Assumptions!$M$40,0)</f>
        <v>0</v>
      </c>
      <c r="CR98" s="102">
        <f>IF(CR10=Assumptions!$D$8,Assumptions!$M$40,0)</f>
        <v>0</v>
      </c>
      <c r="CS98" s="102">
        <f>IF(CS10=Assumptions!$D$8,Assumptions!$M$40,0)</f>
        <v>0</v>
      </c>
      <c r="CT98" s="102">
        <f>IF(CT10=Assumptions!$D$8,Assumptions!$M$40,0)</f>
        <v>0</v>
      </c>
      <c r="CU98" s="102">
        <f>IF(CU10=Assumptions!$D$8,Assumptions!$M$40,0)</f>
        <v>0</v>
      </c>
      <c r="CV98" s="102">
        <f>IF(CV10=Assumptions!$D$8,Assumptions!$M$40,0)</f>
        <v>0</v>
      </c>
      <c r="CW98" s="102">
        <f>IF(CW10=Assumptions!$D$8,Assumptions!$M$40,0)</f>
        <v>0</v>
      </c>
      <c r="CX98" s="102">
        <f>IF(CX10=Assumptions!$D$8,Assumptions!$M$40,0)</f>
        <v>0</v>
      </c>
      <c r="CY98" s="102">
        <f>IF(CY10=Assumptions!$D$8,Assumptions!$M$40,0)</f>
        <v>0</v>
      </c>
      <c r="CZ98" s="102">
        <f>IF(CZ10=Assumptions!$D$8,Assumptions!$M$40,0)</f>
        <v>0</v>
      </c>
      <c r="DA98" s="102">
        <f>IF(DA10=Assumptions!$D$8,Assumptions!$M$40,0)</f>
        <v>0</v>
      </c>
      <c r="DB98" s="102">
        <f>IF(DB10=Assumptions!$D$8,Assumptions!$M$40,0)</f>
        <v>0</v>
      </c>
      <c r="DC98" s="102">
        <f>IF(DC10=Assumptions!$D$8,Assumptions!$M$40,0)</f>
        <v>0</v>
      </c>
      <c r="DD98" s="102">
        <f>IF(DD10=Assumptions!$D$8,Assumptions!$M$40,0)</f>
        <v>0</v>
      </c>
      <c r="DE98" s="102">
        <f>IF(DE10=Assumptions!$D$8,Assumptions!$M$40,0)</f>
        <v>0</v>
      </c>
      <c r="DF98" s="102">
        <f>IF(DF10=Assumptions!$D$8,Assumptions!$M$40,0)</f>
        <v>0</v>
      </c>
      <c r="DG98" s="102">
        <f>IF(DG10=Assumptions!$D$8,Assumptions!$M$40,0)</f>
        <v>0</v>
      </c>
      <c r="DH98" s="102">
        <f>IF(DH10=Assumptions!$D$8,Assumptions!$M$40,0)</f>
        <v>0</v>
      </c>
      <c r="DI98" s="102">
        <f>IF(DI10=Assumptions!$D$8,Assumptions!$M$40,0)</f>
        <v>0</v>
      </c>
      <c r="DJ98" s="102">
        <f>IF(DJ10=Assumptions!$D$8,Assumptions!$M$40,0)</f>
        <v>0</v>
      </c>
      <c r="DK98" s="102">
        <f>IF(DK10=Assumptions!$D$8,Assumptions!$M$40,0)</f>
        <v>0</v>
      </c>
      <c r="DL98" s="102">
        <f>IF(DL10=Assumptions!$D$8,Assumptions!$M$40,0)</f>
        <v>0</v>
      </c>
      <c r="DM98" s="102">
        <f>IF(DM10=Assumptions!$D$8,Assumptions!$M$40,0)</f>
        <v>0</v>
      </c>
      <c r="DN98" s="102">
        <f>IF(DN10=Assumptions!$D$8,Assumptions!$M$40,0)</f>
        <v>0</v>
      </c>
      <c r="DO98" s="102">
        <f>IF(DO10=Assumptions!$D$8,Assumptions!$M$40,0)</f>
        <v>0</v>
      </c>
      <c r="DP98" s="102">
        <f>IF(DP10=Assumptions!$D$8,Assumptions!$M$40,0)</f>
        <v>0</v>
      </c>
      <c r="DQ98" s="102">
        <f>IF(DQ10=Assumptions!$D$8,Assumptions!$M$40,0)</f>
        <v>0</v>
      </c>
      <c r="DR98" s="102">
        <f>IF(DR10=Assumptions!$D$8,Assumptions!$M$40,0)</f>
        <v>0</v>
      </c>
      <c r="DS98" s="102">
        <f>IF(DS10=Assumptions!$D$8,Assumptions!$M$40,0)</f>
        <v>0</v>
      </c>
      <c r="DT98" s="102">
        <f>IF(DT10=Assumptions!$D$8,Assumptions!$M$40,0)</f>
        <v>0</v>
      </c>
      <c r="DU98" s="102">
        <f>IF(DU10=Assumptions!$D$8,Assumptions!$M$40,0)</f>
        <v>0</v>
      </c>
      <c r="DV98" s="102">
        <f>IF(DV10=Assumptions!$D$8,Assumptions!$M$40,0)</f>
        <v>0</v>
      </c>
      <c r="DW98" s="102">
        <f>IF(DW10=Assumptions!$D$8,Assumptions!$M$40,0)</f>
        <v>0</v>
      </c>
      <c r="DX98" s="102">
        <f>IF(DX10=Assumptions!$D$8,Assumptions!$M$40,0)</f>
        <v>0</v>
      </c>
      <c r="DY98" s="102">
        <f>IF(DY10=Assumptions!$D$8,Assumptions!$M$40,0)</f>
        <v>0</v>
      </c>
      <c r="DZ98" s="102">
        <f>IF(DZ10=Assumptions!$D$8,Assumptions!$M$40,0)</f>
        <v>0</v>
      </c>
      <c r="EA98" s="102">
        <f>IF(EA10=Assumptions!$D$8,Assumptions!$M$40,0)</f>
        <v>0</v>
      </c>
      <c r="EB98" s="102">
        <f>IF(EB10=Assumptions!$D$8,Assumptions!$M$40,0)</f>
        <v>0</v>
      </c>
      <c r="EC98" s="102">
        <f>IF(EC10=Assumptions!$D$8,Assumptions!$M$40,0)</f>
        <v>0</v>
      </c>
      <c r="ED98" s="102">
        <f>IF(ED10=Assumptions!$D$8,Assumptions!$M$40,0)</f>
        <v>0</v>
      </c>
      <c r="EE98" s="102">
        <f>IF(EE10=Assumptions!$D$8,Assumptions!$M$40,0)</f>
        <v>0</v>
      </c>
      <c r="EF98" s="102">
        <f>IF(EF10=Assumptions!$D$8,Assumptions!$M$40,0)</f>
        <v>0</v>
      </c>
      <c r="EG98" s="102">
        <f>IF(EG10=Assumptions!$D$8,Assumptions!$M$40,0)</f>
        <v>0</v>
      </c>
      <c r="EH98" s="102">
        <f>IF(EH10=Assumptions!$D$8,Assumptions!$M$40,0)</f>
        <v>0</v>
      </c>
      <c r="EI98" s="102">
        <f>IF(EI10=Assumptions!$D$8,Assumptions!$M$40,0)</f>
        <v>0</v>
      </c>
      <c r="EJ98" s="102">
        <f>IF(EJ10=Assumptions!$D$8,Assumptions!$M$40,0)</f>
        <v>0</v>
      </c>
      <c r="EK98" s="102">
        <f>IF(EK10=Assumptions!$D$8,Assumptions!$M$40,0)</f>
        <v>0</v>
      </c>
      <c r="EL98" s="102">
        <f>IF(EL10=Assumptions!$D$8,Assumptions!$M$40,0)</f>
        <v>0</v>
      </c>
      <c r="EM98" s="102">
        <f>IF(EM10=Assumptions!$D$8,Assumptions!$M$40,0)</f>
        <v>0</v>
      </c>
      <c r="EN98" s="102">
        <f>IF(EN10=Assumptions!$D$8,Assumptions!$M$40,0)</f>
        <v>0</v>
      </c>
      <c r="EO98" s="102">
        <f>IF(EO10=Assumptions!$D$8,Assumptions!$M$40,0)</f>
        <v>0</v>
      </c>
      <c r="EP98" s="102">
        <f>IF(EP10=Assumptions!$D$8,Assumptions!$M$40,0)</f>
        <v>0</v>
      </c>
      <c r="EQ98" s="102">
        <f>IF(EQ10=Assumptions!$D$8,Assumptions!$M$40,0)</f>
        <v>0</v>
      </c>
      <c r="ES98" s="98"/>
      <c r="ET98" s="98"/>
      <c r="EU98" s="98"/>
    </row>
    <row r="99" spans="7:151" ht="15.75">
      <c r="G99" s="101"/>
      <c r="H99" s="117" t="s">
        <v>197</v>
      </c>
      <c r="I99" s="95"/>
      <c r="J99" s="102"/>
      <c r="K99" s="102"/>
      <c r="L99" s="102"/>
      <c r="N99" s="102">
        <f t="shared" si="83"/>
        <v>-1899994.9187111054</v>
      </c>
      <c r="O99" s="102">
        <f>IF(AND(Assumptions!$M$48&gt;0,O10=Assumptions!$M$48),-VLOOKUP(Assumptions!$M$48,'Amort Schedule - Acqn Loan'!$B$29:$G$388,6),IF(AND(Assumptions!$M$48=0,O10=Assumptions!$G$10),-VLOOKUP(O10,'Amort Schedule - Acqn Loan'!$B$29:$G$388,6),0))</f>
        <v>0</v>
      </c>
      <c r="P99" s="102">
        <f>IF(AND(Assumptions!$M$48&gt;0,P10=Assumptions!$M$48),-VLOOKUP(Assumptions!$M$48,'Amort Schedule - Acqn Loan'!$B$29:$G$388,6),IF(AND(Assumptions!$M$48=0,P10=Assumptions!$G$10),-VLOOKUP(P10,'Amort Schedule - Acqn Loan'!$B$29:$G$388,6),0))</f>
        <v>0</v>
      </c>
      <c r="Q99" s="102">
        <f>IF(AND(Assumptions!$M$48&gt;0,Q10=Assumptions!$M$48),-VLOOKUP(Assumptions!$M$48,'Amort Schedule - Acqn Loan'!$B$29:$G$388,6),IF(AND(Assumptions!$M$48=0,Q10=Assumptions!$G$10),-VLOOKUP(Q10,'Amort Schedule - Acqn Loan'!$B$29:$G$388,6),0))</f>
        <v>0</v>
      </c>
      <c r="R99" s="102">
        <f>IF(AND(Assumptions!$M$48&gt;0,R10=Assumptions!$M$48),-VLOOKUP(Assumptions!$M$48,'Amort Schedule - Acqn Loan'!$B$29:$G$388,6),IF(AND(Assumptions!$M$48=0,R10=Assumptions!$G$10),-VLOOKUP(R10,'Amort Schedule - Acqn Loan'!$B$29:$G$388,6),0))</f>
        <v>0</v>
      </c>
      <c r="S99" s="102">
        <f>IF(AND(Assumptions!$M$48&gt;0,S10=Assumptions!$M$48),-VLOOKUP(Assumptions!$M$48,'Amort Schedule - Acqn Loan'!$B$29:$G$388,6),IF(AND(Assumptions!$M$48=0,S10=Assumptions!$G$10),-VLOOKUP(S10,'Amort Schedule - Acqn Loan'!$B$29:$G$388,6),0))</f>
        <v>0</v>
      </c>
      <c r="T99" s="102">
        <f>IF(AND(Assumptions!$M$48&gt;0,T10=Assumptions!$M$48),-VLOOKUP(Assumptions!$M$48,'Amort Schedule - Acqn Loan'!$B$29:$G$388,6),IF(AND(Assumptions!$M$48=0,T10=Assumptions!$G$10),-VLOOKUP(T10,'Amort Schedule - Acqn Loan'!$B$29:$G$388,6),0))</f>
        <v>0</v>
      </c>
      <c r="U99" s="102">
        <f>IF(AND(Assumptions!$M$48&gt;0,U10=Assumptions!$M$48),-VLOOKUP(Assumptions!$M$48,'Amort Schedule - Acqn Loan'!$B$29:$G$388,6),IF(AND(Assumptions!$M$48=0,U10=Assumptions!$G$10),-VLOOKUP(U10,'Amort Schedule - Acqn Loan'!$B$29:$G$388,6),0))</f>
        <v>0</v>
      </c>
      <c r="V99" s="102">
        <f>IF(AND(Assumptions!$M$48&gt;0,V10=Assumptions!$M$48),-VLOOKUP(Assumptions!$M$48,'Amort Schedule - Acqn Loan'!$B$29:$G$388,6),IF(AND(Assumptions!$M$48=0,V10=Assumptions!$G$10),-VLOOKUP(V10,'Amort Schedule - Acqn Loan'!$B$29:$G$388,6),0))</f>
        <v>0</v>
      </c>
      <c r="W99" s="102">
        <f>IF(AND(Assumptions!$M$48&gt;0,W10=Assumptions!$M$48),-VLOOKUP(Assumptions!$M$48,'Amort Schedule - Acqn Loan'!$B$29:$G$388,6),IF(AND(Assumptions!$M$48=0,W10=Assumptions!$G$10),-VLOOKUP(W10,'Amort Schedule - Acqn Loan'!$B$29:$G$388,6),0))</f>
        <v>0</v>
      </c>
      <c r="X99" s="102">
        <f>IF(AND(Assumptions!$M$48&gt;0,X10=Assumptions!$M$48),-VLOOKUP(Assumptions!$M$48,'Amort Schedule - Acqn Loan'!$B$29:$G$388,6),IF(AND(Assumptions!$M$48=0,X10=Assumptions!$G$10),-VLOOKUP(X10,'Amort Schedule - Acqn Loan'!$B$29:$G$388,6),0))</f>
        <v>0</v>
      </c>
      <c r="Y99" s="102">
        <f>IF(AND(Assumptions!$M$48&gt;0,Y10=Assumptions!$M$48),-VLOOKUP(Assumptions!$M$48,'Amort Schedule - Acqn Loan'!$B$29:$G$388,6),IF(AND(Assumptions!$M$48=0,Y10=Assumptions!$G$10),-VLOOKUP(Y10,'Amort Schedule - Acqn Loan'!$B$29:$G$388,6),0))</f>
        <v>0</v>
      </c>
      <c r="Z99" s="102">
        <f>IF(AND(Assumptions!$M$48&gt;0,Z10=Assumptions!$M$48),-VLOOKUP(Assumptions!$M$48,'Amort Schedule - Acqn Loan'!$B$29:$G$388,6),IF(AND(Assumptions!$M$48=0,Z10=Assumptions!$G$10),-VLOOKUP(Z10,'Amort Schedule - Acqn Loan'!$B$29:$G$388,6),0))</f>
        <v>0</v>
      </c>
      <c r="AA99" s="102">
        <f>IF(AND(Assumptions!$M$48&gt;0,AA10=Assumptions!$M$48),-VLOOKUP(Assumptions!$M$48,'Amort Schedule - Acqn Loan'!$B$29:$G$388,6),IF(AND(Assumptions!$M$48=0,AA10=Assumptions!$G$10),-VLOOKUP(AA10,'Amort Schedule - Acqn Loan'!$B$29:$G$388,6),0))</f>
        <v>0</v>
      </c>
      <c r="AB99" s="102">
        <f>IF(AND(Assumptions!$M$48&gt;0,AB10=Assumptions!$M$48),-VLOOKUP(Assumptions!$M$48,'Amort Schedule - Acqn Loan'!$B$29:$G$388,6),IF(AND(Assumptions!$M$48=0,AB10=Assumptions!$G$10),-VLOOKUP(AB10,'Amort Schedule - Acqn Loan'!$B$29:$G$388,6),0))</f>
        <v>0</v>
      </c>
      <c r="AC99" s="102">
        <f>IF(AND(Assumptions!$M$48&gt;0,AC10=Assumptions!$M$48),-VLOOKUP(Assumptions!$M$48,'Amort Schedule - Acqn Loan'!$B$29:$G$388,6),IF(AND(Assumptions!$M$48=0,AC10=Assumptions!$G$10),-VLOOKUP(AC10,'Amort Schedule - Acqn Loan'!$B$29:$G$388,6),0))</f>
        <v>0</v>
      </c>
      <c r="AD99" s="102">
        <f>IF(AND(Assumptions!$M$48&gt;0,AD10=Assumptions!$M$48),-VLOOKUP(Assumptions!$M$48,'Amort Schedule - Acqn Loan'!$B$29:$G$388,6),IF(AND(Assumptions!$M$48=0,AD10=Assumptions!$G$10),-VLOOKUP(AD10,'Amort Schedule - Acqn Loan'!$B$29:$G$388,6),0))</f>
        <v>0</v>
      </c>
      <c r="AE99" s="102">
        <f>IF(AND(Assumptions!$M$48&gt;0,AE10=Assumptions!$M$48),-VLOOKUP(Assumptions!$M$48,'Amort Schedule - Acqn Loan'!$B$29:$G$388,6),IF(AND(Assumptions!$M$48=0,AE10=Assumptions!$G$10),-VLOOKUP(AE10,'Amort Schedule - Acqn Loan'!$B$29:$G$388,6),0))</f>
        <v>0</v>
      </c>
      <c r="AF99" s="102">
        <f>IF(AND(Assumptions!$M$48&gt;0,AF10=Assumptions!$M$48),-VLOOKUP(Assumptions!$M$48,'Amort Schedule - Acqn Loan'!$B$29:$G$388,6),IF(AND(Assumptions!$M$48=0,AF10=Assumptions!$G$10),-VLOOKUP(AF10,'Amort Schedule - Acqn Loan'!$B$29:$G$388,6),0))</f>
        <v>0</v>
      </c>
      <c r="AG99" s="102">
        <f>IF(AND(Assumptions!$M$48&gt;0,AG10=Assumptions!$M$48),-VLOOKUP(Assumptions!$M$48,'Amort Schedule - Acqn Loan'!$B$29:$G$388,6),IF(AND(Assumptions!$M$48=0,AG10=Assumptions!$G$10),-VLOOKUP(AG10,'Amort Schedule - Acqn Loan'!$B$29:$G$388,6),0))</f>
        <v>0</v>
      </c>
      <c r="AH99" s="102">
        <f>IF(AND(Assumptions!$M$48&gt;0,AH10=Assumptions!$M$48),-VLOOKUP(Assumptions!$M$48,'Amort Schedule - Acqn Loan'!$B$29:$G$388,6),IF(AND(Assumptions!$M$48=0,AH10=Assumptions!$G$10),-VLOOKUP(AH10,'Amort Schedule - Acqn Loan'!$B$29:$G$388,6),0))</f>
        <v>0</v>
      </c>
      <c r="AI99" s="102">
        <f>IF(AND(Assumptions!$M$48&gt;0,AI10=Assumptions!$M$48),-VLOOKUP(Assumptions!$M$48,'Amort Schedule - Acqn Loan'!$B$29:$G$388,6),IF(AND(Assumptions!$M$48=0,AI10=Assumptions!$G$10),-VLOOKUP(AI10,'Amort Schedule - Acqn Loan'!$B$29:$G$388,6),0))</f>
        <v>0</v>
      </c>
      <c r="AJ99" s="102">
        <f>IF(AND(Assumptions!$M$48&gt;0,AJ10=Assumptions!$M$48),-VLOOKUP(Assumptions!$M$48,'Amort Schedule - Acqn Loan'!$B$29:$G$388,6),IF(AND(Assumptions!$M$48=0,AJ10=Assumptions!$G$10),-VLOOKUP(AJ10,'Amort Schedule - Acqn Loan'!$B$29:$G$388,6),0))</f>
        <v>0</v>
      </c>
      <c r="AK99" s="102">
        <f>IF(AND(Assumptions!$M$48&gt;0,AK10=Assumptions!$M$48),-VLOOKUP(Assumptions!$M$48,'Amort Schedule - Acqn Loan'!$B$29:$G$388,6),IF(AND(Assumptions!$M$48=0,AK10=Assumptions!$G$10),-VLOOKUP(AK10,'Amort Schedule - Acqn Loan'!$B$29:$G$388,6),0))</f>
        <v>0</v>
      </c>
      <c r="AL99" s="102">
        <f>IF(AND(Assumptions!$M$48&gt;0,AL10=Assumptions!$M$48),-VLOOKUP(Assumptions!$M$48,'Amort Schedule - Acqn Loan'!$B$29:$G$388,6),IF(AND(Assumptions!$M$48=0,AL10=Assumptions!$G$10),-VLOOKUP(AL10,'Amort Schedule - Acqn Loan'!$B$29:$G$388,6),0))</f>
        <v>0</v>
      </c>
      <c r="AM99" s="102">
        <f>IF(AND(Assumptions!$M$48&gt;0,AM10=Assumptions!$M$48),-VLOOKUP(Assumptions!$M$48,'Amort Schedule - Acqn Loan'!$B$29:$G$388,6),IF(AND(Assumptions!$M$48=0,AM10=Assumptions!$G$10),-VLOOKUP(AM10,'Amort Schedule - Acqn Loan'!$B$29:$G$388,6),0))</f>
        <v>0</v>
      </c>
      <c r="AN99" s="102">
        <f>IF(AND(Assumptions!$M$48&gt;0,AN10=Assumptions!$M$48),-VLOOKUP(Assumptions!$M$48,'Amort Schedule - Acqn Loan'!$B$29:$G$388,6),IF(AND(Assumptions!$M$48=0,AN10=Assumptions!$G$10),-VLOOKUP(AN10,'Amort Schedule - Acqn Loan'!$B$29:$G$388,6),0))</f>
        <v>0</v>
      </c>
      <c r="AO99" s="102">
        <f>IF(AND(Assumptions!$M$48&gt;0,AO10=Assumptions!$M$48),-VLOOKUP(Assumptions!$M$48,'Amort Schedule - Acqn Loan'!$B$29:$G$388,6),IF(AND(Assumptions!$M$48=0,AO10=Assumptions!$G$10),-VLOOKUP(AO10,'Amort Schedule - Acqn Loan'!$B$29:$G$388,6),0))</f>
        <v>0</v>
      </c>
      <c r="AP99" s="102">
        <f>IF(AND(Assumptions!$M$48&gt;0,AP10=Assumptions!$M$48),-VLOOKUP(Assumptions!$M$48,'Amort Schedule - Acqn Loan'!$B$29:$G$388,6),IF(AND(Assumptions!$M$48=0,AP10=Assumptions!$G$10),-VLOOKUP(AP10,'Amort Schedule - Acqn Loan'!$B$29:$G$388,6),0))</f>
        <v>0</v>
      </c>
      <c r="AQ99" s="102">
        <f>IF(AND(Assumptions!$M$48&gt;0,AQ10=Assumptions!$M$48),-VLOOKUP(Assumptions!$M$48,'Amort Schedule - Acqn Loan'!$B$29:$G$388,6),IF(AND(Assumptions!$M$48=0,AQ10=Assumptions!$G$10),-VLOOKUP(AQ10,'Amort Schedule - Acqn Loan'!$B$29:$G$388,6),0))</f>
        <v>0</v>
      </c>
      <c r="AR99" s="102">
        <f>IF(AND(Assumptions!$M$48&gt;0,AR10=Assumptions!$M$48),-VLOOKUP(Assumptions!$M$48,'Amort Schedule - Acqn Loan'!$B$29:$G$388,6),IF(AND(Assumptions!$M$48=0,AR10=Assumptions!$G$10),-VLOOKUP(AR10,'Amort Schedule - Acqn Loan'!$B$29:$G$388,6),0))</f>
        <v>0</v>
      </c>
      <c r="AS99" s="102">
        <f>IF(AND(Assumptions!$M$48&gt;0,AS10=Assumptions!$M$48),-VLOOKUP(Assumptions!$M$48,'Amort Schedule - Acqn Loan'!$B$29:$G$388,6),IF(AND(Assumptions!$M$48=0,AS10=Assumptions!$G$10),-VLOOKUP(AS10,'Amort Schedule - Acqn Loan'!$B$29:$G$388,6),0))</f>
        <v>0</v>
      </c>
      <c r="AT99" s="102">
        <f>IF(AND(Assumptions!$M$48&gt;0,AT10=Assumptions!$M$48),-VLOOKUP(Assumptions!$M$48,'Amort Schedule - Acqn Loan'!$B$29:$G$388,6),IF(AND(Assumptions!$M$48=0,AT10=Assumptions!$G$10),-VLOOKUP(AT10,'Amort Schedule - Acqn Loan'!$B$29:$G$388,6),0))</f>
        <v>0</v>
      </c>
      <c r="AU99" s="102">
        <f>IF(AND(Assumptions!$M$48&gt;0,AU10=Assumptions!$M$48),-VLOOKUP(Assumptions!$M$48,'Amort Schedule - Acqn Loan'!$B$29:$G$388,6),IF(AND(Assumptions!$M$48=0,AU10=Assumptions!$G$10),-VLOOKUP(AU10,'Amort Schedule - Acqn Loan'!$B$29:$G$388,6),0))</f>
        <v>0</v>
      </c>
      <c r="AV99" s="102">
        <f>IF(AND(Assumptions!$M$48&gt;0,AV10=Assumptions!$M$48),-VLOOKUP(Assumptions!$M$48,'Amort Schedule - Acqn Loan'!$B$29:$G$388,6),IF(AND(Assumptions!$M$48=0,AV10=Assumptions!$G$10),-VLOOKUP(AV10,'Amort Schedule - Acqn Loan'!$B$29:$G$388,6),0))</f>
        <v>0</v>
      </c>
      <c r="AW99" s="102">
        <f>IF(AND(Assumptions!$M$48&gt;0,AW10=Assumptions!$M$48),-VLOOKUP(Assumptions!$M$48,'Amort Schedule - Acqn Loan'!$B$29:$G$388,6),IF(AND(Assumptions!$M$48=0,AW10=Assumptions!$G$10),-VLOOKUP(AW10,'Amort Schedule - Acqn Loan'!$B$29:$G$388,6),0))</f>
        <v>0</v>
      </c>
      <c r="AX99" s="102">
        <f>IF(AND(Assumptions!$M$48&gt;0,AX10=Assumptions!$M$48),-VLOOKUP(Assumptions!$M$48,'Amort Schedule - Acqn Loan'!$B$29:$G$388,6),IF(AND(Assumptions!$M$48=0,AX10=Assumptions!$G$10),-VLOOKUP(AX10,'Amort Schedule - Acqn Loan'!$B$29:$G$388,6),0))</f>
        <v>0</v>
      </c>
      <c r="AY99" s="102">
        <f>IF(AND(Assumptions!$M$48&gt;0,AY10=Assumptions!$M$48),-VLOOKUP(Assumptions!$M$48,'Amort Schedule - Acqn Loan'!$B$29:$G$388,6),IF(AND(Assumptions!$M$48=0,AY10=Assumptions!$G$10),-VLOOKUP(AY10,'Amort Schedule - Acqn Loan'!$B$29:$G$388,6),0))</f>
        <v>0</v>
      </c>
      <c r="AZ99" s="102">
        <f>IF(AND(Assumptions!$M$48&gt;0,AZ10=Assumptions!$M$48),-VLOOKUP(Assumptions!$M$48,'Amort Schedule - Acqn Loan'!$B$29:$G$388,6),IF(AND(Assumptions!$M$48=0,AZ10=Assumptions!$G$10),-VLOOKUP(AZ10,'Amort Schedule - Acqn Loan'!$B$29:$G$388,6),0))</f>
        <v>0</v>
      </c>
      <c r="BA99" s="102">
        <f>IF(AND(Assumptions!$M$48&gt;0,BA10=Assumptions!$M$48),-VLOOKUP(Assumptions!$M$48,'Amort Schedule - Acqn Loan'!$B$29:$G$388,6),IF(AND(Assumptions!$M$48=0,BA10=Assumptions!$G$10),-VLOOKUP(BA10,'Amort Schedule - Acqn Loan'!$B$29:$G$388,6),0))</f>
        <v>0</v>
      </c>
      <c r="BB99" s="102">
        <f>IF(AND(Assumptions!$M$48&gt;0,BB10=Assumptions!$M$48),-VLOOKUP(Assumptions!$M$48,'Amort Schedule - Acqn Loan'!$B$29:$G$388,6),IF(AND(Assumptions!$M$48=0,BB10=Assumptions!$G$10),-VLOOKUP(BB10,'Amort Schedule - Acqn Loan'!$B$29:$G$388,6),0))</f>
        <v>0</v>
      </c>
      <c r="BC99" s="102">
        <f>IF(AND(Assumptions!$M$48&gt;0,BC10=Assumptions!$M$48),-VLOOKUP(Assumptions!$M$48,'Amort Schedule - Acqn Loan'!$B$29:$G$388,6),IF(AND(Assumptions!$M$48=0,BC10=Assumptions!$G$10),-VLOOKUP(BC10,'Amort Schedule - Acqn Loan'!$B$29:$G$388,6),0))</f>
        <v>0</v>
      </c>
      <c r="BD99" s="102">
        <f>IF(AND(Assumptions!$M$48&gt;0,BD10=Assumptions!$M$48),-VLOOKUP(Assumptions!$M$48,'Amort Schedule - Acqn Loan'!$B$29:$G$388,6),IF(AND(Assumptions!$M$48=0,BD10=Assumptions!$G$10),-VLOOKUP(BD10,'Amort Schedule - Acqn Loan'!$B$29:$G$388,6),0))</f>
        <v>0</v>
      </c>
      <c r="BE99" s="102">
        <f>IF(AND(Assumptions!$M$48&gt;0,BE10=Assumptions!$M$48),-VLOOKUP(Assumptions!$M$48,'Amort Schedule - Acqn Loan'!$B$29:$G$388,6),IF(AND(Assumptions!$M$48=0,BE10=Assumptions!$G$10),-VLOOKUP(BE10,'Amort Schedule - Acqn Loan'!$B$29:$G$388,6),0))</f>
        <v>0</v>
      </c>
      <c r="BF99" s="102">
        <f>IF(AND(Assumptions!$M$48&gt;0,BF10=Assumptions!$M$48),-VLOOKUP(Assumptions!$M$48,'Amort Schedule - Acqn Loan'!$B$29:$G$388,6),IF(AND(Assumptions!$M$48=0,BF10=Assumptions!$G$10),-VLOOKUP(BF10,'Amort Schedule - Acqn Loan'!$B$29:$G$388,6),0))</f>
        <v>0</v>
      </c>
      <c r="BG99" s="102">
        <f>IF(AND(Assumptions!$M$48&gt;0,BG10=Assumptions!$M$48),-VLOOKUP(Assumptions!$M$48,'Amort Schedule - Acqn Loan'!$B$29:$G$388,6),IF(AND(Assumptions!$M$48=0,BG10=Assumptions!$G$10),-VLOOKUP(BG10,'Amort Schedule - Acqn Loan'!$B$29:$G$388,6),0))</f>
        <v>0</v>
      </c>
      <c r="BH99" s="102">
        <f>IF(AND(Assumptions!$M$48&gt;0,BH10=Assumptions!$M$48),-VLOOKUP(Assumptions!$M$48,'Amort Schedule - Acqn Loan'!$B$29:$G$388,6),IF(AND(Assumptions!$M$48=0,BH10=Assumptions!$G$10),-VLOOKUP(BH10,'Amort Schedule - Acqn Loan'!$B$29:$G$388,6),0))</f>
        <v>0</v>
      </c>
      <c r="BI99" s="102">
        <f>IF(AND(Assumptions!$M$48&gt;0,BI10=Assumptions!$M$48),-VLOOKUP(Assumptions!$M$48,'Amort Schedule - Acqn Loan'!$B$29:$G$388,6),IF(AND(Assumptions!$M$48=0,BI10=Assumptions!$G$10),-VLOOKUP(BI10,'Amort Schedule - Acqn Loan'!$B$29:$G$388,6),0))</f>
        <v>0</v>
      </c>
      <c r="BJ99" s="102">
        <f>IF(AND(Assumptions!$M$48&gt;0,BJ10=Assumptions!$M$48),-VLOOKUP(Assumptions!$M$48,'Amort Schedule - Acqn Loan'!$B$29:$G$388,6),IF(AND(Assumptions!$M$48=0,BJ10=Assumptions!$G$10),-VLOOKUP(BJ10,'Amort Schedule - Acqn Loan'!$B$29:$G$388,6),0))</f>
        <v>0</v>
      </c>
      <c r="BK99" s="102">
        <f>IF(AND(Assumptions!$M$48&gt;0,BK10=Assumptions!$M$48),-VLOOKUP(Assumptions!$M$48,'Amort Schedule - Acqn Loan'!$B$29:$G$388,6),IF(AND(Assumptions!$M$48=0,BK10=Assumptions!$G$10),-VLOOKUP(BK10,'Amort Schedule - Acqn Loan'!$B$29:$G$388,6),0))</f>
        <v>-1899994.9187111054</v>
      </c>
      <c r="BL99" s="102">
        <f>IF(AND(Assumptions!$M$48&gt;0,BL10=Assumptions!$M$48),-VLOOKUP(Assumptions!$M$48,'Amort Schedule - Acqn Loan'!$B$29:$G$388,6),IF(AND(Assumptions!$M$48=0,BL10=Assumptions!$G$10),-VLOOKUP(BL10,'Amort Schedule - Acqn Loan'!$B$29:$G$388,6),0))</f>
        <v>0</v>
      </c>
      <c r="BM99" s="102">
        <f>IF(AND(Assumptions!$M$48&gt;0,BM10=Assumptions!$M$48),-VLOOKUP(Assumptions!$M$48,'Amort Schedule - Acqn Loan'!$B$29:$G$388,6),IF(AND(Assumptions!$M$48=0,BM10=Assumptions!$G$10),-VLOOKUP(BM10,'Amort Schedule - Acqn Loan'!$B$29:$G$388,6),0))</f>
        <v>0</v>
      </c>
      <c r="BN99" s="102">
        <f>IF(AND(Assumptions!$M$48&gt;0,BN10=Assumptions!$M$48),-VLOOKUP(Assumptions!$M$48,'Amort Schedule - Acqn Loan'!$B$29:$G$388,6),IF(AND(Assumptions!$M$48=0,BN10=Assumptions!$G$10),-VLOOKUP(BN10,'Amort Schedule - Acqn Loan'!$B$29:$G$388,6),0))</f>
        <v>0</v>
      </c>
      <c r="BO99" s="102">
        <f>IF(AND(Assumptions!$M$48&gt;0,BO10=Assumptions!$M$48),-VLOOKUP(Assumptions!$M$48,'Amort Schedule - Acqn Loan'!$B$29:$G$388,6),IF(AND(Assumptions!$M$48=0,BO10=Assumptions!$G$10),-VLOOKUP(BO10,'Amort Schedule - Acqn Loan'!$B$29:$G$388,6),0))</f>
        <v>0</v>
      </c>
      <c r="BP99" s="102">
        <f>IF(AND(Assumptions!$M$48&gt;0,BP10=Assumptions!$M$48),-VLOOKUP(Assumptions!$M$48,'Amort Schedule - Acqn Loan'!$B$29:$G$388,6),IF(AND(Assumptions!$M$48=0,BP10=Assumptions!$G$10),-VLOOKUP(BP10,'Amort Schedule - Acqn Loan'!$B$29:$G$388,6),0))</f>
        <v>0</v>
      </c>
      <c r="BQ99" s="102">
        <f>IF(AND(Assumptions!$M$48&gt;0,BQ10=Assumptions!$M$48),-VLOOKUP(Assumptions!$M$48,'Amort Schedule - Acqn Loan'!$B$29:$G$388,6),IF(AND(Assumptions!$M$48=0,BQ10=Assumptions!$G$10),-VLOOKUP(BQ10,'Amort Schedule - Acqn Loan'!$B$29:$G$388,6),0))</f>
        <v>0</v>
      </c>
      <c r="BR99" s="102">
        <f>IF(AND(Assumptions!$M$48&gt;0,BR10=Assumptions!$M$48),-VLOOKUP(Assumptions!$M$48,'Amort Schedule - Acqn Loan'!$B$29:$G$388,6),IF(AND(Assumptions!$M$48=0,BR10=Assumptions!$G$10),-VLOOKUP(BR10,'Amort Schedule - Acqn Loan'!$B$29:$G$388,6),0))</f>
        <v>0</v>
      </c>
      <c r="BS99" s="102">
        <f>IF(AND(Assumptions!$M$48&gt;0,BS10=Assumptions!$M$48),-VLOOKUP(Assumptions!$M$48,'Amort Schedule - Acqn Loan'!$B$29:$G$388,6),IF(AND(Assumptions!$M$48=0,BS10=Assumptions!$G$10),-VLOOKUP(BS10,'Amort Schedule - Acqn Loan'!$B$29:$G$388,6),0))</f>
        <v>0</v>
      </c>
      <c r="BT99" s="102">
        <f>IF(AND(Assumptions!$M$48&gt;0,BT10=Assumptions!$M$48),-VLOOKUP(Assumptions!$M$48,'Amort Schedule - Acqn Loan'!$B$29:$G$388,6),IF(AND(Assumptions!$M$48=0,BT10=Assumptions!$G$10),-VLOOKUP(BT10,'Amort Schedule - Acqn Loan'!$B$29:$G$388,6),0))</f>
        <v>0</v>
      </c>
      <c r="BU99" s="102">
        <f>IF(AND(Assumptions!$M$48&gt;0,BU10=Assumptions!$M$48),-VLOOKUP(Assumptions!$M$48,'Amort Schedule - Acqn Loan'!$B$29:$G$388,6),IF(AND(Assumptions!$M$48=0,BU10=Assumptions!$G$10),-VLOOKUP(BU10,'Amort Schedule - Acqn Loan'!$B$29:$G$388,6),0))</f>
        <v>0</v>
      </c>
      <c r="BV99" s="102">
        <f>IF(AND(Assumptions!$M$48&gt;0,BV10=Assumptions!$M$48),-VLOOKUP(Assumptions!$M$48,'Amort Schedule - Acqn Loan'!$B$29:$G$388,6),IF(AND(Assumptions!$M$48=0,BV10=Assumptions!$G$10),-VLOOKUP(BV10,'Amort Schedule - Acqn Loan'!$B$29:$G$388,6),0))</f>
        <v>0</v>
      </c>
      <c r="BW99" s="102">
        <f>IF(AND(Assumptions!$M$48&gt;0,BW10=Assumptions!$M$48),-VLOOKUP(Assumptions!$M$48,'Amort Schedule - Acqn Loan'!$B$29:$G$388,6),IF(AND(Assumptions!$M$48=0,BW10=Assumptions!$G$10),-VLOOKUP(BW10,'Amort Schedule - Acqn Loan'!$B$29:$G$388,6),0))</f>
        <v>0</v>
      </c>
      <c r="BX99" s="102">
        <f>IF(AND(Assumptions!$M$48&gt;0,BX10=Assumptions!$M$48),-VLOOKUP(Assumptions!$M$48,'Amort Schedule - Acqn Loan'!$B$29:$G$388,6),IF(AND(Assumptions!$M$48=0,BX10=Assumptions!$G$10),-VLOOKUP(BX10,'Amort Schedule - Acqn Loan'!$B$29:$G$388,6),0))</f>
        <v>0</v>
      </c>
      <c r="BY99" s="102">
        <f>IF(AND(Assumptions!$M$48&gt;0,BY10=Assumptions!$M$48),-VLOOKUP(Assumptions!$M$48,'Amort Schedule - Acqn Loan'!$B$29:$G$388,6),IF(AND(Assumptions!$M$48=0,BY10=Assumptions!$G$10),-VLOOKUP(BY10,'Amort Schedule - Acqn Loan'!$B$29:$G$388,6),0))</f>
        <v>0</v>
      </c>
      <c r="BZ99" s="102">
        <f>IF(AND(Assumptions!$M$48&gt;0,BZ10=Assumptions!$M$48),-VLOOKUP(Assumptions!$M$48,'Amort Schedule - Acqn Loan'!$B$29:$G$388,6),IF(AND(Assumptions!$M$48=0,BZ10=Assumptions!$G$10),-VLOOKUP(BZ10,'Amort Schedule - Acqn Loan'!$B$29:$G$388,6),0))</f>
        <v>0</v>
      </c>
      <c r="CA99" s="102">
        <f>IF(AND(Assumptions!$M$48&gt;0,CA10=Assumptions!$M$48),-VLOOKUP(Assumptions!$M$48,'Amort Schedule - Acqn Loan'!$B$29:$G$388,6),IF(AND(Assumptions!$M$48=0,CA10=Assumptions!$G$10),-VLOOKUP(CA10,'Amort Schedule - Acqn Loan'!$B$29:$G$388,6),0))</f>
        <v>0</v>
      </c>
      <c r="CB99" s="102">
        <f>IF(AND(Assumptions!$M$48&gt;0,CB10=Assumptions!$M$48),-VLOOKUP(Assumptions!$M$48,'Amort Schedule - Acqn Loan'!$B$29:$G$388,6),IF(AND(Assumptions!$M$48=0,CB10=Assumptions!$G$10),-VLOOKUP(CB10,'Amort Schedule - Acqn Loan'!$B$29:$G$388,6),0))</f>
        <v>0</v>
      </c>
      <c r="CC99" s="102">
        <f>IF(AND(Assumptions!$M$48&gt;0,CC10=Assumptions!$M$48),-VLOOKUP(Assumptions!$M$48,'Amort Schedule - Acqn Loan'!$B$29:$G$388,6),IF(AND(Assumptions!$M$48=0,CC10=Assumptions!$G$10),-VLOOKUP(CC10,'Amort Schedule - Acqn Loan'!$B$29:$G$388,6),0))</f>
        <v>0</v>
      </c>
      <c r="CD99" s="102">
        <f>IF(AND(Assumptions!$M$48&gt;0,CD10=Assumptions!$M$48),-VLOOKUP(Assumptions!$M$48,'Amort Schedule - Acqn Loan'!$B$29:$G$388,6),IF(AND(Assumptions!$M$48=0,CD10=Assumptions!$G$10),-VLOOKUP(CD10,'Amort Schedule - Acqn Loan'!$B$29:$G$388,6),0))</f>
        <v>0</v>
      </c>
      <c r="CE99" s="102">
        <f>IF(AND(Assumptions!$M$48&gt;0,CE10=Assumptions!$M$48),-VLOOKUP(Assumptions!$M$48,'Amort Schedule - Acqn Loan'!$B$29:$G$388,6),IF(AND(Assumptions!$M$48=0,CE10=Assumptions!$G$10),-VLOOKUP(CE10,'Amort Schedule - Acqn Loan'!$B$29:$G$388,6),0))</f>
        <v>0</v>
      </c>
      <c r="CF99" s="102">
        <f>IF(AND(Assumptions!$M$48&gt;0,CF10=Assumptions!$M$48),-VLOOKUP(Assumptions!$M$48,'Amort Schedule - Acqn Loan'!$B$29:$G$388,6),IF(AND(Assumptions!$M$48=0,CF10=Assumptions!$G$10),-VLOOKUP(CF10,'Amort Schedule - Acqn Loan'!$B$29:$G$388,6),0))</f>
        <v>0</v>
      </c>
      <c r="CG99" s="102">
        <f>IF(AND(Assumptions!$M$48&gt;0,CG10=Assumptions!$M$48),-VLOOKUP(Assumptions!$M$48,'Amort Schedule - Acqn Loan'!$B$29:$G$388,6),IF(AND(Assumptions!$M$48=0,CG10=Assumptions!$G$10),-VLOOKUP(CG10,'Amort Schedule - Acqn Loan'!$B$29:$G$388,6),0))</f>
        <v>0</v>
      </c>
      <c r="CH99" s="102">
        <f>IF(AND(Assumptions!$M$48&gt;0,CH10=Assumptions!$M$48),-VLOOKUP(Assumptions!$M$48,'Amort Schedule - Acqn Loan'!$B$29:$G$388,6),IF(AND(Assumptions!$M$48=0,CH10=Assumptions!$G$10),-VLOOKUP(CH10,'Amort Schedule - Acqn Loan'!$B$29:$G$388,6),0))</f>
        <v>0</v>
      </c>
      <c r="CI99" s="102">
        <f>IF(AND(Assumptions!$M$48&gt;0,CI10=Assumptions!$M$48),-VLOOKUP(Assumptions!$M$48,'Amort Schedule - Acqn Loan'!$B$29:$G$388,6),IF(AND(Assumptions!$M$48=0,CI10=Assumptions!$G$10),-VLOOKUP(CI10,'Amort Schedule - Acqn Loan'!$B$29:$G$388,6),0))</f>
        <v>0</v>
      </c>
      <c r="CJ99" s="102">
        <f>IF(AND(Assumptions!$M$48&gt;0,CJ10=Assumptions!$M$48),-VLOOKUP(Assumptions!$M$48,'Amort Schedule - Acqn Loan'!$B$29:$G$388,6),IF(AND(Assumptions!$M$48=0,CJ10=Assumptions!$G$10),-VLOOKUP(CJ10,'Amort Schedule - Acqn Loan'!$B$29:$G$388,6),0))</f>
        <v>0</v>
      </c>
      <c r="CK99" s="102">
        <f>IF(AND(Assumptions!$M$48&gt;0,CK10=Assumptions!$M$48),-VLOOKUP(Assumptions!$M$48,'Amort Schedule - Acqn Loan'!$B$29:$G$388,6),IF(AND(Assumptions!$M$48=0,CK10=Assumptions!$G$10),-VLOOKUP(CK10,'Amort Schedule - Acqn Loan'!$B$29:$G$388,6),0))</f>
        <v>0</v>
      </c>
      <c r="CL99" s="102">
        <f>IF(AND(Assumptions!$M$48&gt;0,CL10=Assumptions!$M$48),-VLOOKUP(Assumptions!$M$48,'Amort Schedule - Acqn Loan'!$B$29:$G$388,6),IF(AND(Assumptions!$M$48=0,CL10=Assumptions!$G$10),-VLOOKUP(CL10,'Amort Schedule - Acqn Loan'!$B$29:$G$388,6),0))</f>
        <v>0</v>
      </c>
      <c r="CM99" s="102">
        <f>IF(AND(Assumptions!$M$48&gt;0,CM10=Assumptions!$M$48),-VLOOKUP(Assumptions!$M$48,'Amort Schedule - Acqn Loan'!$B$29:$G$388,6),IF(AND(Assumptions!$M$48=0,CM10=Assumptions!$G$10),-VLOOKUP(CM10,'Amort Schedule - Acqn Loan'!$B$29:$G$388,6),0))</f>
        <v>0</v>
      </c>
      <c r="CN99" s="102">
        <f>IF(AND(Assumptions!$M$48&gt;0,CN10=Assumptions!$M$48),-VLOOKUP(Assumptions!$M$48,'Amort Schedule - Acqn Loan'!$B$29:$G$388,6),IF(AND(Assumptions!$M$48=0,CN10=Assumptions!$G$10),-VLOOKUP(CN10,'Amort Schedule - Acqn Loan'!$B$29:$G$388,6),0))</f>
        <v>0</v>
      </c>
      <c r="CO99" s="102">
        <f>IF(AND(Assumptions!$M$48&gt;0,CO10=Assumptions!$M$48),-VLOOKUP(Assumptions!$M$48,'Amort Schedule - Acqn Loan'!$B$29:$G$388,6),IF(AND(Assumptions!$M$48=0,CO10=Assumptions!$G$10),-VLOOKUP(CO10,'Amort Schedule - Acqn Loan'!$B$29:$G$388,6),0))</f>
        <v>0</v>
      </c>
      <c r="CP99" s="102">
        <f>IF(AND(Assumptions!$M$48&gt;0,CP10=Assumptions!$M$48),-VLOOKUP(Assumptions!$M$48,'Amort Schedule - Acqn Loan'!$B$29:$G$388,6),IF(AND(Assumptions!$M$48=0,CP10=Assumptions!$G$10),-VLOOKUP(CP10,'Amort Schedule - Acqn Loan'!$B$29:$G$388,6),0))</f>
        <v>0</v>
      </c>
      <c r="CQ99" s="102">
        <f>IF(AND(Assumptions!$M$48&gt;0,CQ10=Assumptions!$M$48),-VLOOKUP(Assumptions!$M$48,'Amort Schedule - Acqn Loan'!$B$29:$G$388,6),IF(AND(Assumptions!$M$48=0,CQ10=Assumptions!$G$10),-VLOOKUP(CQ10,'Amort Schedule - Acqn Loan'!$B$29:$G$388,6),0))</f>
        <v>0</v>
      </c>
      <c r="CR99" s="102">
        <f>IF(AND(Assumptions!$M$48&gt;0,CR10=Assumptions!$M$48),-VLOOKUP(Assumptions!$M$48,'Amort Schedule - Acqn Loan'!$B$29:$G$388,6),IF(AND(Assumptions!$M$48=0,CR10=Assumptions!$G$10),-VLOOKUP(CR10,'Amort Schedule - Acqn Loan'!$B$29:$G$388,6),0))</f>
        <v>0</v>
      </c>
      <c r="CS99" s="102">
        <f>IF(AND(Assumptions!$M$48&gt;0,CS10=Assumptions!$M$48),-VLOOKUP(Assumptions!$M$48,'Amort Schedule - Acqn Loan'!$B$29:$G$388,6),IF(AND(Assumptions!$M$48=0,CS10=Assumptions!$G$10),-VLOOKUP(CS10,'Amort Schedule - Acqn Loan'!$B$29:$G$388,6),0))</f>
        <v>0</v>
      </c>
      <c r="CT99" s="102">
        <f>IF(AND(Assumptions!$M$48&gt;0,CT10=Assumptions!$M$48),-VLOOKUP(Assumptions!$M$48,'Amort Schedule - Acqn Loan'!$B$29:$G$388,6),IF(AND(Assumptions!$M$48=0,CT10=Assumptions!$G$10),-VLOOKUP(CT10,'Amort Schedule - Acqn Loan'!$B$29:$G$388,6),0))</f>
        <v>0</v>
      </c>
      <c r="CU99" s="102">
        <f>IF(AND(Assumptions!$M$48&gt;0,CU10=Assumptions!$M$48),-VLOOKUP(Assumptions!$M$48,'Amort Schedule - Acqn Loan'!$B$29:$G$388,6),IF(AND(Assumptions!$M$48=0,CU10=Assumptions!$G$10),-VLOOKUP(CU10,'Amort Schedule - Acqn Loan'!$B$29:$G$388,6),0))</f>
        <v>0</v>
      </c>
      <c r="CV99" s="102">
        <f>IF(AND(Assumptions!$M$48&gt;0,CV10=Assumptions!$M$48),-VLOOKUP(Assumptions!$M$48,'Amort Schedule - Acqn Loan'!$B$29:$G$388,6),IF(AND(Assumptions!$M$48=0,CV10=Assumptions!$G$10),-VLOOKUP(CV10,'Amort Schedule - Acqn Loan'!$B$29:$G$388,6),0))</f>
        <v>0</v>
      </c>
      <c r="CW99" s="102">
        <f>IF(AND(Assumptions!$M$48&gt;0,CW10=Assumptions!$M$48),-VLOOKUP(Assumptions!$M$48,'Amort Schedule - Acqn Loan'!$B$29:$G$388,6),IF(AND(Assumptions!$M$48=0,CW10=Assumptions!$G$10),-VLOOKUP(CW10,'Amort Schedule - Acqn Loan'!$B$29:$G$388,6),0))</f>
        <v>0</v>
      </c>
      <c r="CX99" s="102">
        <f>IF(AND(Assumptions!$M$48&gt;0,CX10=Assumptions!$M$48),-VLOOKUP(Assumptions!$M$48,'Amort Schedule - Acqn Loan'!$B$29:$G$388,6),IF(AND(Assumptions!$M$48=0,CX10=Assumptions!$G$10),-VLOOKUP(CX10,'Amort Schedule - Acqn Loan'!$B$29:$G$388,6),0))</f>
        <v>0</v>
      </c>
      <c r="CY99" s="102">
        <f>IF(AND(Assumptions!$M$48&gt;0,CY10=Assumptions!$M$48),-VLOOKUP(Assumptions!$M$48,'Amort Schedule - Acqn Loan'!$B$29:$G$388,6),IF(AND(Assumptions!$M$48=0,CY10=Assumptions!$G$10),-VLOOKUP(CY10,'Amort Schedule - Acqn Loan'!$B$29:$G$388,6),0))</f>
        <v>0</v>
      </c>
      <c r="CZ99" s="102">
        <f>IF(AND(Assumptions!$M$48&gt;0,CZ10=Assumptions!$M$48),-VLOOKUP(Assumptions!$M$48,'Amort Schedule - Acqn Loan'!$B$29:$G$388,6),IF(AND(Assumptions!$M$48=0,CZ10=Assumptions!$G$10),-VLOOKUP(CZ10,'Amort Schedule - Acqn Loan'!$B$29:$G$388,6),0))</f>
        <v>0</v>
      </c>
      <c r="DA99" s="102">
        <f>IF(AND(Assumptions!$M$48&gt;0,DA10=Assumptions!$M$48),-VLOOKUP(Assumptions!$M$48,'Amort Schedule - Acqn Loan'!$B$29:$G$388,6),IF(AND(Assumptions!$M$48=0,DA10=Assumptions!$G$10),-VLOOKUP(DA10,'Amort Schedule - Acqn Loan'!$B$29:$G$388,6),0))</f>
        <v>0</v>
      </c>
      <c r="DB99" s="102">
        <f>IF(AND(Assumptions!$M$48&gt;0,DB10=Assumptions!$M$48),-VLOOKUP(Assumptions!$M$48,'Amort Schedule - Acqn Loan'!$B$29:$G$388,6),IF(AND(Assumptions!$M$48=0,DB10=Assumptions!$G$10),-VLOOKUP(DB10,'Amort Schedule - Acqn Loan'!$B$29:$G$388,6),0))</f>
        <v>0</v>
      </c>
      <c r="DC99" s="102">
        <f>IF(AND(Assumptions!$M$48&gt;0,DC10=Assumptions!$M$48),-VLOOKUP(Assumptions!$M$48,'Amort Schedule - Acqn Loan'!$B$29:$G$388,6),IF(AND(Assumptions!$M$48=0,DC10=Assumptions!$G$10),-VLOOKUP(DC10,'Amort Schedule - Acqn Loan'!$B$29:$G$388,6),0))</f>
        <v>0</v>
      </c>
      <c r="DD99" s="102">
        <f>IF(AND(Assumptions!$M$48&gt;0,DD10=Assumptions!$M$48),-VLOOKUP(Assumptions!$M$48,'Amort Schedule - Acqn Loan'!$B$29:$G$388,6),IF(AND(Assumptions!$M$48=0,DD10=Assumptions!$G$10),-VLOOKUP(DD10,'Amort Schedule - Acqn Loan'!$B$29:$G$388,6),0))</f>
        <v>0</v>
      </c>
      <c r="DE99" s="102">
        <f>IF(AND(Assumptions!$M$48&gt;0,DE10=Assumptions!$M$48),-VLOOKUP(Assumptions!$M$48,'Amort Schedule - Acqn Loan'!$B$29:$G$388,6),IF(AND(Assumptions!$M$48=0,DE10=Assumptions!$G$10),-VLOOKUP(DE10,'Amort Schedule - Acqn Loan'!$B$29:$G$388,6),0))</f>
        <v>0</v>
      </c>
      <c r="DF99" s="102">
        <f>IF(AND(Assumptions!$M$48&gt;0,DF10=Assumptions!$M$48),-VLOOKUP(Assumptions!$M$48,'Amort Schedule - Acqn Loan'!$B$29:$G$388,6),IF(AND(Assumptions!$M$48=0,DF10=Assumptions!$G$10),-VLOOKUP(DF10,'Amort Schedule - Acqn Loan'!$B$29:$G$388,6),0))</f>
        <v>0</v>
      </c>
      <c r="DG99" s="102">
        <f>IF(AND(Assumptions!$M$48&gt;0,DG10=Assumptions!$M$48),-VLOOKUP(Assumptions!$M$48,'Amort Schedule - Acqn Loan'!$B$29:$G$388,6),IF(AND(Assumptions!$M$48=0,DG10=Assumptions!$G$10),-VLOOKUP(DG10,'Amort Schedule - Acqn Loan'!$B$29:$G$388,6),0))</f>
        <v>0</v>
      </c>
      <c r="DH99" s="102">
        <f>IF(AND(Assumptions!$M$48&gt;0,DH10=Assumptions!$M$48),-VLOOKUP(Assumptions!$M$48,'Amort Schedule - Acqn Loan'!$B$29:$G$388,6),IF(AND(Assumptions!$M$48=0,DH10=Assumptions!$G$10),-VLOOKUP(DH10,'Amort Schedule - Acqn Loan'!$B$29:$G$388,6),0))</f>
        <v>0</v>
      </c>
      <c r="DI99" s="102">
        <f>IF(AND(Assumptions!$M$48&gt;0,DI10=Assumptions!$M$48),-VLOOKUP(Assumptions!$M$48,'Amort Schedule - Acqn Loan'!$B$29:$G$388,6),IF(AND(Assumptions!$M$48=0,DI10=Assumptions!$G$10),-VLOOKUP(DI10,'Amort Schedule - Acqn Loan'!$B$29:$G$388,6),0))</f>
        <v>0</v>
      </c>
      <c r="DJ99" s="102">
        <f>IF(AND(Assumptions!$M$48&gt;0,DJ10=Assumptions!$M$48),-VLOOKUP(Assumptions!$M$48,'Amort Schedule - Acqn Loan'!$B$29:$G$388,6),IF(AND(Assumptions!$M$48=0,DJ10=Assumptions!$G$10),-VLOOKUP(DJ10,'Amort Schedule - Acqn Loan'!$B$29:$G$388,6),0))</f>
        <v>0</v>
      </c>
      <c r="DK99" s="102">
        <f>IF(AND(Assumptions!$M$48&gt;0,DK10=Assumptions!$M$48),-VLOOKUP(Assumptions!$M$48,'Amort Schedule - Acqn Loan'!$B$29:$G$388,6),IF(AND(Assumptions!$M$48=0,DK10=Assumptions!$G$10),-VLOOKUP(DK10,'Amort Schedule - Acqn Loan'!$B$29:$G$388,6),0))</f>
        <v>0</v>
      </c>
      <c r="DL99" s="102">
        <f>IF(AND(Assumptions!$M$48&gt;0,DL10=Assumptions!$M$48),-VLOOKUP(Assumptions!$M$48,'Amort Schedule - Acqn Loan'!$B$29:$G$388,6),IF(AND(Assumptions!$M$48=0,DL10=Assumptions!$G$10),-VLOOKUP(DL10,'Amort Schedule - Acqn Loan'!$B$29:$G$388,6),0))</f>
        <v>0</v>
      </c>
      <c r="DM99" s="102">
        <f>IF(AND(Assumptions!$M$48&gt;0,DM10=Assumptions!$M$48),-VLOOKUP(Assumptions!$M$48,'Amort Schedule - Acqn Loan'!$B$29:$G$388,6),IF(AND(Assumptions!$M$48=0,DM10=Assumptions!$G$10),-VLOOKUP(DM10,'Amort Schedule - Acqn Loan'!$B$29:$G$388,6),0))</f>
        <v>0</v>
      </c>
      <c r="DN99" s="102">
        <f>IF(AND(Assumptions!$M$48&gt;0,DN10=Assumptions!$M$48),-VLOOKUP(Assumptions!$M$48,'Amort Schedule - Acqn Loan'!$B$29:$G$388,6),IF(AND(Assumptions!$M$48=0,DN10=Assumptions!$G$10),-VLOOKUP(DN10,'Amort Schedule - Acqn Loan'!$B$29:$G$388,6),0))</f>
        <v>0</v>
      </c>
      <c r="DO99" s="102">
        <f>IF(AND(Assumptions!$M$48&gt;0,DO10=Assumptions!$M$48),-VLOOKUP(Assumptions!$M$48,'Amort Schedule - Acqn Loan'!$B$29:$G$388,6),IF(AND(Assumptions!$M$48=0,DO10=Assumptions!$G$10),-VLOOKUP(DO10,'Amort Schedule - Acqn Loan'!$B$29:$G$388,6),0))</f>
        <v>0</v>
      </c>
      <c r="DP99" s="102">
        <f>IF(AND(Assumptions!$M$48&gt;0,DP10=Assumptions!$M$48),-VLOOKUP(Assumptions!$M$48,'Amort Schedule - Acqn Loan'!$B$29:$G$388,6),IF(AND(Assumptions!$M$48=0,DP10=Assumptions!$G$10),-VLOOKUP(DP10,'Amort Schedule - Acqn Loan'!$B$29:$G$388,6),0))</f>
        <v>0</v>
      </c>
      <c r="DQ99" s="102">
        <f>IF(AND(Assumptions!$M$48&gt;0,DQ10=Assumptions!$M$48),-VLOOKUP(Assumptions!$M$48,'Amort Schedule - Acqn Loan'!$B$29:$G$388,6),IF(AND(Assumptions!$M$48=0,DQ10=Assumptions!$G$10),-VLOOKUP(DQ10,'Amort Schedule - Acqn Loan'!$B$29:$G$388,6),0))</f>
        <v>0</v>
      </c>
      <c r="DR99" s="102">
        <f>IF(AND(Assumptions!$M$48&gt;0,DR10=Assumptions!$M$48),-VLOOKUP(Assumptions!$M$48,'Amort Schedule - Acqn Loan'!$B$29:$G$388,6),IF(AND(Assumptions!$M$48=0,DR10=Assumptions!$G$10),-VLOOKUP(DR10,'Amort Schedule - Acqn Loan'!$B$29:$G$388,6),0))</f>
        <v>0</v>
      </c>
      <c r="DS99" s="102">
        <f>IF(AND(Assumptions!$M$48&gt;0,DS10=Assumptions!$M$48),-VLOOKUP(Assumptions!$M$48,'Amort Schedule - Acqn Loan'!$B$29:$G$388,6),IF(AND(Assumptions!$M$48=0,DS10=Assumptions!$G$10),-VLOOKUP(DS10,'Amort Schedule - Acqn Loan'!$B$29:$G$388,6),0))</f>
        <v>0</v>
      </c>
      <c r="DT99" s="102">
        <f>IF(AND(Assumptions!$M$48&gt;0,DT10=Assumptions!$M$48),-VLOOKUP(Assumptions!$M$48,'Amort Schedule - Acqn Loan'!$B$29:$G$388,6),IF(AND(Assumptions!$M$48=0,DT10=Assumptions!$G$10),-VLOOKUP(DT10,'Amort Schedule - Acqn Loan'!$B$29:$G$388,6),0))</f>
        <v>0</v>
      </c>
      <c r="DU99" s="102">
        <f>IF(AND(Assumptions!$M$48&gt;0,DU10=Assumptions!$M$48),-VLOOKUP(Assumptions!$M$48,'Amort Schedule - Acqn Loan'!$B$29:$G$388,6),IF(AND(Assumptions!$M$48=0,DU10=Assumptions!$G$10),-VLOOKUP(DU10,'Amort Schedule - Acqn Loan'!$B$29:$G$388,6),0))</f>
        <v>0</v>
      </c>
      <c r="DV99" s="102">
        <f>IF(AND(Assumptions!$M$48&gt;0,DV10=Assumptions!$M$48),-VLOOKUP(Assumptions!$M$48,'Amort Schedule - Acqn Loan'!$B$29:$G$388,6),IF(AND(Assumptions!$M$48=0,DV10=Assumptions!$G$10),-VLOOKUP(DV10,'Amort Schedule - Acqn Loan'!$B$29:$G$388,6),0))</f>
        <v>0</v>
      </c>
      <c r="DW99" s="102">
        <f>IF(AND(Assumptions!$M$48&gt;0,DW10=Assumptions!$M$48),-VLOOKUP(Assumptions!$M$48,'Amort Schedule - Acqn Loan'!$B$29:$G$388,6),IF(AND(Assumptions!$M$48=0,DW10=Assumptions!$G$10),-VLOOKUP(DW10,'Amort Schedule - Acqn Loan'!$B$29:$G$388,6),0))</f>
        <v>0</v>
      </c>
      <c r="DX99" s="102">
        <f>IF(AND(Assumptions!$M$48&gt;0,DX10=Assumptions!$M$48),-VLOOKUP(Assumptions!$M$48,'Amort Schedule - Acqn Loan'!$B$29:$G$388,6),IF(AND(Assumptions!$M$48=0,DX10=Assumptions!$G$10),-VLOOKUP(DX10,'Amort Schedule - Acqn Loan'!$B$29:$G$388,6),0))</f>
        <v>0</v>
      </c>
      <c r="DY99" s="102">
        <f>IF(AND(Assumptions!$M$48&gt;0,DY10=Assumptions!$M$48),-VLOOKUP(Assumptions!$M$48,'Amort Schedule - Acqn Loan'!$B$29:$G$388,6),IF(AND(Assumptions!$M$48=0,DY10=Assumptions!$G$10),-VLOOKUP(DY10,'Amort Schedule - Acqn Loan'!$B$29:$G$388,6),0))</f>
        <v>0</v>
      </c>
      <c r="DZ99" s="102">
        <f>IF(AND(Assumptions!$M$48&gt;0,DZ10=Assumptions!$M$48),-VLOOKUP(Assumptions!$M$48,'Amort Schedule - Acqn Loan'!$B$29:$G$388,6),IF(AND(Assumptions!$M$48=0,DZ10=Assumptions!$G$10),-VLOOKUP(DZ10,'Amort Schedule - Acqn Loan'!$B$29:$G$388,6),0))</f>
        <v>0</v>
      </c>
      <c r="EA99" s="102">
        <f>IF(AND(Assumptions!$M$48&gt;0,EA10=Assumptions!$M$48),-VLOOKUP(Assumptions!$M$48,'Amort Schedule - Acqn Loan'!$B$29:$G$388,6),IF(AND(Assumptions!$M$48=0,EA10=Assumptions!$G$10),-VLOOKUP(EA10,'Amort Schedule - Acqn Loan'!$B$29:$G$388,6),0))</f>
        <v>0</v>
      </c>
      <c r="EB99" s="102">
        <f>IF(AND(Assumptions!$M$48&gt;0,EB10=Assumptions!$M$48),-VLOOKUP(Assumptions!$M$48,'Amort Schedule - Acqn Loan'!$B$29:$G$388,6),IF(AND(Assumptions!$M$48=0,EB10=Assumptions!$G$10),-VLOOKUP(EB10,'Amort Schedule - Acqn Loan'!$B$29:$G$388,6),0))</f>
        <v>0</v>
      </c>
      <c r="EC99" s="102">
        <f>IF(AND(Assumptions!$M$48&gt;0,EC10=Assumptions!$M$48),-VLOOKUP(Assumptions!$M$48,'Amort Schedule - Acqn Loan'!$B$29:$G$388,6),IF(AND(Assumptions!$M$48=0,EC10=Assumptions!$G$10),-VLOOKUP(EC10,'Amort Schedule - Acqn Loan'!$B$29:$G$388,6),0))</f>
        <v>0</v>
      </c>
      <c r="ED99" s="102">
        <f>IF(AND(Assumptions!$M$48&gt;0,ED10=Assumptions!$M$48),-VLOOKUP(Assumptions!$M$48,'Amort Schedule - Acqn Loan'!$B$29:$G$388,6),IF(AND(Assumptions!$M$48=0,ED10=Assumptions!$G$10),-VLOOKUP(ED10,'Amort Schedule - Acqn Loan'!$B$29:$G$388,6),0))</f>
        <v>0</v>
      </c>
      <c r="EE99" s="102">
        <f>IF(AND(Assumptions!$M$48&gt;0,EE10=Assumptions!$M$48),-VLOOKUP(Assumptions!$M$48,'Amort Schedule - Acqn Loan'!$B$29:$G$388,6),IF(AND(Assumptions!$M$48=0,EE10=Assumptions!$G$10),-VLOOKUP(EE10,'Amort Schedule - Acqn Loan'!$B$29:$G$388,6),0))</f>
        <v>0</v>
      </c>
      <c r="EF99" s="102">
        <f>IF(AND(Assumptions!$M$48&gt;0,EF10=Assumptions!$M$48),-VLOOKUP(Assumptions!$M$48,'Amort Schedule - Acqn Loan'!$B$29:$G$388,6),IF(AND(Assumptions!$M$48=0,EF10=Assumptions!$G$10),-VLOOKUP(EF10,'Amort Schedule - Acqn Loan'!$B$29:$G$388,6),0))</f>
        <v>0</v>
      </c>
      <c r="EG99" s="102">
        <f>IF(AND(Assumptions!$M$48&gt;0,EG10=Assumptions!$M$48),-VLOOKUP(Assumptions!$M$48,'Amort Schedule - Acqn Loan'!$B$29:$G$388,6),IF(AND(Assumptions!$M$48=0,EG10=Assumptions!$G$10),-VLOOKUP(EG10,'Amort Schedule - Acqn Loan'!$B$29:$G$388,6),0))</f>
        <v>0</v>
      </c>
      <c r="EH99" s="102">
        <f>IF(AND(Assumptions!$M$48&gt;0,EH10=Assumptions!$M$48),-VLOOKUP(Assumptions!$M$48,'Amort Schedule - Acqn Loan'!$B$29:$G$388,6),IF(AND(Assumptions!$M$48=0,EH10=Assumptions!$G$10),-VLOOKUP(EH10,'Amort Schedule - Acqn Loan'!$B$29:$G$388,6),0))</f>
        <v>0</v>
      </c>
      <c r="EI99" s="102">
        <f>IF(AND(Assumptions!$M$48&gt;0,EI10=Assumptions!$M$48),-VLOOKUP(Assumptions!$M$48,'Amort Schedule - Acqn Loan'!$B$29:$G$388,6),IF(AND(Assumptions!$M$48=0,EI10=Assumptions!$G$10),-VLOOKUP(EI10,'Amort Schedule - Acqn Loan'!$B$29:$G$388,6),0))</f>
        <v>0</v>
      </c>
      <c r="EJ99" s="102">
        <f>IF(AND(Assumptions!$M$48&gt;0,EJ10=Assumptions!$M$48),-VLOOKUP(Assumptions!$M$48,'Amort Schedule - Acqn Loan'!$B$29:$G$388,6),IF(AND(Assumptions!$M$48=0,EJ10=Assumptions!$G$10),-VLOOKUP(EJ10,'Amort Schedule - Acqn Loan'!$B$29:$G$388,6),0))</f>
        <v>0</v>
      </c>
      <c r="EK99" s="102">
        <f>IF(AND(Assumptions!$M$48&gt;0,EK10=Assumptions!$M$48),-VLOOKUP(Assumptions!$M$48,'Amort Schedule - Acqn Loan'!$B$29:$G$388,6),IF(AND(Assumptions!$M$48=0,EK10=Assumptions!$G$10),-VLOOKUP(EK10,'Amort Schedule - Acqn Loan'!$B$29:$G$388,6),0))</f>
        <v>0</v>
      </c>
      <c r="EL99" s="102">
        <f>IF(AND(Assumptions!$M$48&gt;0,EL10=Assumptions!$M$48),-VLOOKUP(Assumptions!$M$48,'Amort Schedule - Acqn Loan'!$B$29:$G$388,6),IF(AND(Assumptions!$M$48=0,EL10=Assumptions!$G$10),-VLOOKUP(EL10,'Amort Schedule - Acqn Loan'!$B$29:$G$388,6),0))</f>
        <v>0</v>
      </c>
      <c r="EM99" s="102">
        <f>IF(AND(Assumptions!$M$48&gt;0,EM10=Assumptions!$M$48),-VLOOKUP(Assumptions!$M$48,'Amort Schedule - Acqn Loan'!$B$29:$G$388,6),IF(AND(Assumptions!$M$48=0,EM10=Assumptions!$G$10),-VLOOKUP(EM10,'Amort Schedule - Acqn Loan'!$B$29:$G$388,6),0))</f>
        <v>0</v>
      </c>
      <c r="EN99" s="102">
        <f>IF(AND(Assumptions!$M$48&gt;0,EN10=Assumptions!$M$48),-VLOOKUP(Assumptions!$M$48,'Amort Schedule - Acqn Loan'!$B$29:$G$388,6),IF(AND(Assumptions!$M$48=0,EN10=Assumptions!$G$10),-VLOOKUP(EN10,'Amort Schedule - Acqn Loan'!$B$29:$G$388,6),0))</f>
        <v>0</v>
      </c>
      <c r="EO99" s="102">
        <f>IF(AND(Assumptions!$M$48&gt;0,EO10=Assumptions!$M$48),-VLOOKUP(Assumptions!$M$48,'Amort Schedule - Acqn Loan'!$B$29:$G$388,6),IF(AND(Assumptions!$M$48=0,EO10=Assumptions!$G$10),-VLOOKUP(EO10,'Amort Schedule - Acqn Loan'!$B$29:$G$388,6),0))</f>
        <v>0</v>
      </c>
      <c r="EP99" s="102">
        <f>IF(AND(Assumptions!$M$48&gt;0,EP10=Assumptions!$M$48),-VLOOKUP(Assumptions!$M$48,'Amort Schedule - Acqn Loan'!$B$29:$G$388,6),IF(AND(Assumptions!$M$48=0,EP10=Assumptions!$G$10),-VLOOKUP(EP10,'Amort Schedule - Acqn Loan'!$B$29:$G$388,6),0))</f>
        <v>0</v>
      </c>
      <c r="EQ99" s="102">
        <f>IF(AND(Assumptions!$M$48&gt;0,EQ10=Assumptions!$M$48),-VLOOKUP(Assumptions!$M$48,'Amort Schedule - Acqn Loan'!$B$29:$G$388,6),IF(AND(Assumptions!$M$48=0,EQ10=Assumptions!$G$10),-VLOOKUP(EQ10,'Amort Schedule - Acqn Loan'!$B$29:$G$388,6),0))</f>
        <v>0</v>
      </c>
      <c r="ES99" s="98"/>
      <c r="ET99" s="98"/>
      <c r="EU99" s="98"/>
    </row>
    <row r="100" spans="7:151" ht="15.75">
      <c r="G100" s="101"/>
      <c r="H100" s="117" t="s">
        <v>204</v>
      </c>
      <c r="I100" s="95"/>
      <c r="J100" s="102"/>
      <c r="K100" s="102"/>
      <c r="L100" s="102"/>
      <c r="N100" s="102">
        <f t="shared" ca="1" si="83"/>
        <v>2728300.5476896176</v>
      </c>
      <c r="O100" s="102">
        <f>IF(AND(Assumptions!$M$48&gt;0,'Monthly Cash Flow Exercise'!O10=Assumptions!$M$48),Assumptions!$L$50,0)</f>
        <v>0</v>
      </c>
      <c r="P100" s="102">
        <f>IF(AND(Assumptions!$M$48&gt;0,'Monthly Cash Flow Exercise'!P10=Assumptions!$M$48),Assumptions!$L$50,0)</f>
        <v>0</v>
      </c>
      <c r="Q100" s="102">
        <f>IF(AND(Assumptions!$M$48&gt;0,'Monthly Cash Flow Exercise'!Q10=Assumptions!$M$48),Assumptions!$L$50,0)</f>
        <v>0</v>
      </c>
      <c r="R100" s="102">
        <f>IF(AND(Assumptions!$M$48&gt;0,'Monthly Cash Flow Exercise'!R10=Assumptions!$M$48),Assumptions!$L$50,0)</f>
        <v>0</v>
      </c>
      <c r="S100" s="102">
        <f>IF(AND(Assumptions!$M$48&gt;0,'Monthly Cash Flow Exercise'!S10=Assumptions!$M$48),Assumptions!$L$50,0)</f>
        <v>0</v>
      </c>
      <c r="T100" s="102">
        <f>IF(AND(Assumptions!$M$48&gt;0,'Monthly Cash Flow Exercise'!T10=Assumptions!$M$48),Assumptions!$L$50,0)</f>
        <v>0</v>
      </c>
      <c r="U100" s="102">
        <f>IF(AND(Assumptions!$M$48&gt;0,'Monthly Cash Flow Exercise'!U10=Assumptions!$M$48),Assumptions!$L$50,0)</f>
        <v>0</v>
      </c>
      <c r="V100" s="102">
        <f>IF(AND(Assumptions!$M$48&gt;0,'Monthly Cash Flow Exercise'!V10=Assumptions!$M$48),Assumptions!$L$50,0)</f>
        <v>0</v>
      </c>
      <c r="W100" s="102">
        <f>IF(AND(Assumptions!$M$48&gt;0,'Monthly Cash Flow Exercise'!W10=Assumptions!$M$48),Assumptions!$L$50,0)</f>
        <v>0</v>
      </c>
      <c r="X100" s="102">
        <f>IF(AND(Assumptions!$M$48&gt;0,'Monthly Cash Flow Exercise'!X10=Assumptions!$M$48),Assumptions!$L$50,0)</f>
        <v>0</v>
      </c>
      <c r="Y100" s="102">
        <f>IF(AND(Assumptions!$M$48&gt;0,'Monthly Cash Flow Exercise'!Y10=Assumptions!$M$48),Assumptions!$L$50,0)</f>
        <v>0</v>
      </c>
      <c r="Z100" s="102">
        <f>IF(AND(Assumptions!$M$48&gt;0,'Monthly Cash Flow Exercise'!Z10=Assumptions!$M$48),Assumptions!$L$50,0)</f>
        <v>0</v>
      </c>
      <c r="AA100" s="102">
        <f>IF(AND(Assumptions!$M$48&gt;0,'Monthly Cash Flow Exercise'!AA10=Assumptions!$M$48),Assumptions!$L$50,0)</f>
        <v>0</v>
      </c>
      <c r="AB100" s="102">
        <f>IF(AND(Assumptions!$M$48&gt;0,'Monthly Cash Flow Exercise'!AB10=Assumptions!$M$48),Assumptions!$L$50,0)</f>
        <v>0</v>
      </c>
      <c r="AC100" s="102">
        <f>IF(AND(Assumptions!$M$48&gt;0,'Monthly Cash Flow Exercise'!AC10=Assumptions!$M$48),Assumptions!$L$50,0)</f>
        <v>0</v>
      </c>
      <c r="AD100" s="102">
        <f>IF(AND(Assumptions!$M$48&gt;0,'Monthly Cash Flow Exercise'!AD10=Assumptions!$M$48),Assumptions!$L$50,0)</f>
        <v>0</v>
      </c>
      <c r="AE100" s="102">
        <f>IF(AND(Assumptions!$M$48&gt;0,'Monthly Cash Flow Exercise'!AE10=Assumptions!$M$48),Assumptions!$L$50,0)</f>
        <v>0</v>
      </c>
      <c r="AF100" s="102">
        <f>IF(AND(Assumptions!$M$48&gt;0,'Monthly Cash Flow Exercise'!AF10=Assumptions!$M$48),Assumptions!$L$50,0)</f>
        <v>0</v>
      </c>
      <c r="AG100" s="102">
        <f>IF(AND(Assumptions!$M$48&gt;0,'Monthly Cash Flow Exercise'!AG10=Assumptions!$M$48),Assumptions!$L$50,0)</f>
        <v>0</v>
      </c>
      <c r="AH100" s="102">
        <f>IF(AND(Assumptions!$M$48&gt;0,'Monthly Cash Flow Exercise'!AH10=Assumptions!$M$48),Assumptions!$L$50,0)</f>
        <v>0</v>
      </c>
      <c r="AI100" s="102">
        <f>IF(AND(Assumptions!$M$48&gt;0,'Monthly Cash Flow Exercise'!AI10=Assumptions!$M$48),Assumptions!$L$50,0)</f>
        <v>0</v>
      </c>
      <c r="AJ100" s="102">
        <f>IF(AND(Assumptions!$M$48&gt;0,'Monthly Cash Flow Exercise'!AJ10=Assumptions!$M$48),Assumptions!$L$50,0)</f>
        <v>0</v>
      </c>
      <c r="AK100" s="102">
        <f>IF(AND(Assumptions!$M$48&gt;0,'Monthly Cash Flow Exercise'!AK10=Assumptions!$M$48),Assumptions!$L$50,0)</f>
        <v>0</v>
      </c>
      <c r="AL100" s="102">
        <f>IF(AND(Assumptions!$M$48&gt;0,'Monthly Cash Flow Exercise'!AL10=Assumptions!$M$48),Assumptions!$L$50,0)</f>
        <v>0</v>
      </c>
      <c r="AM100" s="102">
        <f>IF(AND(Assumptions!$M$48&gt;0,'Monthly Cash Flow Exercise'!AM10=Assumptions!$M$48),Assumptions!$L$50,0)</f>
        <v>0</v>
      </c>
      <c r="AN100" s="102">
        <f>IF(AND(Assumptions!$M$48&gt;0,'Monthly Cash Flow Exercise'!AN10=Assumptions!$M$48),Assumptions!$L$50,0)</f>
        <v>0</v>
      </c>
      <c r="AO100" s="102">
        <f>IF(AND(Assumptions!$M$48&gt;0,'Monthly Cash Flow Exercise'!AO10=Assumptions!$M$48),Assumptions!$L$50,0)</f>
        <v>0</v>
      </c>
      <c r="AP100" s="102">
        <f>IF(AND(Assumptions!$M$48&gt;0,'Monthly Cash Flow Exercise'!AP10=Assumptions!$M$48),Assumptions!$L$50,0)</f>
        <v>0</v>
      </c>
      <c r="AQ100" s="102">
        <f>IF(AND(Assumptions!$M$48&gt;0,'Monthly Cash Flow Exercise'!AQ10=Assumptions!$M$48),Assumptions!$L$50,0)</f>
        <v>0</v>
      </c>
      <c r="AR100" s="102">
        <f>IF(AND(Assumptions!$M$48&gt;0,'Monthly Cash Flow Exercise'!AR10=Assumptions!$M$48),Assumptions!$L$50,0)</f>
        <v>0</v>
      </c>
      <c r="AS100" s="102">
        <f>IF(AND(Assumptions!$M$48&gt;0,'Monthly Cash Flow Exercise'!AS10=Assumptions!$M$48),Assumptions!$L$50,0)</f>
        <v>0</v>
      </c>
      <c r="AT100" s="102">
        <f>IF(AND(Assumptions!$M$48&gt;0,'Monthly Cash Flow Exercise'!AT10=Assumptions!$M$48),Assumptions!$L$50,0)</f>
        <v>0</v>
      </c>
      <c r="AU100" s="102">
        <f>IF(AND(Assumptions!$M$48&gt;0,'Monthly Cash Flow Exercise'!AU10=Assumptions!$M$48),Assumptions!$L$50,0)</f>
        <v>0</v>
      </c>
      <c r="AV100" s="102">
        <f>IF(AND(Assumptions!$M$48&gt;0,'Monthly Cash Flow Exercise'!AV10=Assumptions!$M$48),Assumptions!$L$50,0)</f>
        <v>0</v>
      </c>
      <c r="AW100" s="102">
        <f>IF(AND(Assumptions!$M$48&gt;0,'Monthly Cash Flow Exercise'!AW10=Assumptions!$M$48),Assumptions!$L$50,0)</f>
        <v>0</v>
      </c>
      <c r="AX100" s="102">
        <f>IF(AND(Assumptions!$M$48&gt;0,'Monthly Cash Flow Exercise'!AX10=Assumptions!$M$48),Assumptions!$L$50,0)</f>
        <v>0</v>
      </c>
      <c r="AY100" s="102">
        <f>IF(AND(Assumptions!$M$48&gt;0,'Monthly Cash Flow Exercise'!AY10=Assumptions!$M$48),Assumptions!$L$50,0)</f>
        <v>0</v>
      </c>
      <c r="AZ100" s="102">
        <f>IF(AND(Assumptions!$M$48&gt;0,'Monthly Cash Flow Exercise'!AZ10=Assumptions!$M$48),Assumptions!$L$50,0)</f>
        <v>0</v>
      </c>
      <c r="BA100" s="102">
        <f>IF(AND(Assumptions!$M$48&gt;0,'Monthly Cash Flow Exercise'!BA10=Assumptions!$M$48),Assumptions!$L$50,0)</f>
        <v>0</v>
      </c>
      <c r="BB100" s="102">
        <f>IF(AND(Assumptions!$M$48&gt;0,'Monthly Cash Flow Exercise'!BB10=Assumptions!$M$48),Assumptions!$L$50,0)</f>
        <v>0</v>
      </c>
      <c r="BC100" s="102">
        <f>IF(AND(Assumptions!$M$48&gt;0,'Monthly Cash Flow Exercise'!BC10=Assumptions!$M$48),Assumptions!$L$50,0)</f>
        <v>0</v>
      </c>
      <c r="BD100" s="102">
        <f>IF(AND(Assumptions!$M$48&gt;0,'Monthly Cash Flow Exercise'!BD10=Assumptions!$M$48),Assumptions!$L$50,0)</f>
        <v>0</v>
      </c>
      <c r="BE100" s="102">
        <f>IF(AND(Assumptions!$M$48&gt;0,'Monthly Cash Flow Exercise'!BE10=Assumptions!$M$48),Assumptions!$L$50,0)</f>
        <v>0</v>
      </c>
      <c r="BF100" s="102">
        <f>IF(AND(Assumptions!$M$48&gt;0,'Monthly Cash Flow Exercise'!BF10=Assumptions!$M$48),Assumptions!$L$50,0)</f>
        <v>0</v>
      </c>
      <c r="BG100" s="102">
        <f>IF(AND(Assumptions!$M$48&gt;0,'Monthly Cash Flow Exercise'!BG10=Assumptions!$M$48),Assumptions!$L$50,0)</f>
        <v>0</v>
      </c>
      <c r="BH100" s="102">
        <f>IF(AND(Assumptions!$M$48&gt;0,'Monthly Cash Flow Exercise'!BH10=Assumptions!$M$48),Assumptions!$L$50,0)</f>
        <v>0</v>
      </c>
      <c r="BI100" s="102">
        <f>IF(AND(Assumptions!$M$48&gt;0,'Monthly Cash Flow Exercise'!BI10=Assumptions!$M$48),Assumptions!$L$50,0)</f>
        <v>0</v>
      </c>
      <c r="BJ100" s="102">
        <f>IF(AND(Assumptions!$M$48&gt;0,'Monthly Cash Flow Exercise'!BJ10=Assumptions!$M$48),Assumptions!$L$50,0)</f>
        <v>0</v>
      </c>
      <c r="BK100" s="102">
        <f ca="1">IF(AND(Assumptions!$M$48&gt;0,'Monthly Cash Flow Exercise'!BK10=Assumptions!$M$48),Assumptions!$L$50,0)</f>
        <v>2728300.5476896176</v>
      </c>
      <c r="BL100" s="102">
        <f>IF(AND(Assumptions!$M$48&gt;0,'Monthly Cash Flow Exercise'!BL10=Assumptions!$M$48),Assumptions!$L$50,0)</f>
        <v>0</v>
      </c>
      <c r="BM100" s="102">
        <f>IF(AND(Assumptions!$M$48&gt;0,'Monthly Cash Flow Exercise'!BM10=Assumptions!$M$48),Assumptions!$L$50,0)</f>
        <v>0</v>
      </c>
      <c r="BN100" s="102">
        <f>IF(AND(Assumptions!$M$48&gt;0,'Monthly Cash Flow Exercise'!BN10=Assumptions!$M$48),Assumptions!$L$50,0)</f>
        <v>0</v>
      </c>
      <c r="BO100" s="102">
        <f>IF(AND(Assumptions!$M$48&gt;0,'Monthly Cash Flow Exercise'!BO10=Assumptions!$M$48),Assumptions!$L$50,0)</f>
        <v>0</v>
      </c>
      <c r="BP100" s="102">
        <f>IF(AND(Assumptions!$M$48&gt;0,'Monthly Cash Flow Exercise'!BP10=Assumptions!$M$48),Assumptions!$L$50,0)</f>
        <v>0</v>
      </c>
      <c r="BQ100" s="102">
        <f>IF(AND(Assumptions!$M$48&gt;0,'Monthly Cash Flow Exercise'!BQ10=Assumptions!$M$48),Assumptions!$L$50,0)</f>
        <v>0</v>
      </c>
      <c r="BR100" s="102">
        <f>IF(AND(Assumptions!$M$48&gt;0,'Monthly Cash Flow Exercise'!BR10=Assumptions!$M$48),Assumptions!$L$50,0)</f>
        <v>0</v>
      </c>
      <c r="BS100" s="102">
        <f>IF(AND(Assumptions!$M$48&gt;0,'Monthly Cash Flow Exercise'!BS10=Assumptions!$M$48),Assumptions!$L$50,0)</f>
        <v>0</v>
      </c>
      <c r="BT100" s="102">
        <f>IF(AND(Assumptions!$M$48&gt;0,'Monthly Cash Flow Exercise'!BT10=Assumptions!$M$48),Assumptions!$L$50,0)</f>
        <v>0</v>
      </c>
      <c r="BU100" s="102">
        <f>IF(AND(Assumptions!$M$48&gt;0,'Monthly Cash Flow Exercise'!BU10=Assumptions!$M$48),Assumptions!$L$50,0)</f>
        <v>0</v>
      </c>
      <c r="BV100" s="102">
        <f>IF(AND(Assumptions!$M$48&gt;0,'Monthly Cash Flow Exercise'!BV10=Assumptions!$M$48),Assumptions!$L$50,0)</f>
        <v>0</v>
      </c>
      <c r="BW100" s="102">
        <f>IF(AND(Assumptions!$M$48&gt;0,'Monthly Cash Flow Exercise'!BW10=Assumptions!$M$48),Assumptions!$L$50,0)</f>
        <v>0</v>
      </c>
      <c r="BX100" s="102">
        <f>IF(AND(Assumptions!$M$48&gt;0,'Monthly Cash Flow Exercise'!BX10=Assumptions!$M$48),Assumptions!$L$50,0)</f>
        <v>0</v>
      </c>
      <c r="BY100" s="102">
        <f>IF(AND(Assumptions!$M$48&gt;0,'Monthly Cash Flow Exercise'!BY10=Assumptions!$M$48),Assumptions!$L$50,0)</f>
        <v>0</v>
      </c>
      <c r="BZ100" s="102">
        <f>IF(AND(Assumptions!$M$48&gt;0,'Monthly Cash Flow Exercise'!BZ10=Assumptions!$M$48),Assumptions!$L$50,0)</f>
        <v>0</v>
      </c>
      <c r="CA100" s="102">
        <f>IF(AND(Assumptions!$M$48&gt;0,'Monthly Cash Flow Exercise'!CA10=Assumptions!$M$48),Assumptions!$L$50,0)</f>
        <v>0</v>
      </c>
      <c r="CB100" s="102">
        <f>IF(AND(Assumptions!$M$48&gt;0,'Monthly Cash Flow Exercise'!CB10=Assumptions!$M$48),Assumptions!$L$50,0)</f>
        <v>0</v>
      </c>
      <c r="CC100" s="102">
        <f>IF(AND(Assumptions!$M$48&gt;0,'Monthly Cash Flow Exercise'!CC10=Assumptions!$M$48),Assumptions!$L$50,0)</f>
        <v>0</v>
      </c>
      <c r="CD100" s="102">
        <f>IF(AND(Assumptions!$M$48&gt;0,'Monthly Cash Flow Exercise'!CD10=Assumptions!$M$48),Assumptions!$L$50,0)</f>
        <v>0</v>
      </c>
      <c r="CE100" s="102">
        <f>IF(AND(Assumptions!$M$48&gt;0,'Monthly Cash Flow Exercise'!CE10=Assumptions!$M$48),Assumptions!$L$50,0)</f>
        <v>0</v>
      </c>
      <c r="CF100" s="102">
        <f>IF(AND(Assumptions!$M$48&gt;0,'Monthly Cash Flow Exercise'!CF10=Assumptions!$M$48),Assumptions!$L$50,0)</f>
        <v>0</v>
      </c>
      <c r="CG100" s="102">
        <f>IF(AND(Assumptions!$M$48&gt;0,'Monthly Cash Flow Exercise'!CG10=Assumptions!$M$48),Assumptions!$L$50,0)</f>
        <v>0</v>
      </c>
      <c r="CH100" s="102">
        <f>IF(AND(Assumptions!$M$48&gt;0,'Monthly Cash Flow Exercise'!CH10=Assumptions!$M$48),Assumptions!$L$50,0)</f>
        <v>0</v>
      </c>
      <c r="CI100" s="102">
        <f>IF(AND(Assumptions!$M$48&gt;0,'Monthly Cash Flow Exercise'!CI10=Assumptions!$M$48),Assumptions!$L$50,0)</f>
        <v>0</v>
      </c>
      <c r="CJ100" s="102">
        <f>IF(AND(Assumptions!$M$48&gt;0,'Monthly Cash Flow Exercise'!CJ10=Assumptions!$M$48),Assumptions!$L$50,0)</f>
        <v>0</v>
      </c>
      <c r="CK100" s="102">
        <f>IF(AND(Assumptions!$M$48&gt;0,'Monthly Cash Flow Exercise'!CK10=Assumptions!$M$48),Assumptions!$L$50,0)</f>
        <v>0</v>
      </c>
      <c r="CL100" s="102">
        <f>IF(AND(Assumptions!$M$48&gt;0,'Monthly Cash Flow Exercise'!CL10=Assumptions!$M$48),Assumptions!$L$50,0)</f>
        <v>0</v>
      </c>
      <c r="CM100" s="102">
        <f>IF(AND(Assumptions!$M$48&gt;0,'Monthly Cash Flow Exercise'!CM10=Assumptions!$M$48),Assumptions!$L$50,0)</f>
        <v>0</v>
      </c>
      <c r="CN100" s="102">
        <f>IF(AND(Assumptions!$M$48&gt;0,'Monthly Cash Flow Exercise'!CN10=Assumptions!$M$48),Assumptions!$L$50,0)</f>
        <v>0</v>
      </c>
      <c r="CO100" s="102">
        <f>IF(AND(Assumptions!$M$48&gt;0,'Monthly Cash Flow Exercise'!CO10=Assumptions!$M$48),Assumptions!$L$50,0)</f>
        <v>0</v>
      </c>
      <c r="CP100" s="102">
        <f>IF(AND(Assumptions!$M$48&gt;0,'Monthly Cash Flow Exercise'!CP10=Assumptions!$M$48),Assumptions!$L$50,0)</f>
        <v>0</v>
      </c>
      <c r="CQ100" s="102">
        <f>IF(AND(Assumptions!$M$48&gt;0,'Monthly Cash Flow Exercise'!CQ10=Assumptions!$M$48),Assumptions!$L$50,0)</f>
        <v>0</v>
      </c>
      <c r="CR100" s="102">
        <f>IF(AND(Assumptions!$M$48&gt;0,'Monthly Cash Flow Exercise'!CR10=Assumptions!$M$48),Assumptions!$L$50,0)</f>
        <v>0</v>
      </c>
      <c r="CS100" s="102">
        <f>IF(AND(Assumptions!$M$48&gt;0,'Monthly Cash Flow Exercise'!CS10=Assumptions!$M$48),Assumptions!$L$50,0)</f>
        <v>0</v>
      </c>
      <c r="CT100" s="102">
        <f>IF(AND(Assumptions!$M$48&gt;0,'Monthly Cash Flow Exercise'!CT10=Assumptions!$M$48),Assumptions!$L$50,0)</f>
        <v>0</v>
      </c>
      <c r="CU100" s="102">
        <f>IF(AND(Assumptions!$M$48&gt;0,'Monthly Cash Flow Exercise'!CU10=Assumptions!$M$48),Assumptions!$L$50,0)</f>
        <v>0</v>
      </c>
      <c r="CV100" s="102">
        <f>IF(AND(Assumptions!$M$48&gt;0,'Monthly Cash Flow Exercise'!CV10=Assumptions!$M$48),Assumptions!$L$50,0)</f>
        <v>0</v>
      </c>
      <c r="CW100" s="102">
        <f>IF(AND(Assumptions!$M$48&gt;0,'Monthly Cash Flow Exercise'!CW10=Assumptions!$M$48),Assumptions!$L$50,0)</f>
        <v>0</v>
      </c>
      <c r="CX100" s="102">
        <f>IF(AND(Assumptions!$M$48&gt;0,'Monthly Cash Flow Exercise'!CX10=Assumptions!$M$48),Assumptions!$L$50,0)</f>
        <v>0</v>
      </c>
      <c r="CY100" s="102">
        <f>IF(AND(Assumptions!$M$48&gt;0,'Monthly Cash Flow Exercise'!CY10=Assumptions!$M$48),Assumptions!$L$50,0)</f>
        <v>0</v>
      </c>
      <c r="CZ100" s="102">
        <f>IF(AND(Assumptions!$M$48&gt;0,'Monthly Cash Flow Exercise'!CZ10=Assumptions!$M$48),Assumptions!$L$50,0)</f>
        <v>0</v>
      </c>
      <c r="DA100" s="102">
        <f>IF(AND(Assumptions!$M$48&gt;0,'Monthly Cash Flow Exercise'!DA10=Assumptions!$M$48),Assumptions!$L$50,0)</f>
        <v>0</v>
      </c>
      <c r="DB100" s="102">
        <f>IF(AND(Assumptions!$M$48&gt;0,'Monthly Cash Flow Exercise'!DB10=Assumptions!$M$48),Assumptions!$L$50,0)</f>
        <v>0</v>
      </c>
      <c r="DC100" s="102">
        <f>IF(AND(Assumptions!$M$48&gt;0,'Monthly Cash Flow Exercise'!DC10=Assumptions!$M$48),Assumptions!$L$50,0)</f>
        <v>0</v>
      </c>
      <c r="DD100" s="102">
        <f>IF(AND(Assumptions!$M$48&gt;0,'Monthly Cash Flow Exercise'!DD10=Assumptions!$M$48),Assumptions!$L$50,0)</f>
        <v>0</v>
      </c>
      <c r="DE100" s="102">
        <f>IF(AND(Assumptions!$M$48&gt;0,'Monthly Cash Flow Exercise'!DE10=Assumptions!$M$48),Assumptions!$L$50,0)</f>
        <v>0</v>
      </c>
      <c r="DF100" s="102">
        <f>IF(AND(Assumptions!$M$48&gt;0,'Monthly Cash Flow Exercise'!DF10=Assumptions!$M$48),Assumptions!$L$50,0)</f>
        <v>0</v>
      </c>
      <c r="DG100" s="102">
        <f>IF(AND(Assumptions!$M$48&gt;0,'Monthly Cash Flow Exercise'!DG10=Assumptions!$M$48),Assumptions!$L$50,0)</f>
        <v>0</v>
      </c>
      <c r="DH100" s="102">
        <f>IF(AND(Assumptions!$M$48&gt;0,'Monthly Cash Flow Exercise'!DH10=Assumptions!$M$48),Assumptions!$L$50,0)</f>
        <v>0</v>
      </c>
      <c r="DI100" s="102">
        <f>IF(AND(Assumptions!$M$48&gt;0,'Monthly Cash Flow Exercise'!DI10=Assumptions!$M$48),Assumptions!$L$50,0)</f>
        <v>0</v>
      </c>
      <c r="DJ100" s="102">
        <f>IF(AND(Assumptions!$M$48&gt;0,'Monthly Cash Flow Exercise'!DJ10=Assumptions!$M$48),Assumptions!$L$50,0)</f>
        <v>0</v>
      </c>
      <c r="DK100" s="102">
        <f>IF(AND(Assumptions!$M$48&gt;0,'Monthly Cash Flow Exercise'!DK10=Assumptions!$M$48),Assumptions!$L$50,0)</f>
        <v>0</v>
      </c>
      <c r="DL100" s="102">
        <f>IF(AND(Assumptions!$M$48&gt;0,'Monthly Cash Flow Exercise'!DL10=Assumptions!$M$48),Assumptions!$L$50,0)</f>
        <v>0</v>
      </c>
      <c r="DM100" s="102">
        <f>IF(AND(Assumptions!$M$48&gt;0,'Monthly Cash Flow Exercise'!DM10=Assumptions!$M$48),Assumptions!$L$50,0)</f>
        <v>0</v>
      </c>
      <c r="DN100" s="102">
        <f>IF(AND(Assumptions!$M$48&gt;0,'Monthly Cash Flow Exercise'!DN10=Assumptions!$M$48),Assumptions!$L$50,0)</f>
        <v>0</v>
      </c>
      <c r="DO100" s="102">
        <f>IF(AND(Assumptions!$M$48&gt;0,'Monthly Cash Flow Exercise'!DO10=Assumptions!$M$48),Assumptions!$L$50,0)</f>
        <v>0</v>
      </c>
      <c r="DP100" s="102">
        <f>IF(AND(Assumptions!$M$48&gt;0,'Monthly Cash Flow Exercise'!DP10=Assumptions!$M$48),Assumptions!$L$50,0)</f>
        <v>0</v>
      </c>
      <c r="DQ100" s="102">
        <f>IF(AND(Assumptions!$M$48&gt;0,'Monthly Cash Flow Exercise'!DQ10=Assumptions!$M$48),Assumptions!$L$50,0)</f>
        <v>0</v>
      </c>
      <c r="DR100" s="102">
        <f>IF(AND(Assumptions!$M$48&gt;0,'Monthly Cash Flow Exercise'!DR10=Assumptions!$M$48),Assumptions!$L$50,0)</f>
        <v>0</v>
      </c>
      <c r="DS100" s="102">
        <f>IF(AND(Assumptions!$M$48&gt;0,'Monthly Cash Flow Exercise'!DS10=Assumptions!$M$48),Assumptions!$L$50,0)</f>
        <v>0</v>
      </c>
      <c r="DT100" s="102">
        <f>IF(AND(Assumptions!$M$48&gt;0,'Monthly Cash Flow Exercise'!DT10=Assumptions!$M$48),Assumptions!$L$50,0)</f>
        <v>0</v>
      </c>
      <c r="DU100" s="102">
        <f>IF(AND(Assumptions!$M$48&gt;0,'Monthly Cash Flow Exercise'!DU10=Assumptions!$M$48),Assumptions!$L$50,0)</f>
        <v>0</v>
      </c>
      <c r="DV100" s="102">
        <f>IF(AND(Assumptions!$M$48&gt;0,'Monthly Cash Flow Exercise'!DV10=Assumptions!$M$48),Assumptions!$L$50,0)</f>
        <v>0</v>
      </c>
      <c r="DW100" s="102">
        <f>IF(AND(Assumptions!$M$48&gt;0,'Monthly Cash Flow Exercise'!DW10=Assumptions!$M$48),Assumptions!$L$50,0)</f>
        <v>0</v>
      </c>
      <c r="DX100" s="102">
        <f>IF(AND(Assumptions!$M$48&gt;0,'Monthly Cash Flow Exercise'!DX10=Assumptions!$M$48),Assumptions!$L$50,0)</f>
        <v>0</v>
      </c>
      <c r="DY100" s="102">
        <f>IF(AND(Assumptions!$M$48&gt;0,'Monthly Cash Flow Exercise'!DY10=Assumptions!$M$48),Assumptions!$L$50,0)</f>
        <v>0</v>
      </c>
      <c r="DZ100" s="102">
        <f>IF(AND(Assumptions!$M$48&gt;0,'Monthly Cash Flow Exercise'!DZ10=Assumptions!$M$48),Assumptions!$L$50,0)</f>
        <v>0</v>
      </c>
      <c r="EA100" s="102">
        <f>IF(AND(Assumptions!$M$48&gt;0,'Monthly Cash Flow Exercise'!EA10=Assumptions!$M$48),Assumptions!$L$50,0)</f>
        <v>0</v>
      </c>
      <c r="EB100" s="102">
        <f>IF(AND(Assumptions!$M$48&gt;0,'Monthly Cash Flow Exercise'!EB10=Assumptions!$M$48),Assumptions!$L$50,0)</f>
        <v>0</v>
      </c>
      <c r="EC100" s="102">
        <f>IF(AND(Assumptions!$M$48&gt;0,'Monthly Cash Flow Exercise'!EC10=Assumptions!$M$48),Assumptions!$L$50,0)</f>
        <v>0</v>
      </c>
      <c r="ED100" s="102">
        <f>IF(AND(Assumptions!$M$48&gt;0,'Monthly Cash Flow Exercise'!ED10=Assumptions!$M$48),Assumptions!$L$50,0)</f>
        <v>0</v>
      </c>
      <c r="EE100" s="102">
        <f>IF(AND(Assumptions!$M$48&gt;0,'Monthly Cash Flow Exercise'!EE10=Assumptions!$M$48),Assumptions!$L$50,0)</f>
        <v>0</v>
      </c>
      <c r="EF100" s="102">
        <f>IF(AND(Assumptions!$M$48&gt;0,'Monthly Cash Flow Exercise'!EF10=Assumptions!$M$48),Assumptions!$L$50,0)</f>
        <v>0</v>
      </c>
      <c r="EG100" s="102">
        <f>IF(AND(Assumptions!$M$48&gt;0,'Monthly Cash Flow Exercise'!EG10=Assumptions!$M$48),Assumptions!$L$50,0)</f>
        <v>0</v>
      </c>
      <c r="EH100" s="102">
        <f>IF(AND(Assumptions!$M$48&gt;0,'Monthly Cash Flow Exercise'!EH10=Assumptions!$M$48),Assumptions!$L$50,0)</f>
        <v>0</v>
      </c>
      <c r="EI100" s="102">
        <f>IF(AND(Assumptions!$M$48&gt;0,'Monthly Cash Flow Exercise'!EI10=Assumptions!$M$48),Assumptions!$L$50,0)</f>
        <v>0</v>
      </c>
      <c r="EJ100" s="102">
        <f>IF(AND(Assumptions!$M$48&gt;0,'Monthly Cash Flow Exercise'!EJ10=Assumptions!$M$48),Assumptions!$L$50,0)</f>
        <v>0</v>
      </c>
      <c r="EK100" s="102">
        <f>IF(AND(Assumptions!$M$48&gt;0,'Monthly Cash Flow Exercise'!EK10=Assumptions!$M$48),Assumptions!$L$50,0)</f>
        <v>0</v>
      </c>
      <c r="EL100" s="102">
        <f>IF(AND(Assumptions!$M$48&gt;0,'Monthly Cash Flow Exercise'!EL10=Assumptions!$M$48),Assumptions!$L$50,0)</f>
        <v>0</v>
      </c>
      <c r="EM100" s="102">
        <f>IF(AND(Assumptions!$M$48&gt;0,'Monthly Cash Flow Exercise'!EM10=Assumptions!$M$48),Assumptions!$L$50,0)</f>
        <v>0</v>
      </c>
      <c r="EN100" s="102">
        <f>IF(AND(Assumptions!$M$48&gt;0,'Monthly Cash Flow Exercise'!EN10=Assumptions!$M$48),Assumptions!$L$50,0)</f>
        <v>0</v>
      </c>
      <c r="EO100" s="102">
        <f>IF(AND(Assumptions!$M$48&gt;0,'Monthly Cash Flow Exercise'!EO10=Assumptions!$M$48),Assumptions!$L$50,0)</f>
        <v>0</v>
      </c>
      <c r="EP100" s="102">
        <f>IF(AND(Assumptions!$M$48&gt;0,'Monthly Cash Flow Exercise'!EP10=Assumptions!$M$48),Assumptions!$L$50,0)</f>
        <v>0</v>
      </c>
      <c r="EQ100" s="102">
        <f>IF(AND(Assumptions!$M$48&gt;0,'Monthly Cash Flow Exercise'!EQ10=Assumptions!$M$48),Assumptions!$L$50,0)</f>
        <v>0</v>
      </c>
      <c r="ES100" s="98"/>
      <c r="ET100" s="98"/>
      <c r="EU100" s="98"/>
    </row>
    <row r="101" spans="7:151" ht="15.75">
      <c r="G101" s="101"/>
      <c r="H101" s="125" t="s">
        <v>205</v>
      </c>
      <c r="I101" s="95"/>
      <c r="J101" s="102"/>
      <c r="K101" s="102"/>
      <c r="L101" s="102"/>
      <c r="N101" s="102">
        <f t="shared" ca="1" si="83"/>
        <v>-27283.005476896178</v>
      </c>
      <c r="O101" s="102">
        <f>IF(O100&gt;0,-Assumptions!$P$50*Assumptions!$L$50,0)</f>
        <v>0</v>
      </c>
      <c r="P101" s="102">
        <f>IF(P100&gt;0,-Assumptions!$P$50*Assumptions!$L$50,0)</f>
        <v>0</v>
      </c>
      <c r="Q101" s="102">
        <f>IF(Q100&gt;0,-Assumptions!$P$50*Assumptions!$L$50,0)</f>
        <v>0</v>
      </c>
      <c r="R101" s="102">
        <f>IF(R100&gt;0,-Assumptions!$P$50*Assumptions!$L$50,0)</f>
        <v>0</v>
      </c>
      <c r="S101" s="102">
        <f>IF(S100&gt;0,-Assumptions!$P$50*Assumptions!$L$50,0)</f>
        <v>0</v>
      </c>
      <c r="T101" s="102">
        <f>IF(T100&gt;0,-Assumptions!$P$50*Assumptions!$L$50,0)</f>
        <v>0</v>
      </c>
      <c r="U101" s="102">
        <f>IF(U100&gt;0,-Assumptions!$P$50*Assumptions!$L$50,0)</f>
        <v>0</v>
      </c>
      <c r="V101" s="102">
        <f>IF(V100&gt;0,-Assumptions!$P$50*Assumptions!$L$50,0)</f>
        <v>0</v>
      </c>
      <c r="W101" s="102">
        <f>IF(W100&gt;0,-Assumptions!$P$50*Assumptions!$L$50,0)</f>
        <v>0</v>
      </c>
      <c r="X101" s="102">
        <f>IF(X100&gt;0,-Assumptions!$P$50*Assumptions!$L$50,0)</f>
        <v>0</v>
      </c>
      <c r="Y101" s="102">
        <f>IF(Y100&gt;0,-Assumptions!$P$50*Assumptions!$L$50,0)</f>
        <v>0</v>
      </c>
      <c r="Z101" s="102">
        <f>IF(Z100&gt;0,-Assumptions!$P$50*Assumptions!$L$50,0)</f>
        <v>0</v>
      </c>
      <c r="AA101" s="102">
        <f>IF(AA100&gt;0,-Assumptions!$P$50*Assumptions!$L$50,0)</f>
        <v>0</v>
      </c>
      <c r="AB101" s="102">
        <f>IF(AB100&gt;0,-Assumptions!$P$50*Assumptions!$L$50,0)</f>
        <v>0</v>
      </c>
      <c r="AC101" s="102">
        <f>IF(AC100&gt;0,-Assumptions!$P$50*Assumptions!$L$50,0)</f>
        <v>0</v>
      </c>
      <c r="AD101" s="102">
        <f>IF(AD100&gt;0,-Assumptions!$P$50*Assumptions!$L$50,0)</f>
        <v>0</v>
      </c>
      <c r="AE101" s="102">
        <f>IF(AE100&gt;0,-Assumptions!$P$50*Assumptions!$L$50,0)</f>
        <v>0</v>
      </c>
      <c r="AF101" s="102">
        <f>IF(AF100&gt;0,-Assumptions!$P$50*Assumptions!$L$50,0)</f>
        <v>0</v>
      </c>
      <c r="AG101" s="102">
        <f>IF(AG100&gt;0,-Assumptions!$P$50*Assumptions!$L$50,0)</f>
        <v>0</v>
      </c>
      <c r="AH101" s="102">
        <f>IF(AH100&gt;0,-Assumptions!$P$50*Assumptions!$L$50,0)</f>
        <v>0</v>
      </c>
      <c r="AI101" s="102">
        <f>IF(AI100&gt;0,-Assumptions!$P$50*Assumptions!$L$50,0)</f>
        <v>0</v>
      </c>
      <c r="AJ101" s="102">
        <f>IF(AJ100&gt;0,-Assumptions!$P$50*Assumptions!$L$50,0)</f>
        <v>0</v>
      </c>
      <c r="AK101" s="102">
        <f>IF(AK100&gt;0,-Assumptions!$P$50*Assumptions!$L$50,0)</f>
        <v>0</v>
      </c>
      <c r="AL101" s="102">
        <f>IF(AL100&gt;0,-Assumptions!$P$50*Assumptions!$L$50,0)</f>
        <v>0</v>
      </c>
      <c r="AM101" s="102">
        <f>IF(AM100&gt;0,-Assumptions!$P$50*Assumptions!$L$50,0)</f>
        <v>0</v>
      </c>
      <c r="AN101" s="102">
        <f>IF(AN100&gt;0,-Assumptions!$P$50*Assumptions!$L$50,0)</f>
        <v>0</v>
      </c>
      <c r="AO101" s="102">
        <f>IF(AO100&gt;0,-Assumptions!$P$50*Assumptions!$L$50,0)</f>
        <v>0</v>
      </c>
      <c r="AP101" s="102">
        <f>IF(AP100&gt;0,-Assumptions!$P$50*Assumptions!$L$50,0)</f>
        <v>0</v>
      </c>
      <c r="AQ101" s="102">
        <f>IF(AQ100&gt;0,-Assumptions!$P$50*Assumptions!$L$50,0)</f>
        <v>0</v>
      </c>
      <c r="AR101" s="102">
        <f>IF(AR100&gt;0,-Assumptions!$P$50*Assumptions!$L$50,0)</f>
        <v>0</v>
      </c>
      <c r="AS101" s="102">
        <f>IF(AS100&gt;0,-Assumptions!$P$50*Assumptions!$L$50,0)</f>
        <v>0</v>
      </c>
      <c r="AT101" s="102">
        <f>IF(AT100&gt;0,-Assumptions!$P$50*Assumptions!$L$50,0)</f>
        <v>0</v>
      </c>
      <c r="AU101" s="102">
        <f>IF(AU100&gt;0,-Assumptions!$P$50*Assumptions!$L$50,0)</f>
        <v>0</v>
      </c>
      <c r="AV101" s="102">
        <f>IF(AV100&gt;0,-Assumptions!$P$50*Assumptions!$L$50,0)</f>
        <v>0</v>
      </c>
      <c r="AW101" s="102">
        <f>IF(AW100&gt;0,-Assumptions!$P$50*Assumptions!$L$50,0)</f>
        <v>0</v>
      </c>
      <c r="AX101" s="102">
        <f>IF(AX100&gt;0,-Assumptions!$P$50*Assumptions!$L$50,0)</f>
        <v>0</v>
      </c>
      <c r="AY101" s="102">
        <f>IF(AY100&gt;0,-Assumptions!$P$50*Assumptions!$L$50,0)</f>
        <v>0</v>
      </c>
      <c r="AZ101" s="102">
        <f>IF(AZ100&gt;0,-Assumptions!$P$50*Assumptions!$L$50,0)</f>
        <v>0</v>
      </c>
      <c r="BA101" s="102">
        <f>IF(BA100&gt;0,-Assumptions!$P$50*Assumptions!$L$50,0)</f>
        <v>0</v>
      </c>
      <c r="BB101" s="102">
        <f>IF(BB100&gt;0,-Assumptions!$P$50*Assumptions!$L$50,0)</f>
        <v>0</v>
      </c>
      <c r="BC101" s="102">
        <f>IF(BC100&gt;0,-Assumptions!$P$50*Assumptions!$L$50,0)</f>
        <v>0</v>
      </c>
      <c r="BD101" s="102">
        <f>IF(BD100&gt;0,-Assumptions!$P$50*Assumptions!$L$50,0)</f>
        <v>0</v>
      </c>
      <c r="BE101" s="102">
        <f>IF(BE100&gt;0,-Assumptions!$P$50*Assumptions!$L$50,0)</f>
        <v>0</v>
      </c>
      <c r="BF101" s="102">
        <f>IF(BF100&gt;0,-Assumptions!$P$50*Assumptions!$L$50,0)</f>
        <v>0</v>
      </c>
      <c r="BG101" s="102">
        <f>IF(BG100&gt;0,-Assumptions!$P$50*Assumptions!$L$50,0)</f>
        <v>0</v>
      </c>
      <c r="BH101" s="102">
        <f>IF(BH100&gt;0,-Assumptions!$P$50*Assumptions!$L$50,0)</f>
        <v>0</v>
      </c>
      <c r="BI101" s="102">
        <f>IF(BI100&gt;0,-Assumptions!$P$50*Assumptions!$L$50,0)</f>
        <v>0</v>
      </c>
      <c r="BJ101" s="102">
        <f>IF(BJ100&gt;0,-Assumptions!$P$50*Assumptions!$L$50,0)</f>
        <v>0</v>
      </c>
      <c r="BK101" s="102">
        <f ca="1">IF(BK100&gt;0,-Assumptions!$P$50*Assumptions!$L$50,0)</f>
        <v>-27283.005476896178</v>
      </c>
      <c r="BL101" s="102">
        <f>IF(BL100&gt;0,-Assumptions!$P$50*Assumptions!$L$50,0)</f>
        <v>0</v>
      </c>
      <c r="BM101" s="102">
        <f>IF(BM100&gt;0,-Assumptions!$P$50*Assumptions!$L$50,0)</f>
        <v>0</v>
      </c>
      <c r="BN101" s="102">
        <f>IF(BN100&gt;0,-Assumptions!$P$50*Assumptions!$L$50,0)</f>
        <v>0</v>
      </c>
      <c r="BO101" s="102">
        <f>IF(BO100&gt;0,-Assumptions!$P$50*Assumptions!$L$50,0)</f>
        <v>0</v>
      </c>
      <c r="BP101" s="102">
        <f>IF(BP100&gt;0,-Assumptions!$P$50*Assumptions!$L$50,0)</f>
        <v>0</v>
      </c>
      <c r="BQ101" s="102">
        <f>IF(BQ100&gt;0,-Assumptions!$P$50*Assumptions!$L$50,0)</f>
        <v>0</v>
      </c>
      <c r="BR101" s="102">
        <f>IF(BR100&gt;0,-Assumptions!$P$50*Assumptions!$L$50,0)</f>
        <v>0</v>
      </c>
      <c r="BS101" s="102">
        <f>IF(BS100&gt;0,-Assumptions!$P$50*Assumptions!$L$50,0)</f>
        <v>0</v>
      </c>
      <c r="BT101" s="102">
        <f>IF(BT100&gt;0,-Assumptions!$P$50*Assumptions!$L$50,0)</f>
        <v>0</v>
      </c>
      <c r="BU101" s="102">
        <f>IF(BU100&gt;0,-Assumptions!$P$50*Assumptions!$L$50,0)</f>
        <v>0</v>
      </c>
      <c r="BV101" s="102">
        <f>IF(BV100&gt;0,-Assumptions!$P$50*Assumptions!$L$50,0)</f>
        <v>0</v>
      </c>
      <c r="BW101" s="102">
        <f>IF(BW100&gt;0,-Assumptions!$P$50*Assumptions!$L$50,0)</f>
        <v>0</v>
      </c>
      <c r="BX101" s="102">
        <f>IF(BX100&gt;0,-Assumptions!$P$50*Assumptions!$L$50,0)</f>
        <v>0</v>
      </c>
      <c r="BY101" s="102">
        <f>IF(BY100&gt;0,-Assumptions!$P$50*Assumptions!$L$50,0)</f>
        <v>0</v>
      </c>
      <c r="BZ101" s="102">
        <f>IF(BZ100&gt;0,-Assumptions!$P$50*Assumptions!$L$50,0)</f>
        <v>0</v>
      </c>
      <c r="CA101" s="102">
        <f>IF(CA100&gt;0,-Assumptions!$P$50*Assumptions!$L$50,0)</f>
        <v>0</v>
      </c>
      <c r="CB101" s="102">
        <f>IF(CB100&gt;0,-Assumptions!$P$50*Assumptions!$L$50,0)</f>
        <v>0</v>
      </c>
      <c r="CC101" s="102">
        <f>IF(CC100&gt;0,-Assumptions!$P$50*Assumptions!$L$50,0)</f>
        <v>0</v>
      </c>
      <c r="CD101" s="102">
        <f>IF(CD100&gt;0,-Assumptions!$P$50*Assumptions!$L$50,0)</f>
        <v>0</v>
      </c>
      <c r="CE101" s="102">
        <f>IF(CE100&gt;0,-Assumptions!$P$50*Assumptions!$L$50,0)</f>
        <v>0</v>
      </c>
      <c r="CF101" s="102">
        <f>IF(CF100&gt;0,-Assumptions!$P$50*Assumptions!$L$50,0)</f>
        <v>0</v>
      </c>
      <c r="CG101" s="102">
        <f>IF(CG100&gt;0,-Assumptions!$P$50*Assumptions!$L$50,0)</f>
        <v>0</v>
      </c>
      <c r="CH101" s="102">
        <f>IF(CH100&gt;0,-Assumptions!$P$50*Assumptions!$L$50,0)</f>
        <v>0</v>
      </c>
      <c r="CI101" s="102">
        <f>IF(CI100&gt;0,-Assumptions!$P$50*Assumptions!$L$50,0)</f>
        <v>0</v>
      </c>
      <c r="CJ101" s="102">
        <f>IF(CJ100&gt;0,-Assumptions!$P$50*Assumptions!$L$50,0)</f>
        <v>0</v>
      </c>
      <c r="CK101" s="102">
        <f>IF(CK100&gt;0,-Assumptions!$P$50*Assumptions!$L$50,0)</f>
        <v>0</v>
      </c>
      <c r="CL101" s="102">
        <f>IF(CL100&gt;0,-Assumptions!$P$50*Assumptions!$L$50,0)</f>
        <v>0</v>
      </c>
      <c r="CM101" s="102">
        <f>IF(CM100&gt;0,-Assumptions!$P$50*Assumptions!$L$50,0)</f>
        <v>0</v>
      </c>
      <c r="CN101" s="102">
        <f>IF(CN100&gt;0,-Assumptions!$P$50*Assumptions!$L$50,0)</f>
        <v>0</v>
      </c>
      <c r="CO101" s="102">
        <f>IF(CO100&gt;0,-Assumptions!$P$50*Assumptions!$L$50,0)</f>
        <v>0</v>
      </c>
      <c r="CP101" s="102">
        <f>IF(CP100&gt;0,-Assumptions!$P$50*Assumptions!$L$50,0)</f>
        <v>0</v>
      </c>
      <c r="CQ101" s="102">
        <f>IF(CQ100&gt;0,-Assumptions!$P$50*Assumptions!$L$50,0)</f>
        <v>0</v>
      </c>
      <c r="CR101" s="102">
        <f>IF(CR100&gt;0,-Assumptions!$P$50*Assumptions!$L$50,0)</f>
        <v>0</v>
      </c>
      <c r="CS101" s="102">
        <f>IF(CS100&gt;0,-Assumptions!$P$50*Assumptions!$L$50,0)</f>
        <v>0</v>
      </c>
      <c r="CT101" s="102">
        <f>IF(CT100&gt;0,-Assumptions!$P$50*Assumptions!$L$50,0)</f>
        <v>0</v>
      </c>
      <c r="CU101" s="102">
        <f>IF(CU100&gt;0,-Assumptions!$P$50*Assumptions!$L$50,0)</f>
        <v>0</v>
      </c>
      <c r="CV101" s="102">
        <f>IF(CV100&gt;0,-Assumptions!$P$50*Assumptions!$L$50,0)</f>
        <v>0</v>
      </c>
      <c r="CW101" s="102">
        <f>IF(CW100&gt;0,-Assumptions!$P$50*Assumptions!$L$50,0)</f>
        <v>0</v>
      </c>
      <c r="CX101" s="102">
        <f>IF(CX100&gt;0,-Assumptions!$P$50*Assumptions!$L$50,0)</f>
        <v>0</v>
      </c>
      <c r="CY101" s="102">
        <f>IF(CY100&gt;0,-Assumptions!$P$50*Assumptions!$L$50,0)</f>
        <v>0</v>
      </c>
      <c r="CZ101" s="102">
        <f>IF(CZ100&gt;0,-Assumptions!$P$50*Assumptions!$L$50,0)</f>
        <v>0</v>
      </c>
      <c r="DA101" s="102">
        <f>IF(DA100&gt;0,-Assumptions!$P$50*Assumptions!$L$50,0)</f>
        <v>0</v>
      </c>
      <c r="DB101" s="102">
        <f>IF(DB100&gt;0,-Assumptions!$P$50*Assumptions!$L$50,0)</f>
        <v>0</v>
      </c>
      <c r="DC101" s="102">
        <f>IF(DC100&gt;0,-Assumptions!$P$50*Assumptions!$L$50,0)</f>
        <v>0</v>
      </c>
      <c r="DD101" s="102">
        <f>IF(DD100&gt;0,-Assumptions!$P$50*Assumptions!$L$50,0)</f>
        <v>0</v>
      </c>
      <c r="DE101" s="102">
        <f>IF(DE100&gt;0,-Assumptions!$P$50*Assumptions!$L$50,0)</f>
        <v>0</v>
      </c>
      <c r="DF101" s="102">
        <f>IF(DF100&gt;0,-Assumptions!$P$50*Assumptions!$L$50,0)</f>
        <v>0</v>
      </c>
      <c r="DG101" s="102">
        <f>IF(DG100&gt;0,-Assumptions!$P$50*Assumptions!$L$50,0)</f>
        <v>0</v>
      </c>
      <c r="DH101" s="102">
        <f>IF(DH100&gt;0,-Assumptions!$P$50*Assumptions!$L$50,0)</f>
        <v>0</v>
      </c>
      <c r="DI101" s="102">
        <f>IF(DI100&gt;0,-Assumptions!$P$50*Assumptions!$L$50,0)</f>
        <v>0</v>
      </c>
      <c r="DJ101" s="102">
        <f>IF(DJ100&gt;0,-Assumptions!$P$50*Assumptions!$L$50,0)</f>
        <v>0</v>
      </c>
      <c r="DK101" s="102">
        <f>IF(DK100&gt;0,-Assumptions!$P$50*Assumptions!$L$50,0)</f>
        <v>0</v>
      </c>
      <c r="DL101" s="102">
        <f>IF(DL100&gt;0,-Assumptions!$P$50*Assumptions!$L$50,0)</f>
        <v>0</v>
      </c>
      <c r="DM101" s="102">
        <f>IF(DM100&gt;0,-Assumptions!$P$50*Assumptions!$L$50,0)</f>
        <v>0</v>
      </c>
      <c r="DN101" s="102">
        <f>IF(DN100&gt;0,-Assumptions!$P$50*Assumptions!$L$50,0)</f>
        <v>0</v>
      </c>
      <c r="DO101" s="102">
        <f>IF(DO100&gt;0,-Assumptions!$P$50*Assumptions!$L$50,0)</f>
        <v>0</v>
      </c>
      <c r="DP101" s="102">
        <f>IF(DP100&gt;0,-Assumptions!$P$50*Assumptions!$L$50,0)</f>
        <v>0</v>
      </c>
      <c r="DQ101" s="102">
        <f>IF(DQ100&gt;0,-Assumptions!$P$50*Assumptions!$L$50,0)</f>
        <v>0</v>
      </c>
      <c r="DR101" s="102">
        <f>IF(DR100&gt;0,-Assumptions!$P$50*Assumptions!$L$50,0)</f>
        <v>0</v>
      </c>
      <c r="DS101" s="102">
        <f>IF(DS100&gt;0,-Assumptions!$P$50*Assumptions!$L$50,0)</f>
        <v>0</v>
      </c>
      <c r="DT101" s="102">
        <f>IF(DT100&gt;0,-Assumptions!$P$50*Assumptions!$L$50,0)</f>
        <v>0</v>
      </c>
      <c r="DU101" s="102">
        <f>IF(DU100&gt;0,-Assumptions!$P$50*Assumptions!$L$50,0)</f>
        <v>0</v>
      </c>
      <c r="DV101" s="102">
        <f>IF(DV100&gt;0,-Assumptions!$P$50*Assumptions!$L$50,0)</f>
        <v>0</v>
      </c>
      <c r="DW101" s="102">
        <f>IF(DW100&gt;0,-Assumptions!$P$50*Assumptions!$L$50,0)</f>
        <v>0</v>
      </c>
      <c r="DX101" s="102">
        <f>IF(DX100&gt;0,-Assumptions!$P$50*Assumptions!$L$50,0)</f>
        <v>0</v>
      </c>
      <c r="DY101" s="102">
        <f>IF(DY100&gt;0,-Assumptions!$P$50*Assumptions!$L$50,0)</f>
        <v>0</v>
      </c>
      <c r="DZ101" s="102">
        <f>IF(DZ100&gt;0,-Assumptions!$P$50*Assumptions!$L$50,0)</f>
        <v>0</v>
      </c>
      <c r="EA101" s="102">
        <f>IF(EA100&gt;0,-Assumptions!$P$50*Assumptions!$L$50,0)</f>
        <v>0</v>
      </c>
      <c r="EB101" s="102">
        <f>IF(EB100&gt;0,-Assumptions!$P$50*Assumptions!$L$50,0)</f>
        <v>0</v>
      </c>
      <c r="EC101" s="102">
        <f>IF(EC100&gt;0,-Assumptions!$P$50*Assumptions!$L$50,0)</f>
        <v>0</v>
      </c>
      <c r="ED101" s="102">
        <f>IF(ED100&gt;0,-Assumptions!$P$50*Assumptions!$L$50,0)</f>
        <v>0</v>
      </c>
      <c r="EE101" s="102">
        <f>IF(EE100&gt;0,-Assumptions!$P$50*Assumptions!$L$50,0)</f>
        <v>0</v>
      </c>
      <c r="EF101" s="102">
        <f>IF(EF100&gt;0,-Assumptions!$P$50*Assumptions!$L$50,0)</f>
        <v>0</v>
      </c>
      <c r="EG101" s="102">
        <f>IF(EG100&gt;0,-Assumptions!$P$50*Assumptions!$L$50,0)</f>
        <v>0</v>
      </c>
      <c r="EH101" s="102">
        <f>IF(EH100&gt;0,-Assumptions!$P$50*Assumptions!$L$50,0)</f>
        <v>0</v>
      </c>
      <c r="EI101" s="102">
        <f>IF(EI100&gt;0,-Assumptions!$P$50*Assumptions!$L$50,0)</f>
        <v>0</v>
      </c>
      <c r="EJ101" s="102">
        <f>IF(EJ100&gt;0,-Assumptions!$P$50*Assumptions!$L$50,0)</f>
        <v>0</v>
      </c>
      <c r="EK101" s="102">
        <f>IF(EK100&gt;0,-Assumptions!$P$50*Assumptions!$L$50,0)</f>
        <v>0</v>
      </c>
      <c r="EL101" s="102">
        <f>IF(EL100&gt;0,-Assumptions!$P$50*Assumptions!$L$50,0)</f>
        <v>0</v>
      </c>
      <c r="EM101" s="102">
        <f>IF(EM100&gt;0,-Assumptions!$P$50*Assumptions!$L$50,0)</f>
        <v>0</v>
      </c>
      <c r="EN101" s="102">
        <f>IF(EN100&gt;0,-Assumptions!$P$50*Assumptions!$L$50,0)</f>
        <v>0</v>
      </c>
      <c r="EO101" s="102">
        <f>IF(EO100&gt;0,-Assumptions!$P$50*Assumptions!$L$50,0)</f>
        <v>0</v>
      </c>
      <c r="EP101" s="102">
        <f>IF(EP100&gt;0,-Assumptions!$P$50*Assumptions!$L$50,0)</f>
        <v>0</v>
      </c>
      <c r="EQ101" s="102">
        <f>IF(EQ100&gt;0,-Assumptions!$P$50*Assumptions!$L$50,0)</f>
        <v>0</v>
      </c>
      <c r="ES101" s="98"/>
      <c r="ET101" s="98"/>
      <c r="EU101" s="98"/>
    </row>
    <row r="102" spans="7:151" ht="15.75">
      <c r="G102" s="101"/>
      <c r="H102" s="125" t="s">
        <v>206</v>
      </c>
      <c r="I102" s="95"/>
      <c r="J102" s="102"/>
      <c r="K102" s="102"/>
      <c r="L102" s="102"/>
      <c r="N102" s="102">
        <f t="shared" ca="1" si="83"/>
        <v>-2574980.7877013744</v>
      </c>
      <c r="O102" s="102">
        <f>IF(O87&gt;0,-VLOOKUP(Assumptions!$G$10-Assumptions!$M$48,'Amort Sched - Permanent Loan'!$B$29:$G$3853,6),0)</f>
        <v>0</v>
      </c>
      <c r="P102" s="102">
        <f>IF(P87&gt;0,-VLOOKUP(Assumptions!$G$10-Assumptions!$M$48,'Amort Sched - Permanent Loan'!$B$29:$G$3853,6),0)</f>
        <v>0</v>
      </c>
      <c r="Q102" s="102">
        <f>IF(Q87&gt;0,-VLOOKUP(Assumptions!$G$10-Assumptions!$M$48,'Amort Sched - Permanent Loan'!$B$29:$G$3853,6),0)</f>
        <v>0</v>
      </c>
      <c r="R102" s="102">
        <f>IF(R87&gt;0,-VLOOKUP(Assumptions!$G$10-Assumptions!$M$48,'Amort Sched - Permanent Loan'!$B$29:$G$3853,6),0)</f>
        <v>0</v>
      </c>
      <c r="S102" s="102">
        <f>IF(S87&gt;0,-VLOOKUP(Assumptions!$G$10-Assumptions!$M$48,'Amort Sched - Permanent Loan'!$B$29:$G$3853,6),0)</f>
        <v>0</v>
      </c>
      <c r="T102" s="102">
        <f>IF(T87&gt;0,-VLOOKUP(Assumptions!$G$10-Assumptions!$M$48,'Amort Sched - Permanent Loan'!$B$29:$G$3853,6),0)</f>
        <v>0</v>
      </c>
      <c r="U102" s="102">
        <f>IF(U87&gt;0,-VLOOKUP(Assumptions!$G$10-Assumptions!$M$48,'Amort Sched - Permanent Loan'!$B$29:$G$3853,6),0)</f>
        <v>0</v>
      </c>
      <c r="V102" s="102">
        <f>IF(V87&gt;0,-VLOOKUP(Assumptions!$G$10-Assumptions!$M$48,'Amort Sched - Permanent Loan'!$B$29:$G$3853,6),0)</f>
        <v>0</v>
      </c>
      <c r="W102" s="102">
        <f>IF(W87&gt;0,-VLOOKUP(Assumptions!$G$10-Assumptions!$M$48,'Amort Sched - Permanent Loan'!$B$29:$G$3853,6),0)</f>
        <v>0</v>
      </c>
      <c r="X102" s="102">
        <f>IF(X87&gt;0,-VLOOKUP(Assumptions!$G$10-Assumptions!$M$48,'Amort Sched - Permanent Loan'!$B$29:$G$3853,6),0)</f>
        <v>0</v>
      </c>
      <c r="Y102" s="102">
        <f>IF(Y87&gt;0,-VLOOKUP(Assumptions!$G$10-Assumptions!$M$48,'Amort Sched - Permanent Loan'!$B$29:$G$3853,6),0)</f>
        <v>0</v>
      </c>
      <c r="Z102" s="102">
        <f>IF(Z87&gt;0,-VLOOKUP(Assumptions!$G$10-Assumptions!$M$48,'Amort Sched - Permanent Loan'!$B$29:$G$3853,6),0)</f>
        <v>0</v>
      </c>
      <c r="AA102" s="102">
        <f>IF(AA87&gt;0,-VLOOKUP(Assumptions!$G$10-Assumptions!$M$48,'Amort Sched - Permanent Loan'!$B$29:$G$3853,6),0)</f>
        <v>0</v>
      </c>
      <c r="AB102" s="102">
        <f>IF(AB87&gt;0,-VLOOKUP(Assumptions!$G$10-Assumptions!$M$48,'Amort Sched - Permanent Loan'!$B$29:$G$3853,6),0)</f>
        <v>0</v>
      </c>
      <c r="AC102" s="102">
        <f>IF(AC87&gt;0,-VLOOKUP(Assumptions!$G$10-Assumptions!$M$48,'Amort Sched - Permanent Loan'!$B$29:$G$3853,6),0)</f>
        <v>0</v>
      </c>
      <c r="AD102" s="102">
        <f>IF(AD87&gt;0,-VLOOKUP(Assumptions!$G$10-Assumptions!$M$48,'Amort Sched - Permanent Loan'!$B$29:$G$3853,6),0)</f>
        <v>0</v>
      </c>
      <c r="AE102" s="102">
        <f>IF(AE87&gt;0,-VLOOKUP(Assumptions!$G$10-Assumptions!$M$48,'Amort Sched - Permanent Loan'!$B$29:$G$3853,6),0)</f>
        <v>0</v>
      </c>
      <c r="AF102" s="102">
        <f>IF(AF87&gt;0,-VLOOKUP(Assumptions!$G$10-Assumptions!$M$48,'Amort Sched - Permanent Loan'!$B$29:$G$3853,6),0)</f>
        <v>0</v>
      </c>
      <c r="AG102" s="102">
        <f>IF(AG87&gt;0,-VLOOKUP(Assumptions!$G$10-Assumptions!$M$48,'Amort Sched - Permanent Loan'!$B$29:$G$3853,6),0)</f>
        <v>0</v>
      </c>
      <c r="AH102" s="102">
        <f>IF(AH87&gt;0,-VLOOKUP(Assumptions!$G$10-Assumptions!$M$48,'Amort Sched - Permanent Loan'!$B$29:$G$3853,6),0)</f>
        <v>0</v>
      </c>
      <c r="AI102" s="102">
        <f>IF(AI87&gt;0,-VLOOKUP(Assumptions!$G$10-Assumptions!$M$48,'Amort Sched - Permanent Loan'!$B$29:$G$3853,6),0)</f>
        <v>0</v>
      </c>
      <c r="AJ102" s="102">
        <f>IF(AJ87&gt;0,-VLOOKUP(Assumptions!$G$10-Assumptions!$M$48,'Amort Sched - Permanent Loan'!$B$29:$G$3853,6),0)</f>
        <v>0</v>
      </c>
      <c r="AK102" s="102">
        <f>IF(AK87&gt;0,-VLOOKUP(Assumptions!$G$10-Assumptions!$M$48,'Amort Sched - Permanent Loan'!$B$29:$G$3853,6),0)</f>
        <v>0</v>
      </c>
      <c r="AL102" s="102">
        <f>IF(AL87&gt;0,-VLOOKUP(Assumptions!$G$10-Assumptions!$M$48,'Amort Sched - Permanent Loan'!$B$29:$G$3853,6),0)</f>
        <v>0</v>
      </c>
      <c r="AM102" s="102">
        <f>IF(AM87&gt;0,-VLOOKUP(Assumptions!$G$10-Assumptions!$M$48,'Amort Sched - Permanent Loan'!$B$29:$G$3853,6),0)</f>
        <v>0</v>
      </c>
      <c r="AN102" s="102">
        <f>IF(AN87&gt;0,-VLOOKUP(Assumptions!$G$10-Assumptions!$M$48,'Amort Sched - Permanent Loan'!$B$29:$G$3853,6),0)</f>
        <v>0</v>
      </c>
      <c r="AO102" s="102">
        <f>IF(AO87&gt;0,-VLOOKUP(Assumptions!$G$10-Assumptions!$M$48,'Amort Sched - Permanent Loan'!$B$29:$G$3853,6),0)</f>
        <v>0</v>
      </c>
      <c r="AP102" s="102">
        <f>IF(AP87&gt;0,-VLOOKUP(Assumptions!$G$10-Assumptions!$M$48,'Amort Sched - Permanent Loan'!$B$29:$G$3853,6),0)</f>
        <v>0</v>
      </c>
      <c r="AQ102" s="102">
        <f>IF(AQ87&gt;0,-VLOOKUP(Assumptions!$G$10-Assumptions!$M$48,'Amort Sched - Permanent Loan'!$B$29:$G$3853,6),0)</f>
        <v>0</v>
      </c>
      <c r="AR102" s="102">
        <f>IF(AR87&gt;0,-VLOOKUP(Assumptions!$G$10-Assumptions!$M$48,'Amort Sched - Permanent Loan'!$B$29:$G$3853,6),0)</f>
        <v>0</v>
      </c>
      <c r="AS102" s="102">
        <f>IF(AS87&gt;0,-VLOOKUP(Assumptions!$G$10-Assumptions!$M$48,'Amort Sched - Permanent Loan'!$B$29:$G$3853,6),0)</f>
        <v>0</v>
      </c>
      <c r="AT102" s="102">
        <f>IF(AT87&gt;0,-VLOOKUP(Assumptions!$G$10-Assumptions!$M$48,'Amort Sched - Permanent Loan'!$B$29:$G$3853,6),0)</f>
        <v>0</v>
      </c>
      <c r="AU102" s="102">
        <f>IF(AU87&gt;0,-VLOOKUP(Assumptions!$G$10-Assumptions!$M$48,'Amort Sched - Permanent Loan'!$B$29:$G$3853,6),0)</f>
        <v>0</v>
      </c>
      <c r="AV102" s="102">
        <f>IF(AV87&gt;0,-VLOOKUP(Assumptions!$G$10-Assumptions!$M$48,'Amort Sched - Permanent Loan'!$B$29:$G$3853,6),0)</f>
        <v>0</v>
      </c>
      <c r="AW102" s="102">
        <f>IF(AW87&gt;0,-VLOOKUP(Assumptions!$G$10-Assumptions!$M$48,'Amort Sched - Permanent Loan'!$B$29:$G$3853,6),0)</f>
        <v>0</v>
      </c>
      <c r="AX102" s="102">
        <f>IF(AX87&gt;0,-VLOOKUP(Assumptions!$G$10-Assumptions!$M$48,'Amort Sched - Permanent Loan'!$B$29:$G$3853,6),0)</f>
        <v>0</v>
      </c>
      <c r="AY102" s="102">
        <f>IF(AY87&gt;0,-VLOOKUP(Assumptions!$G$10-Assumptions!$M$48,'Amort Sched - Permanent Loan'!$B$29:$G$3853,6),0)</f>
        <v>0</v>
      </c>
      <c r="AZ102" s="102">
        <f>IF(AZ87&gt;0,-VLOOKUP(Assumptions!$G$10-Assumptions!$M$48,'Amort Sched - Permanent Loan'!$B$29:$G$3853,6),0)</f>
        <v>0</v>
      </c>
      <c r="BA102" s="102">
        <f>IF(BA87&gt;0,-VLOOKUP(Assumptions!$G$10-Assumptions!$M$48,'Amort Sched - Permanent Loan'!$B$29:$G$3853,6),0)</f>
        <v>0</v>
      </c>
      <c r="BB102" s="102">
        <f>IF(BB87&gt;0,-VLOOKUP(Assumptions!$G$10-Assumptions!$M$48,'Amort Sched - Permanent Loan'!$B$29:$G$3853,6),0)</f>
        <v>0</v>
      </c>
      <c r="BC102" s="102">
        <f>IF(BC87&gt;0,-VLOOKUP(Assumptions!$G$10-Assumptions!$M$48,'Amort Sched - Permanent Loan'!$B$29:$G$3853,6),0)</f>
        <v>0</v>
      </c>
      <c r="BD102" s="102">
        <f>IF(BD87&gt;0,-VLOOKUP(Assumptions!$G$10-Assumptions!$M$48,'Amort Sched - Permanent Loan'!$B$29:$G$3853,6),0)</f>
        <v>0</v>
      </c>
      <c r="BE102" s="102">
        <f>IF(BE87&gt;0,-VLOOKUP(Assumptions!$G$10-Assumptions!$M$48,'Amort Sched - Permanent Loan'!$B$29:$G$3853,6),0)</f>
        <v>0</v>
      </c>
      <c r="BF102" s="102">
        <f>IF(BF87&gt;0,-VLOOKUP(Assumptions!$G$10-Assumptions!$M$48,'Amort Sched - Permanent Loan'!$B$29:$G$3853,6),0)</f>
        <v>0</v>
      </c>
      <c r="BG102" s="102">
        <f>IF(BG87&gt;0,-VLOOKUP(Assumptions!$G$10-Assumptions!$M$48,'Amort Sched - Permanent Loan'!$B$29:$G$3853,6),0)</f>
        <v>0</v>
      </c>
      <c r="BH102" s="102">
        <f>IF(BH87&gt;0,-VLOOKUP(Assumptions!$G$10-Assumptions!$M$48,'Amort Sched - Permanent Loan'!$B$29:$G$3853,6),0)</f>
        <v>0</v>
      </c>
      <c r="BI102" s="102">
        <f>IF(BI87&gt;0,-VLOOKUP(Assumptions!$G$10-Assumptions!$M$48,'Amort Sched - Permanent Loan'!$B$29:$G$3853,6),0)</f>
        <v>0</v>
      </c>
      <c r="BJ102" s="102">
        <f>IF(BJ87&gt;0,-VLOOKUP(Assumptions!$G$10-Assumptions!$M$48,'Amort Sched - Permanent Loan'!$B$29:$G$3853,6),0)</f>
        <v>0</v>
      </c>
      <c r="BK102" s="102">
        <f>IF(BK87&gt;0,-VLOOKUP(Assumptions!$G$10-Assumptions!$M$48,'Amort Sched - Permanent Loan'!$B$29:$G$3853,6),0)</f>
        <v>0</v>
      </c>
      <c r="BL102" s="102">
        <f>IF(BL87&gt;0,-VLOOKUP(Assumptions!$G$10-Assumptions!$M$48,'Amort Sched - Permanent Loan'!$B$29:$G$3853,6),0)</f>
        <v>0</v>
      </c>
      <c r="BM102" s="102">
        <f>IF(BM87&gt;0,-VLOOKUP(Assumptions!$G$10-Assumptions!$M$48,'Amort Sched - Permanent Loan'!$B$29:$G$3853,6),0)</f>
        <v>0</v>
      </c>
      <c r="BN102" s="102">
        <f>IF(BN87&gt;0,-VLOOKUP(Assumptions!$G$10-Assumptions!$M$48,'Amort Sched - Permanent Loan'!$B$29:$G$3853,6),0)</f>
        <v>0</v>
      </c>
      <c r="BO102" s="102">
        <f>IF(BO87&gt;0,-VLOOKUP(Assumptions!$G$10-Assumptions!$M$48,'Amort Sched - Permanent Loan'!$B$29:$G$3853,6),0)</f>
        <v>0</v>
      </c>
      <c r="BP102" s="102">
        <f>IF(BP87&gt;0,-VLOOKUP(Assumptions!$G$10-Assumptions!$M$48,'Amort Sched - Permanent Loan'!$B$29:$G$3853,6),0)</f>
        <v>0</v>
      </c>
      <c r="BQ102" s="102">
        <f>IF(BQ87&gt;0,-VLOOKUP(Assumptions!$G$10-Assumptions!$M$48,'Amort Sched - Permanent Loan'!$B$29:$G$3853,6),0)</f>
        <v>0</v>
      </c>
      <c r="BR102" s="102">
        <f>IF(BR87&gt;0,-VLOOKUP(Assumptions!$G$10-Assumptions!$M$48,'Amort Sched - Permanent Loan'!$B$29:$G$3853,6),0)</f>
        <v>0</v>
      </c>
      <c r="BS102" s="102">
        <f>IF(BS87&gt;0,-VLOOKUP(Assumptions!$G$10-Assumptions!$M$48,'Amort Sched - Permanent Loan'!$B$29:$G$3853,6),0)</f>
        <v>0</v>
      </c>
      <c r="BT102" s="102">
        <f>IF(BT87&gt;0,-VLOOKUP(Assumptions!$G$10-Assumptions!$M$48,'Amort Sched - Permanent Loan'!$B$29:$G$3853,6),0)</f>
        <v>0</v>
      </c>
      <c r="BU102" s="102">
        <f>IF(BU87&gt;0,-VLOOKUP(Assumptions!$G$10-Assumptions!$M$48,'Amort Sched - Permanent Loan'!$B$29:$G$3853,6),0)</f>
        <v>0</v>
      </c>
      <c r="BV102" s="102">
        <f>IF(BV87&gt;0,-VLOOKUP(Assumptions!$G$10-Assumptions!$M$48,'Amort Sched - Permanent Loan'!$B$29:$G$3853,6),0)</f>
        <v>0</v>
      </c>
      <c r="BW102" s="102">
        <f>IF(BW87&gt;0,-VLOOKUP(Assumptions!$G$10-Assumptions!$M$48,'Amort Sched - Permanent Loan'!$B$29:$G$3853,6),0)</f>
        <v>0</v>
      </c>
      <c r="BX102" s="102">
        <f>IF(BX87&gt;0,-VLOOKUP(Assumptions!$G$10-Assumptions!$M$48,'Amort Sched - Permanent Loan'!$B$29:$G$3853,6),0)</f>
        <v>0</v>
      </c>
      <c r="BY102" s="102">
        <f>IF(BY87&gt;0,-VLOOKUP(Assumptions!$G$10-Assumptions!$M$48,'Amort Sched - Permanent Loan'!$B$29:$G$3853,6),0)</f>
        <v>0</v>
      </c>
      <c r="BZ102" s="102">
        <f>IF(BZ87&gt;0,-VLOOKUP(Assumptions!$G$10-Assumptions!$M$48,'Amort Sched - Permanent Loan'!$B$29:$G$3853,6),0)</f>
        <v>0</v>
      </c>
      <c r="CA102" s="102">
        <f>IF(CA87&gt;0,-VLOOKUP(Assumptions!$G$10-Assumptions!$M$48,'Amort Sched - Permanent Loan'!$B$29:$G$3853,6),0)</f>
        <v>0</v>
      </c>
      <c r="CB102" s="102">
        <f>IF(CB87&gt;0,-VLOOKUP(Assumptions!$G$10-Assumptions!$M$48,'Amort Sched - Permanent Loan'!$B$29:$G$3853,6),0)</f>
        <v>0</v>
      </c>
      <c r="CC102" s="102">
        <f>IF(CC87&gt;0,-VLOOKUP(Assumptions!$G$10-Assumptions!$M$48,'Amort Sched - Permanent Loan'!$B$29:$G$3853,6),0)</f>
        <v>0</v>
      </c>
      <c r="CD102" s="102">
        <f>IF(CD87&gt;0,-VLOOKUP(Assumptions!$G$10-Assumptions!$M$48,'Amort Sched - Permanent Loan'!$B$29:$G$3853,6),0)</f>
        <v>0</v>
      </c>
      <c r="CE102" s="102">
        <f>IF(CE87&gt;0,-VLOOKUP(Assumptions!$G$10-Assumptions!$M$48,'Amort Sched - Permanent Loan'!$B$29:$G$3853,6),0)</f>
        <v>0</v>
      </c>
      <c r="CF102" s="102">
        <f>IF(CF87&gt;0,-VLOOKUP(Assumptions!$G$10-Assumptions!$M$48,'Amort Sched - Permanent Loan'!$B$29:$G$3853,6),0)</f>
        <v>0</v>
      </c>
      <c r="CG102" s="102">
        <f>IF(CG87&gt;0,-VLOOKUP(Assumptions!$G$10-Assumptions!$M$48,'Amort Sched - Permanent Loan'!$B$29:$G$3853,6),0)</f>
        <v>0</v>
      </c>
      <c r="CH102" s="102">
        <f>IF(CH87&gt;0,-VLOOKUP(Assumptions!$G$10-Assumptions!$M$48,'Amort Sched - Permanent Loan'!$B$29:$G$3853,6),0)</f>
        <v>0</v>
      </c>
      <c r="CI102" s="102">
        <f>IF(CI87&gt;0,-VLOOKUP(Assumptions!$G$10-Assumptions!$M$48,'Amort Sched - Permanent Loan'!$B$29:$G$3853,6),0)</f>
        <v>0</v>
      </c>
      <c r="CJ102" s="102">
        <f>IF(CJ87&gt;0,-VLOOKUP(Assumptions!$G$10-Assumptions!$M$48,'Amort Sched - Permanent Loan'!$B$29:$G$3853,6),0)</f>
        <v>0</v>
      </c>
      <c r="CK102" s="102">
        <f>IF(CK87&gt;0,-VLOOKUP(Assumptions!$G$10-Assumptions!$M$48,'Amort Sched - Permanent Loan'!$B$29:$G$3853,6),0)</f>
        <v>0</v>
      </c>
      <c r="CL102" s="102">
        <f>IF(CL87&gt;0,-VLOOKUP(Assumptions!$G$10-Assumptions!$M$48,'Amort Sched - Permanent Loan'!$B$29:$G$3853,6),0)</f>
        <v>0</v>
      </c>
      <c r="CM102" s="102">
        <f>IF(CM87&gt;0,-VLOOKUP(Assumptions!$G$10-Assumptions!$M$48,'Amort Sched - Permanent Loan'!$B$29:$G$3853,6),0)</f>
        <v>0</v>
      </c>
      <c r="CN102" s="102">
        <f>IF(CN87&gt;0,-VLOOKUP(Assumptions!$G$10-Assumptions!$M$48,'Amort Sched - Permanent Loan'!$B$29:$G$3853,6),0)</f>
        <v>0</v>
      </c>
      <c r="CO102" s="102">
        <f>IF(CO87&gt;0,-VLOOKUP(Assumptions!$G$10-Assumptions!$M$48,'Amort Sched - Permanent Loan'!$B$29:$G$3853,6),0)</f>
        <v>0</v>
      </c>
      <c r="CP102" s="102">
        <f>IF(CP87&gt;0,-VLOOKUP(Assumptions!$G$10-Assumptions!$M$48,'Amort Sched - Permanent Loan'!$B$29:$G$3853,6),0)</f>
        <v>0</v>
      </c>
      <c r="CQ102" s="102">
        <f>IF(CQ87&gt;0,-VLOOKUP(Assumptions!$G$10-Assumptions!$M$48,'Amort Sched - Permanent Loan'!$B$29:$G$3853,6),0)</f>
        <v>0</v>
      </c>
      <c r="CR102" s="102">
        <f>IF(CR87&gt;0,-VLOOKUP(Assumptions!$G$10-Assumptions!$M$48,'Amort Sched - Permanent Loan'!$B$29:$G$3853,6),0)</f>
        <v>0</v>
      </c>
      <c r="CS102" s="102">
        <f>IF(CS87&gt;0,-VLOOKUP(Assumptions!$G$10-Assumptions!$M$48,'Amort Sched - Permanent Loan'!$B$29:$G$3853,6),0)</f>
        <v>0</v>
      </c>
      <c r="CT102" s="102">
        <f>IF(CT87&gt;0,-VLOOKUP(Assumptions!$G$10-Assumptions!$M$48,'Amort Sched - Permanent Loan'!$B$29:$G$3853,6),0)</f>
        <v>0</v>
      </c>
      <c r="CU102" s="102">
        <f>IF(CU87&gt;0,-VLOOKUP(Assumptions!$G$10-Assumptions!$M$48,'Amort Sched - Permanent Loan'!$B$29:$G$3853,6),0)</f>
        <v>0</v>
      </c>
      <c r="CV102" s="102">
        <f>IF(CV87&gt;0,-VLOOKUP(Assumptions!$G$10-Assumptions!$M$48,'Amort Sched - Permanent Loan'!$B$29:$G$3853,6),0)</f>
        <v>0</v>
      </c>
      <c r="CW102" s="102">
        <f>IF(CW87&gt;0,-VLOOKUP(Assumptions!$G$10-Assumptions!$M$48,'Amort Sched - Permanent Loan'!$B$29:$G$3853,6),0)</f>
        <v>0</v>
      </c>
      <c r="CX102" s="102">
        <f>IF(CX87&gt;0,-VLOOKUP(Assumptions!$G$10-Assumptions!$M$48,'Amort Sched - Permanent Loan'!$B$29:$G$3853,6),0)</f>
        <v>0</v>
      </c>
      <c r="CY102" s="102">
        <f>IF(CY87&gt;0,-VLOOKUP(Assumptions!$G$10-Assumptions!$M$48,'Amort Sched - Permanent Loan'!$B$29:$G$3853,6),0)</f>
        <v>0</v>
      </c>
      <c r="CZ102" s="102">
        <f>IF(CZ87&gt;0,-VLOOKUP(Assumptions!$G$10-Assumptions!$M$48,'Amort Sched - Permanent Loan'!$B$29:$G$3853,6),0)</f>
        <v>0</v>
      </c>
      <c r="DA102" s="102">
        <f>IF(DA87&gt;0,-VLOOKUP(Assumptions!$G$10-Assumptions!$M$48,'Amort Sched - Permanent Loan'!$B$29:$G$3853,6),0)</f>
        <v>0</v>
      </c>
      <c r="DB102" s="102">
        <f>IF(DB87&gt;0,-VLOOKUP(Assumptions!$G$10-Assumptions!$M$48,'Amort Sched - Permanent Loan'!$B$29:$G$3853,6),0)</f>
        <v>0</v>
      </c>
      <c r="DC102" s="102">
        <f>IF(DC87&gt;0,-VLOOKUP(Assumptions!$G$10-Assumptions!$M$48,'Amort Sched - Permanent Loan'!$B$29:$G$3853,6),0)</f>
        <v>0</v>
      </c>
      <c r="DD102" s="102">
        <f>IF(DD87&gt;0,-VLOOKUP(Assumptions!$G$10-Assumptions!$M$48,'Amort Sched - Permanent Loan'!$B$29:$G$3853,6),0)</f>
        <v>0</v>
      </c>
      <c r="DE102" s="102">
        <f>IF(DE87&gt;0,-VLOOKUP(Assumptions!$G$10-Assumptions!$M$48,'Amort Sched - Permanent Loan'!$B$29:$G$3853,6),0)</f>
        <v>0</v>
      </c>
      <c r="DF102" s="102">
        <f>IF(DF87&gt;0,-VLOOKUP(Assumptions!$G$10-Assumptions!$M$48,'Amort Sched - Permanent Loan'!$B$29:$G$3853,6),0)</f>
        <v>0</v>
      </c>
      <c r="DG102" s="102">
        <f ca="1">IF(DG87&gt;0,-VLOOKUP(Assumptions!$G$10-Assumptions!$M$48,'Amort Sched - Permanent Loan'!$B$29:$G$3853,6),0)</f>
        <v>-2574980.7877013744</v>
      </c>
      <c r="DH102" s="102">
        <f>IF(DH87&gt;0,-VLOOKUP(Assumptions!$G$10-Assumptions!$M$48,'Amort Sched - Permanent Loan'!$B$29:$G$3853,6),0)</f>
        <v>0</v>
      </c>
      <c r="DI102" s="102">
        <f>IF(DI87&gt;0,-VLOOKUP(Assumptions!$G$10-Assumptions!$M$48,'Amort Sched - Permanent Loan'!$B$29:$G$3853,6),0)</f>
        <v>0</v>
      </c>
      <c r="DJ102" s="102">
        <f>IF(DJ87&gt;0,-VLOOKUP(Assumptions!$G$10-Assumptions!$M$48,'Amort Sched - Permanent Loan'!$B$29:$G$3853,6),0)</f>
        <v>0</v>
      </c>
      <c r="DK102" s="102">
        <f>IF(DK87&gt;0,-VLOOKUP(Assumptions!$G$10-Assumptions!$M$48,'Amort Sched - Permanent Loan'!$B$29:$G$3853,6),0)</f>
        <v>0</v>
      </c>
      <c r="DL102" s="102">
        <f>IF(DL87&gt;0,-VLOOKUP(Assumptions!$G$10-Assumptions!$M$48,'Amort Sched - Permanent Loan'!$B$29:$G$3853,6),0)</f>
        <v>0</v>
      </c>
      <c r="DM102" s="102">
        <f>IF(DM87&gt;0,-VLOOKUP(Assumptions!$G$10-Assumptions!$M$48,'Amort Sched - Permanent Loan'!$B$29:$G$3853,6),0)</f>
        <v>0</v>
      </c>
      <c r="DN102" s="102">
        <f>IF(DN87&gt;0,-VLOOKUP(Assumptions!$G$10-Assumptions!$M$48,'Amort Sched - Permanent Loan'!$B$29:$G$3853,6),0)</f>
        <v>0</v>
      </c>
      <c r="DO102" s="102">
        <f>IF(DO87&gt;0,-VLOOKUP(Assumptions!$G$10-Assumptions!$M$48,'Amort Sched - Permanent Loan'!$B$29:$G$3853,6),0)</f>
        <v>0</v>
      </c>
      <c r="DP102" s="102">
        <f>IF(DP87&gt;0,-VLOOKUP(Assumptions!$G$10-Assumptions!$M$48,'Amort Sched - Permanent Loan'!$B$29:$G$3853,6),0)</f>
        <v>0</v>
      </c>
      <c r="DQ102" s="102">
        <f>IF(DQ87&gt;0,-VLOOKUP(Assumptions!$G$10-Assumptions!$M$48,'Amort Sched - Permanent Loan'!$B$29:$G$3853,6),0)</f>
        <v>0</v>
      </c>
      <c r="DR102" s="102">
        <f>IF(DR87&gt;0,-VLOOKUP(Assumptions!$G$10-Assumptions!$M$48,'Amort Sched - Permanent Loan'!$B$29:$G$3853,6),0)</f>
        <v>0</v>
      </c>
      <c r="DS102" s="102">
        <f>IF(DS87&gt;0,-VLOOKUP(Assumptions!$G$10-Assumptions!$M$48,'Amort Sched - Permanent Loan'!$B$29:$G$3853,6),0)</f>
        <v>0</v>
      </c>
      <c r="DT102" s="102">
        <f>IF(DT87&gt;0,-VLOOKUP(Assumptions!$G$10-Assumptions!$M$48,'Amort Sched - Permanent Loan'!$B$29:$G$3853,6),0)</f>
        <v>0</v>
      </c>
      <c r="DU102" s="102">
        <f>IF(DU87&gt;0,-VLOOKUP(Assumptions!$G$10-Assumptions!$M$48,'Amort Sched - Permanent Loan'!$B$29:$G$3853,6),0)</f>
        <v>0</v>
      </c>
      <c r="DV102" s="102">
        <f>IF(DV87&gt;0,-VLOOKUP(Assumptions!$G$10-Assumptions!$M$48,'Amort Sched - Permanent Loan'!$B$29:$G$3853,6),0)</f>
        <v>0</v>
      </c>
      <c r="DW102" s="102">
        <f>IF(DW87&gt;0,-VLOOKUP(Assumptions!$G$10-Assumptions!$M$48,'Amort Sched - Permanent Loan'!$B$29:$G$3853,6),0)</f>
        <v>0</v>
      </c>
      <c r="DX102" s="102">
        <f>IF(DX87&gt;0,-VLOOKUP(Assumptions!$G$10-Assumptions!$M$48,'Amort Sched - Permanent Loan'!$B$29:$G$3853,6),0)</f>
        <v>0</v>
      </c>
      <c r="DY102" s="102">
        <f>IF(DY87&gt;0,-VLOOKUP(Assumptions!$G$10-Assumptions!$M$48,'Amort Sched - Permanent Loan'!$B$29:$G$3853,6),0)</f>
        <v>0</v>
      </c>
      <c r="DZ102" s="102">
        <f>IF(DZ87&gt;0,-VLOOKUP(Assumptions!$G$10-Assumptions!$M$48,'Amort Sched - Permanent Loan'!$B$29:$G$3853,6),0)</f>
        <v>0</v>
      </c>
      <c r="EA102" s="102">
        <f>IF(EA87&gt;0,-VLOOKUP(Assumptions!$G$10-Assumptions!$M$48,'Amort Sched - Permanent Loan'!$B$29:$G$3853,6),0)</f>
        <v>0</v>
      </c>
      <c r="EB102" s="102">
        <f>IF(EB87&gt;0,-VLOOKUP(Assumptions!$G$10-Assumptions!$M$48,'Amort Sched - Permanent Loan'!$B$29:$G$3853,6),0)</f>
        <v>0</v>
      </c>
      <c r="EC102" s="102">
        <f>IF(EC87&gt;0,-VLOOKUP(Assumptions!$G$10-Assumptions!$M$48,'Amort Sched - Permanent Loan'!$B$29:$G$3853,6),0)</f>
        <v>0</v>
      </c>
      <c r="ED102" s="102">
        <f>IF(ED87&gt;0,-VLOOKUP(Assumptions!$G$10-Assumptions!$M$48,'Amort Sched - Permanent Loan'!$B$29:$G$3853,6),0)</f>
        <v>0</v>
      </c>
      <c r="EE102" s="102">
        <f>IF(EE87&gt;0,-VLOOKUP(Assumptions!$G$10-Assumptions!$M$48,'Amort Sched - Permanent Loan'!$B$29:$G$3853,6),0)</f>
        <v>0</v>
      </c>
      <c r="EF102" s="102">
        <f>IF(EF87&gt;0,-VLOOKUP(Assumptions!$G$10-Assumptions!$M$48,'Amort Sched - Permanent Loan'!$B$29:$G$3853,6),0)</f>
        <v>0</v>
      </c>
      <c r="EG102" s="102">
        <f>IF(EG87&gt;0,-VLOOKUP(Assumptions!$G$10-Assumptions!$M$48,'Amort Sched - Permanent Loan'!$B$29:$G$3853,6),0)</f>
        <v>0</v>
      </c>
      <c r="EH102" s="102">
        <f>IF(EH87&gt;0,-VLOOKUP(Assumptions!$G$10-Assumptions!$M$48,'Amort Sched - Permanent Loan'!$B$29:$G$3853,6),0)</f>
        <v>0</v>
      </c>
      <c r="EI102" s="102">
        <f>IF(EI87&gt;0,-VLOOKUP(Assumptions!$G$10-Assumptions!$M$48,'Amort Sched - Permanent Loan'!$B$29:$G$3853,6),0)</f>
        <v>0</v>
      </c>
      <c r="EJ102" s="102">
        <f>IF(EJ87&gt;0,-VLOOKUP(Assumptions!$G$10-Assumptions!$M$48,'Amort Sched - Permanent Loan'!$B$29:$G$3853,6),0)</f>
        <v>0</v>
      </c>
      <c r="EK102" s="102">
        <f>IF(EK87&gt;0,-VLOOKUP(Assumptions!$G$10-Assumptions!$M$48,'Amort Sched - Permanent Loan'!$B$29:$G$3853,6),0)</f>
        <v>0</v>
      </c>
      <c r="EL102" s="102">
        <f>IF(EL87&gt;0,-VLOOKUP(Assumptions!$G$10-Assumptions!$M$48,'Amort Sched - Permanent Loan'!$B$29:$G$3853,6),0)</f>
        <v>0</v>
      </c>
      <c r="EM102" s="102">
        <f>IF(EM87&gt;0,-VLOOKUP(Assumptions!$G$10-Assumptions!$M$48,'Amort Sched - Permanent Loan'!$B$29:$G$3853,6),0)</f>
        <v>0</v>
      </c>
      <c r="EN102" s="102">
        <f>IF(EN87&gt;0,-VLOOKUP(Assumptions!$G$10-Assumptions!$M$48,'Amort Sched - Permanent Loan'!$B$29:$G$3853,6),0)</f>
        <v>0</v>
      </c>
      <c r="EO102" s="102">
        <f>IF(EO87&gt;0,-VLOOKUP(Assumptions!$G$10-Assumptions!$M$48,'Amort Sched - Permanent Loan'!$B$29:$G$3853,6),0)</f>
        <v>0</v>
      </c>
      <c r="EP102" s="102">
        <f>IF(EP87&gt;0,-VLOOKUP(Assumptions!$G$10-Assumptions!$M$48,'Amort Sched - Permanent Loan'!$B$29:$G$3853,6),0)</f>
        <v>0</v>
      </c>
      <c r="EQ102" s="102">
        <f>IF(EQ87&gt;0,-VLOOKUP(Assumptions!$G$10-Assumptions!$M$48,'Amort Sched - Permanent Loan'!$B$29:$G$3853,6),0)</f>
        <v>0</v>
      </c>
      <c r="ES102" s="98"/>
      <c r="ET102" s="98"/>
      <c r="EU102" s="98"/>
    </row>
    <row r="103" spans="7:151" ht="15.75">
      <c r="G103" s="101"/>
      <c r="H103" s="125"/>
      <c r="I103" s="95"/>
      <c r="J103" s="102"/>
      <c r="K103" s="102"/>
      <c r="L103" s="102"/>
      <c r="M103" s="102"/>
      <c r="N103" s="585" t="s">
        <v>10</v>
      </c>
      <c r="O103" s="585"/>
      <c r="P103" s="102"/>
      <c r="Q103" s="104"/>
      <c r="R103" s="104"/>
      <c r="S103" s="105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104"/>
      <c r="AW103" s="104"/>
      <c r="AX103" s="104"/>
      <c r="AY103" s="104"/>
      <c r="AZ103" s="104"/>
      <c r="BA103" s="104"/>
      <c r="BB103" s="104"/>
      <c r="BC103" s="104"/>
      <c r="BD103" s="104"/>
      <c r="BE103" s="104"/>
      <c r="BF103" s="104"/>
      <c r="BG103" s="104"/>
      <c r="BH103" s="104"/>
      <c r="BI103" s="104"/>
      <c r="BJ103" s="104"/>
      <c r="BK103" s="104"/>
      <c r="BL103" s="104"/>
      <c r="BM103" s="104"/>
      <c r="BN103" s="104"/>
      <c r="BO103" s="104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104"/>
      <c r="CA103" s="104"/>
      <c r="CB103" s="104"/>
      <c r="CC103" s="104"/>
      <c r="CD103" s="104"/>
      <c r="CE103" s="104"/>
      <c r="CF103" s="104"/>
      <c r="CG103" s="104"/>
      <c r="CH103" s="104"/>
      <c r="CI103" s="104"/>
      <c r="CJ103" s="104"/>
      <c r="CK103" s="104"/>
      <c r="CL103" s="104"/>
      <c r="CM103" s="104"/>
      <c r="CN103" s="104"/>
      <c r="CO103" s="104"/>
      <c r="CP103" s="104"/>
      <c r="CQ103" s="104"/>
      <c r="CR103" s="104"/>
      <c r="CS103" s="104"/>
      <c r="CT103" s="104"/>
      <c r="CU103" s="104"/>
      <c r="CV103" s="104"/>
      <c r="CW103" s="104"/>
      <c r="CX103" s="104"/>
      <c r="CY103" s="104"/>
      <c r="CZ103" s="104"/>
      <c r="DA103" s="104"/>
      <c r="DB103" s="104"/>
      <c r="DC103" s="104"/>
      <c r="DD103" s="104"/>
      <c r="DE103" s="104"/>
      <c r="DF103" s="104"/>
      <c r="DG103" s="104"/>
      <c r="DH103" s="104"/>
      <c r="DI103" s="104"/>
      <c r="DJ103" s="104"/>
      <c r="DK103" s="104"/>
      <c r="DL103" s="104"/>
      <c r="DM103" s="104"/>
      <c r="DN103" s="104"/>
      <c r="DO103" s="104"/>
      <c r="DP103" s="104"/>
      <c r="DQ103" s="104"/>
      <c r="DR103" s="104"/>
      <c r="DS103" s="104"/>
      <c r="DT103" s="104"/>
      <c r="DU103" s="104"/>
      <c r="DV103" s="104"/>
      <c r="DW103" s="104"/>
      <c r="DX103" s="104"/>
      <c r="DY103" s="104"/>
      <c r="DZ103" s="104"/>
      <c r="EA103" s="104"/>
      <c r="EB103" s="104"/>
      <c r="EC103" s="104"/>
      <c r="ED103" s="104"/>
      <c r="EE103" s="104"/>
      <c r="EF103" s="104"/>
      <c r="EG103" s="104"/>
      <c r="EH103" s="104"/>
      <c r="EI103" s="104"/>
      <c r="EJ103" s="104"/>
      <c r="EK103" s="104"/>
      <c r="EL103" s="104"/>
      <c r="EM103" s="104"/>
      <c r="EN103" s="104"/>
      <c r="EO103" s="104"/>
      <c r="EP103" s="104"/>
      <c r="EQ103" s="104"/>
      <c r="ES103" s="98"/>
      <c r="ET103" s="98"/>
      <c r="EU103" s="98"/>
    </row>
    <row r="104" spans="7:151" ht="15.75">
      <c r="G104" s="101" t="s">
        <v>66</v>
      </c>
      <c r="H104" s="117"/>
      <c r="I104" s="95"/>
      <c r="J104" s="102"/>
      <c r="K104" s="102"/>
      <c r="L104" s="102"/>
      <c r="M104" s="102"/>
      <c r="N104" s="102">
        <f ca="1">SUM(O104:EQ104)</f>
        <v>2853811.7115166979</v>
      </c>
      <c r="O104" s="102">
        <f>IF(O10&lt;=Assumptions!$G$10,SUM(O93,O98:O100,O102),0)</f>
        <v>-875536.8</v>
      </c>
      <c r="P104" s="102">
        <f ca="1">IF(P10&lt;=Assumptions!$G$10,SUM(P93,P98:P100,P102),0)</f>
        <v>16044.999558333333</v>
      </c>
      <c r="Q104" s="102">
        <f ca="1">IF(Q10&lt;=Assumptions!$G$10,SUM(Q93,Q98:Q100,Q102),0)</f>
        <v>8544.9995583333366</v>
      </c>
      <c r="R104" s="102">
        <f ca="1">IF(R10&lt;=Assumptions!$G$10,SUM(R93,R98:R100,R102),0)</f>
        <v>-13955.000441666663</v>
      </c>
      <c r="S104" s="102">
        <f ca="1">IF(S10&lt;=Assumptions!$G$10,SUM(S93,S98:S100,S102),0)</f>
        <v>-21455.000441666663</v>
      </c>
      <c r="T104" s="102">
        <f ca="1">IF(T10&lt;=Assumptions!$G$10,SUM(T93,T98:T100,T102),0)</f>
        <v>16145.712058333334</v>
      </c>
      <c r="U104" s="102">
        <f ca="1">IF(U10&lt;=Assumptions!$G$10,SUM(U93,U98:U100,U102),0)</f>
        <v>16548.562058333333</v>
      </c>
      <c r="V104" s="102">
        <f ca="1">IF(V10&lt;=Assumptions!$G$10,SUM(V93,V98:V100,V102),0)</f>
        <v>17052.124558333337</v>
      </c>
      <c r="W104" s="102">
        <f ca="1">IF(W10&lt;=Assumptions!$G$10,SUM(W93,W98:W100,W102),0)</f>
        <v>17052.124558333337</v>
      </c>
      <c r="X104" s="102">
        <f ca="1">IF(X10&lt;=Assumptions!$G$10,SUM(X93,X98:X100,X102),0)</f>
        <v>17052.124558333337</v>
      </c>
      <c r="Y104" s="102">
        <f ca="1">IF(Y10&lt;=Assumptions!$G$10,SUM(Y93,Y98:Y100,Y102),0)</f>
        <v>17052.124558333337</v>
      </c>
      <c r="Z104" s="102">
        <f ca="1">IF(Z10&lt;=Assumptions!$G$10,SUM(Z93,Z98:Z100,Z102),0)</f>
        <v>17052.124558333337</v>
      </c>
      <c r="AA104" s="102">
        <f ca="1">IF(AA10&lt;=Assumptions!$G$10,SUM(AA93,AA98:AA100,AA102),0)</f>
        <v>17052.124558333337</v>
      </c>
      <c r="AB104" s="102">
        <f ca="1">IF(AB10&lt;=Assumptions!$G$10,SUM(AB93,AB98:AB100,AB102),0)</f>
        <v>-20607.420161734113</v>
      </c>
      <c r="AC104" s="102">
        <f ca="1">IF(AC10&lt;=Assumptions!$G$10,SUM(AC93,AC98:AC100,AC102),0)</f>
        <v>-20607.420161734113</v>
      </c>
      <c r="AD104" s="102">
        <f ca="1">IF(AD10&lt;=Assumptions!$G$10,SUM(AD93,AD98:AD100,AD102),0)</f>
        <v>18017.579838265887</v>
      </c>
      <c r="AE104" s="102">
        <f ca="1">IF(AE10&lt;=Assumptions!$G$10,SUM(AE93,AE98:AE100,AE102),0)</f>
        <v>-20063.756217134116</v>
      </c>
      <c r="AF104" s="102">
        <f ca="1">IF(AF10&lt;=Assumptions!$G$10,SUM(AF93,AF98:AF100,AF102),0)</f>
        <v>19104.907727465885</v>
      </c>
      <c r="AG104" s="102">
        <f ca="1">IF(AG10&lt;=Assumptions!$G$10,SUM(AG93,AG98:AG100,AG102),0)</f>
        <v>19104.907727465885</v>
      </c>
      <c r="AH104" s="102">
        <f ca="1">IF(AH10&lt;=Assumptions!$G$10,SUM(AH93,AH98:AH100,AH102),0)</f>
        <v>19648.571672065882</v>
      </c>
      <c r="AI104" s="102">
        <f ca="1">IF(AI10&lt;=Assumptions!$G$10,SUM(AI93,AI98:AI100,AI102),0)</f>
        <v>19648.571672065882</v>
      </c>
      <c r="AJ104" s="102">
        <f ca="1">IF(AJ10&lt;=Assumptions!$G$10,SUM(AJ93,AJ98:AJ100,AJ102),0)</f>
        <v>19648.571672065882</v>
      </c>
      <c r="AK104" s="102">
        <f ca="1">IF(AK10&lt;=Assumptions!$G$10,SUM(AK93,AK98:AK100,AK102),0)</f>
        <v>19648.571672065882</v>
      </c>
      <c r="AL104" s="102">
        <f ca="1">IF(AL10&lt;=Assumptions!$G$10,SUM(AL93,AL98:AL100,AL102),0)</f>
        <v>19648.571672065882</v>
      </c>
      <c r="AM104" s="102">
        <f ca="1">IF(AM10&lt;=Assumptions!$G$10,SUM(AM93,AM98:AM100,AM102),0)</f>
        <v>19648.571672065882</v>
      </c>
      <c r="AN104" s="102">
        <f ca="1">IF(AN10&lt;=Assumptions!$G$10,SUM(AN93,AN98:AN100,AN102),0)</f>
        <v>20695.926482111317</v>
      </c>
      <c r="AO104" s="102">
        <f ca="1">IF(AO10&lt;=Assumptions!$G$10,SUM(AO93,AO98:AO100,AO102),0)</f>
        <v>20695.926482111317</v>
      </c>
      <c r="AP104" s="102">
        <f ca="1">IF(AP10&lt;=Assumptions!$G$10,SUM(AP93,AP98:AP100,AP102),0)</f>
        <v>20695.926482111317</v>
      </c>
      <c r="AQ104" s="102">
        <f ca="1">IF(AQ10&lt;=Assumptions!$G$10,SUM(AQ93,AQ98:AQ100,AQ102),0)</f>
        <v>-11131.073517888683</v>
      </c>
      <c r="AR104" s="102">
        <f ca="1">IF(AR10&lt;=Assumptions!$G$10,SUM(AR93,AR98:AR100,AR102),0)</f>
        <v>20695.926482111317</v>
      </c>
      <c r="AS104" s="102">
        <f ca="1">IF(AS10&lt;=Assumptions!$G$10,SUM(AS93,AS98:AS100,AS102),0)</f>
        <v>12739.176482111317</v>
      </c>
      <c r="AT104" s="102">
        <f ca="1">IF(AT10&lt;=Assumptions!$G$10,SUM(AT93,AT98:AT100,AT102),0)</f>
        <v>21150.902100208274</v>
      </c>
      <c r="AU104" s="102">
        <f ca="1">IF(AU10&lt;=Assumptions!$G$10,SUM(AU93,AU98:AU100,AU102),0)</f>
        <v>21150.902100208274</v>
      </c>
      <c r="AV104" s="102">
        <f ca="1">IF(AV10&lt;=Assumptions!$G$10,SUM(AV93,AV98:AV100,AV102),0)</f>
        <v>21264.646004732516</v>
      </c>
      <c r="AW104" s="102">
        <f ca="1">IF(AW10&lt;=Assumptions!$G$10,SUM(AW93,AW98:AW100,AW102),0)</f>
        <v>21264.646004732516</v>
      </c>
      <c r="AX104" s="102">
        <f ca="1">IF(AX10&lt;=Assumptions!$G$10,SUM(AX93,AX98:AX100,AX102),0)</f>
        <v>21264.646004732516</v>
      </c>
      <c r="AY104" s="102">
        <f ca="1">IF(AY10&lt;=Assumptions!$G$10,SUM(AY93,AY98:AY100,AY102),0)</f>
        <v>21264.646004732516</v>
      </c>
      <c r="AZ104" s="102">
        <f ca="1">IF(AZ10&lt;=Assumptions!$G$10,SUM(AZ93,AZ98:AZ100,AZ102),0)</f>
        <v>21988.804600566182</v>
      </c>
      <c r="BA104" s="102">
        <f ca="1">IF(BA10&lt;=Assumptions!$G$10,SUM(BA93,BA98:BA100,BA102),0)</f>
        <v>21988.804600566182</v>
      </c>
      <c r="BB104" s="102">
        <f ca="1">IF(BB10&lt;=Assumptions!$G$10,SUM(BB93,BB98:BB100,BB102),0)</f>
        <v>21988.804600566182</v>
      </c>
      <c r="BC104" s="102">
        <f ca="1">IF(BC10&lt;=Assumptions!$G$10,SUM(BC93,BC98:BC100,BC102),0)</f>
        <v>21988.804600566182</v>
      </c>
      <c r="BD104" s="102">
        <f ca="1">IF(BD10&lt;=Assumptions!$G$10,SUM(BD93,BD98:BD100,BD102),0)</f>
        <v>21988.804600566182</v>
      </c>
      <c r="BE104" s="102">
        <f ca="1">IF(BE10&lt;=Assumptions!$G$10,SUM(BE93,BE98:BE100,BE102),0)</f>
        <v>21988.804600566182</v>
      </c>
      <c r="BF104" s="102">
        <f ca="1">IF(BF10&lt;=Assumptions!$G$10,SUM(BF93,BF98:BF100,BF102),0)</f>
        <v>21988.804600566182</v>
      </c>
      <c r="BG104" s="102">
        <f ca="1">IF(BG10&lt;=Assumptions!$G$10,SUM(BG93,BG98:BG100,BG102),0)</f>
        <v>21988.804600566182</v>
      </c>
      <c r="BH104" s="102">
        <f ca="1">IF(BH10&lt;=Assumptions!$G$10,SUM(BH93,BH98:BH100,BH102),0)</f>
        <v>21988.804600566182</v>
      </c>
      <c r="BI104" s="102">
        <f ca="1">IF(BI10&lt;=Assumptions!$G$10,SUM(BI93,BI98:BI100,BI102),0)</f>
        <v>21988.804600566182</v>
      </c>
      <c r="BJ104" s="102">
        <f ca="1">IF(BJ10&lt;=Assumptions!$G$10,SUM(BJ93,BJ98:BJ100,BJ102),0)</f>
        <v>21988.804600566182</v>
      </c>
      <c r="BK104" s="102">
        <f ca="1">IF(BK10&lt;=Assumptions!$G$10,SUM(BK93,BK98:BK100,BK102),0)</f>
        <v>834372.81214056094</v>
      </c>
      <c r="BL104" s="102">
        <f ca="1">IF(BL10&lt;=Assumptions!$G$10,SUM(BL93,BL98:BL100,BL102),0)</f>
        <v>6637.7828502562352</v>
      </c>
      <c r="BM104" s="102">
        <f ca="1">IF(BM10&lt;=Assumptions!$G$10,SUM(BM93,BM98:BM100,BM102),0)</f>
        <v>6637.7828502562352</v>
      </c>
      <c r="BN104" s="102">
        <f ca="1">IF(BN10&lt;=Assumptions!$G$10,SUM(BN93,BN98:BN100,BN102),0)</f>
        <v>6637.7828502562352</v>
      </c>
      <c r="BO104" s="102">
        <f ca="1">IF(BO10&lt;=Assumptions!$G$10,SUM(BO93,BO98:BO100,BO102),0)</f>
        <v>6637.7828502562352</v>
      </c>
      <c r="BP104" s="102">
        <f ca="1">IF(BP10&lt;=Assumptions!$G$10,SUM(BP93,BP98:BP100,BP102),0)</f>
        <v>6637.7828502562352</v>
      </c>
      <c r="BQ104" s="102">
        <f ca="1">IF(BQ10&lt;=Assumptions!$G$10,SUM(BQ93,BQ98:BQ100,BQ102),0)</f>
        <v>6637.7828502562352</v>
      </c>
      <c r="BR104" s="102">
        <f ca="1">IF(BR10&lt;=Assumptions!$G$10,SUM(BR93,BR98:BR100,BR102),0)</f>
        <v>6637.7828502562352</v>
      </c>
      <c r="BS104" s="102">
        <f ca="1">IF(BS10&lt;=Assumptions!$G$10,SUM(BS93,BS98:BS100,BS102),0)</f>
        <v>6637.7828502562352</v>
      </c>
      <c r="BT104" s="102">
        <f ca="1">IF(BT10&lt;=Assumptions!$G$10,SUM(BT93,BT98:BT100,BT102),0)</f>
        <v>6637.7828502562352</v>
      </c>
      <c r="BU104" s="102">
        <f ca="1">IF(BU10&lt;=Assumptions!$G$10,SUM(BU93,BU98:BU100,BU102),0)</f>
        <v>6637.7828502562352</v>
      </c>
      <c r="BV104" s="102">
        <f ca="1">IF(BV10&lt;=Assumptions!$G$10,SUM(BV93,BV98:BV100,BV102),0)</f>
        <v>6637.7828502562352</v>
      </c>
      <c r="BW104" s="102">
        <f ca="1">IF(BW10&lt;=Assumptions!$G$10,SUM(BW93,BW98:BW100,BW102),0)</f>
        <v>6637.7828502562352</v>
      </c>
      <c r="BX104" s="102">
        <f ca="1">IF(BX10&lt;=Assumptions!$G$10,SUM(BX93,BX98:BX100,BX102),0)</f>
        <v>7314.5649789194485</v>
      </c>
      <c r="BY104" s="102">
        <f ca="1">IF(BY10&lt;=Assumptions!$G$10,SUM(BY93,BY98:BY100,BY102),0)</f>
        <v>7314.5649789194485</v>
      </c>
      <c r="BZ104" s="102">
        <f ca="1">IF(BZ10&lt;=Assumptions!$G$10,SUM(BZ93,BZ98:BZ100,BZ102),0)</f>
        <v>7314.5649789194485</v>
      </c>
      <c r="CA104" s="102">
        <f ca="1">IF(CA10&lt;=Assumptions!$G$10,SUM(CA93,CA98:CA100,CA102),0)</f>
        <v>7314.5649789194485</v>
      </c>
      <c r="CB104" s="102">
        <f ca="1">IF(CB10&lt;=Assumptions!$G$10,SUM(CB93,CB98:CB100,CB102),0)</f>
        <v>7314.5649789194485</v>
      </c>
      <c r="CC104" s="102">
        <f ca="1">IF(CC10&lt;=Assumptions!$G$10,SUM(CC93,CC98:CC100,CC102),0)</f>
        <v>7314.5649789194485</v>
      </c>
      <c r="CD104" s="102">
        <f ca="1">IF(CD10&lt;=Assumptions!$G$10,SUM(CD93,CD98:CD100,CD102),0)</f>
        <v>7314.5649789194485</v>
      </c>
      <c r="CE104" s="102">
        <f ca="1">IF(CE10&lt;=Assumptions!$G$10,SUM(CE93,CE98:CE100,CE102),0)</f>
        <v>7314.5649789194485</v>
      </c>
      <c r="CF104" s="102">
        <f ca="1">IF(CF10&lt;=Assumptions!$G$10,SUM(CF93,CF98:CF100,CF102),0)</f>
        <v>7314.5649789194485</v>
      </c>
      <c r="CG104" s="102">
        <f ca="1">IF(CG10&lt;=Assumptions!$G$10,SUM(CG93,CG98:CG100,CG102),0)</f>
        <v>7314.5649789194485</v>
      </c>
      <c r="CH104" s="102">
        <f ca="1">IF(CH10&lt;=Assumptions!$G$10,SUM(CH93,CH98:CH100,CH102),0)</f>
        <v>7314.5649789194485</v>
      </c>
      <c r="CI104" s="102">
        <f ca="1">IF(CI10&lt;=Assumptions!$G$10,SUM(CI93,CI98:CI100,CI102),0)</f>
        <v>7314.5649789194485</v>
      </c>
      <c r="CJ104" s="102">
        <f ca="1">IF(CJ10&lt;=Assumptions!$G$10,SUM(CJ93,CJ98:CJ100,CJ102),0)</f>
        <v>8011.6505714425602</v>
      </c>
      <c r="CK104" s="102">
        <f ca="1">IF(CK10&lt;=Assumptions!$G$10,SUM(CK93,CK98:CK100,CK102),0)</f>
        <v>8011.6505714425602</v>
      </c>
      <c r="CL104" s="102">
        <f ca="1">IF(CL10&lt;=Assumptions!$G$10,SUM(CL93,CL98:CL100,CL102),0)</f>
        <v>8011.6505714425602</v>
      </c>
      <c r="CM104" s="102">
        <f ca="1">IF(CM10&lt;=Assumptions!$G$10,SUM(CM93,CM98:CM100,CM102),0)</f>
        <v>8011.6505714425602</v>
      </c>
      <c r="CN104" s="102">
        <f ca="1">IF(CN10&lt;=Assumptions!$G$10,SUM(CN93,CN98:CN100,CN102),0)</f>
        <v>8011.6505714425602</v>
      </c>
      <c r="CO104" s="102">
        <f ca="1">IF(CO10&lt;=Assumptions!$G$10,SUM(CO93,CO98:CO100,CO102),0)</f>
        <v>8011.6505714425602</v>
      </c>
      <c r="CP104" s="102">
        <f ca="1">IF(CP10&lt;=Assumptions!$G$10,SUM(CP93,CP98:CP100,CP102),0)</f>
        <v>8011.6505714425602</v>
      </c>
      <c r="CQ104" s="102">
        <f ca="1">IF(CQ10&lt;=Assumptions!$G$10,SUM(CQ93,CQ98:CQ100,CQ102),0)</f>
        <v>8011.6505714425602</v>
      </c>
      <c r="CR104" s="102">
        <f ca="1">IF(CR10&lt;=Assumptions!$G$10,SUM(CR93,CR98:CR100,CR102),0)</f>
        <v>8011.6505714425602</v>
      </c>
      <c r="CS104" s="102">
        <f ca="1">IF(CS10&lt;=Assumptions!$G$10,SUM(CS93,CS98:CS100,CS102),0)</f>
        <v>8011.6505714425602</v>
      </c>
      <c r="CT104" s="102">
        <f ca="1">IF(CT10&lt;=Assumptions!$G$10,SUM(CT93,CT98:CT100,CT102),0)</f>
        <v>8011.6505714425602</v>
      </c>
      <c r="CU104" s="102">
        <f ca="1">IF(CU10&lt;=Assumptions!$G$10,SUM(CU93,CU98:CU100,CU102),0)</f>
        <v>8011.6505714425602</v>
      </c>
      <c r="CV104" s="102">
        <f ca="1">IF(CV10&lt;=Assumptions!$G$10,SUM(CV93,CV98:CV100,CV102),0)</f>
        <v>8729.6487317413576</v>
      </c>
      <c r="CW104" s="102">
        <f ca="1">IF(CW10&lt;=Assumptions!$G$10,SUM(CW93,CW98:CW100,CW102),0)</f>
        <v>8729.6487317413576</v>
      </c>
      <c r="CX104" s="102">
        <f ca="1">IF(CX10&lt;=Assumptions!$G$10,SUM(CX93,CX98:CX100,CX102),0)</f>
        <v>8729.6487317413576</v>
      </c>
      <c r="CY104" s="102">
        <f ca="1">IF(CY10&lt;=Assumptions!$G$10,SUM(CY93,CY98:CY100,CY102),0)</f>
        <v>8729.6487317413576</v>
      </c>
      <c r="CZ104" s="102">
        <f ca="1">IF(CZ10&lt;=Assumptions!$G$10,SUM(CZ93,CZ98:CZ100,CZ102),0)</f>
        <v>8729.6487317413576</v>
      </c>
      <c r="DA104" s="102">
        <f ca="1">IF(DA10&lt;=Assumptions!$G$10,SUM(DA93,DA98:DA100,DA102),0)</f>
        <v>8729.6487317413576</v>
      </c>
      <c r="DB104" s="102">
        <f ca="1">IF(DB10&lt;=Assumptions!$G$10,SUM(DB93,DB98:DB100,DB102),0)</f>
        <v>8729.6487317413576</v>
      </c>
      <c r="DC104" s="102">
        <f ca="1">IF(DC10&lt;=Assumptions!$G$10,SUM(DC93,DC98:DC100,DC102),0)</f>
        <v>8729.6487317413576</v>
      </c>
      <c r="DD104" s="102">
        <f ca="1">IF(DD10&lt;=Assumptions!$G$10,SUM(DD93,DD98:DD100,DD102),0)</f>
        <v>8729.6487317413576</v>
      </c>
      <c r="DE104" s="102">
        <f ca="1">IF(DE10&lt;=Assumptions!$G$10,SUM(DE93,DE98:DE100,DE102),0)</f>
        <v>8729.6487317413576</v>
      </c>
      <c r="DF104" s="102">
        <f ca="1">IF(DF10&lt;=Assumptions!$G$10,SUM(DF93,DF98:DF100,DF102),0)</f>
        <v>8729.6487317413576</v>
      </c>
      <c r="DG104" s="102">
        <f ca="1">IF(DG10&lt;=Assumptions!$G$10,SUM(DG93,DG98:DG100,DG102),0)</f>
        <v>1844725.286316331</v>
      </c>
      <c r="DH104" s="102">
        <f>IF(DH10&lt;=Assumptions!$G$10,SUM(DH93,DH98:DH100,DH102),0)</f>
        <v>0</v>
      </c>
      <c r="DI104" s="102">
        <f>IF(DI10&lt;=Assumptions!$G$10,SUM(DI93,DI98:DI100,DI102),0)</f>
        <v>0</v>
      </c>
      <c r="DJ104" s="102">
        <f>IF(DJ10&lt;=Assumptions!$G$10,SUM(DJ93,DJ98:DJ100,DJ102),0)</f>
        <v>0</v>
      </c>
      <c r="DK104" s="102">
        <f>IF(DK10&lt;=Assumptions!$G$10,SUM(DK93,DK98:DK100,DK102),0)</f>
        <v>0</v>
      </c>
      <c r="DL104" s="102">
        <f>IF(DL10&lt;=Assumptions!$G$10,SUM(DL93,DL98:DL100,DL102),0)</f>
        <v>0</v>
      </c>
      <c r="DM104" s="102">
        <f>IF(DM10&lt;=Assumptions!$G$10,SUM(DM93,DM98:DM100,DM102),0)</f>
        <v>0</v>
      </c>
      <c r="DN104" s="102">
        <f>IF(DN10&lt;=Assumptions!$G$10,SUM(DN93,DN98:DN100,DN102),0)</f>
        <v>0</v>
      </c>
      <c r="DO104" s="102">
        <f>IF(DO10&lt;=Assumptions!$G$10,SUM(DO93,DO98:DO100,DO102),0)</f>
        <v>0</v>
      </c>
      <c r="DP104" s="102">
        <f>IF(DP10&lt;=Assumptions!$G$10,SUM(DP93,DP98:DP100,DP102),0)</f>
        <v>0</v>
      </c>
      <c r="DQ104" s="102">
        <f>IF(DQ10&lt;=Assumptions!$G$10,SUM(DQ93,DQ98:DQ100,DQ102),0)</f>
        <v>0</v>
      </c>
      <c r="DR104" s="102">
        <f>IF(DR10&lt;=Assumptions!$G$10,SUM(DR93,DR98:DR100,DR102),0)</f>
        <v>0</v>
      </c>
      <c r="DS104" s="102">
        <f>IF(DS10&lt;=Assumptions!$G$10,SUM(DS93,DS98:DS100,DS102),0)</f>
        <v>0</v>
      </c>
      <c r="DT104" s="102">
        <f>IF(DT10&lt;=Assumptions!$G$10,SUM(DT93,DT98:DT100,DT102),0)</f>
        <v>0</v>
      </c>
      <c r="DU104" s="102">
        <f>IF(DU10&lt;=Assumptions!$G$10,SUM(DU93,DU98:DU100,DU102),0)</f>
        <v>0</v>
      </c>
      <c r="DV104" s="102">
        <f>IF(DV10&lt;=Assumptions!$G$10,SUM(DV93,DV98:DV100,DV102),0)</f>
        <v>0</v>
      </c>
      <c r="DW104" s="102">
        <f>IF(DW10&lt;=Assumptions!$G$10,SUM(DW93,DW98:DW100,DW102),0)</f>
        <v>0</v>
      </c>
      <c r="DX104" s="102">
        <f>IF(DX10&lt;=Assumptions!$G$10,SUM(DX93,DX98:DX100,DX102),0)</f>
        <v>0</v>
      </c>
      <c r="DY104" s="102">
        <f>IF(DY10&lt;=Assumptions!$G$10,SUM(DY93,DY98:DY100,DY102),0)</f>
        <v>0</v>
      </c>
      <c r="DZ104" s="102">
        <f>IF(DZ10&lt;=Assumptions!$G$10,SUM(DZ93,DZ98:DZ100,DZ102),0)</f>
        <v>0</v>
      </c>
      <c r="EA104" s="102">
        <f>IF(EA10&lt;=Assumptions!$G$10,SUM(EA93,EA98:EA100,EA102),0)</f>
        <v>0</v>
      </c>
      <c r="EB104" s="102">
        <f>IF(EB10&lt;=Assumptions!$G$10,SUM(EB93,EB98:EB100,EB102),0)</f>
        <v>0</v>
      </c>
      <c r="EC104" s="102">
        <f>IF(EC10&lt;=Assumptions!$G$10,SUM(EC93,EC98:EC100,EC102),0)</f>
        <v>0</v>
      </c>
      <c r="ED104" s="102">
        <f>IF(ED10&lt;=Assumptions!$G$10,SUM(ED93,ED98:ED100,ED102),0)</f>
        <v>0</v>
      </c>
      <c r="EE104" s="102">
        <f>IF(EE10&lt;=Assumptions!$G$10,SUM(EE93,EE98:EE100,EE102),0)</f>
        <v>0</v>
      </c>
      <c r="EF104" s="102">
        <f>IF(EF10&lt;=Assumptions!$G$10,SUM(EF93,EF98:EF100,EF102),0)</f>
        <v>0</v>
      </c>
      <c r="EG104" s="102">
        <f>IF(EG10&lt;=Assumptions!$G$10,SUM(EG93,EG98:EG100,EG102),0)</f>
        <v>0</v>
      </c>
      <c r="EH104" s="102">
        <f>IF(EH10&lt;=Assumptions!$G$10,SUM(EH93,EH98:EH100,EH102),0)</f>
        <v>0</v>
      </c>
      <c r="EI104" s="102">
        <f>IF(EI10&lt;=Assumptions!$G$10,SUM(EI93,EI98:EI100,EI102),0)</f>
        <v>0</v>
      </c>
      <c r="EJ104" s="102">
        <f>IF(EJ10&lt;=Assumptions!$G$10,SUM(EJ93,EJ98:EJ100,EJ102),0)</f>
        <v>0</v>
      </c>
      <c r="EK104" s="102">
        <f>IF(EK10&lt;=Assumptions!$G$10,SUM(EK93,EK98:EK100,EK102),0)</f>
        <v>0</v>
      </c>
      <c r="EL104" s="102">
        <f>IF(EL10&lt;=Assumptions!$G$10,SUM(EL93,EL98:EL100,EL102),0)</f>
        <v>0</v>
      </c>
      <c r="EM104" s="102">
        <f>IF(EM10&lt;=Assumptions!$G$10,SUM(EM93,EM98:EM100,EM102),0)</f>
        <v>0</v>
      </c>
      <c r="EN104" s="102">
        <f>IF(EN10&lt;=Assumptions!$G$10,SUM(EN93,EN98:EN100,EN102),0)</f>
        <v>0</v>
      </c>
      <c r="EO104" s="102">
        <f>IF(EO10&lt;=Assumptions!$G$10,SUM(EO93,EO98:EO100,EO102),0)</f>
        <v>0</v>
      </c>
      <c r="EP104" s="102">
        <f>IF(EP10&lt;=Assumptions!$G$10,SUM(EP93,EP98:EP100,EP102),0)</f>
        <v>0</v>
      </c>
      <c r="EQ104" s="102">
        <f>IF(EQ10&lt;=Assumptions!$G$10,SUM(EQ93,EQ98:EQ100,EQ102),0)</f>
        <v>0</v>
      </c>
      <c r="ES104" s="98"/>
      <c r="ET104" s="98"/>
      <c r="EU104" s="98"/>
    </row>
    <row r="105" spans="7:151" ht="16.5" thickBot="1">
      <c r="G105" s="101"/>
      <c r="H105" s="117"/>
      <c r="I105" s="95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2"/>
      <c r="CY105" s="102"/>
      <c r="CZ105" s="102"/>
      <c r="DA105" s="102"/>
      <c r="DB105" s="102"/>
      <c r="DC105" s="102"/>
      <c r="DD105" s="102"/>
      <c r="DE105" s="102"/>
      <c r="DF105" s="102"/>
      <c r="DG105" s="102"/>
      <c r="DH105" s="102"/>
      <c r="DI105" s="102"/>
      <c r="DJ105" s="102"/>
      <c r="DK105" s="102"/>
      <c r="DL105" s="102"/>
      <c r="DM105" s="102"/>
      <c r="DN105" s="102"/>
      <c r="DO105" s="102"/>
      <c r="DP105" s="102"/>
      <c r="DQ105" s="102"/>
      <c r="DR105" s="102"/>
      <c r="DS105" s="102"/>
      <c r="DT105" s="102"/>
      <c r="DU105" s="102"/>
      <c r="DV105" s="102"/>
      <c r="DW105" s="102"/>
      <c r="DX105" s="102"/>
      <c r="DY105" s="102"/>
      <c r="DZ105" s="102"/>
      <c r="EA105" s="102"/>
      <c r="EB105" s="102"/>
      <c r="EC105" s="102"/>
      <c r="ED105" s="102"/>
      <c r="EE105" s="102"/>
      <c r="EF105" s="102"/>
      <c r="EG105" s="102"/>
      <c r="EH105" s="102"/>
      <c r="EI105" s="102"/>
      <c r="EJ105" s="102"/>
      <c r="EK105" s="102"/>
      <c r="EL105" s="102"/>
      <c r="EM105" s="102"/>
      <c r="EN105" s="102"/>
      <c r="EO105" s="102"/>
      <c r="EP105" s="102"/>
      <c r="EQ105" s="102"/>
      <c r="ES105" s="98"/>
      <c r="ET105" s="98"/>
      <c r="EU105" s="98"/>
    </row>
    <row r="106" spans="7:151" ht="16.5" thickBot="1">
      <c r="G106" s="369" t="s">
        <v>177</v>
      </c>
      <c r="H106" s="370"/>
      <c r="I106" s="435">
        <f ca="1">(IRR(O104:EQ104,0.2/12)+1)^12-1</f>
        <v>0.33136282069738199</v>
      </c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2"/>
      <c r="CN106" s="102"/>
      <c r="CO106" s="102"/>
      <c r="CP106" s="102"/>
      <c r="CQ106" s="102"/>
      <c r="CR106" s="102"/>
      <c r="CS106" s="102"/>
      <c r="CT106" s="102"/>
      <c r="CU106" s="102"/>
      <c r="CV106" s="102"/>
      <c r="CW106" s="102"/>
      <c r="CX106" s="102"/>
      <c r="CY106" s="102"/>
      <c r="CZ106" s="102"/>
      <c r="DA106" s="102"/>
      <c r="DB106" s="102"/>
      <c r="DC106" s="102"/>
      <c r="DD106" s="102"/>
      <c r="DE106" s="102"/>
      <c r="DF106" s="102"/>
      <c r="DG106" s="102"/>
      <c r="DH106" s="102"/>
      <c r="DI106" s="102"/>
      <c r="DJ106" s="102"/>
      <c r="DK106" s="102"/>
      <c r="DL106" s="102"/>
      <c r="DM106" s="102"/>
      <c r="DN106" s="102"/>
      <c r="DO106" s="102"/>
      <c r="DP106" s="102"/>
      <c r="DQ106" s="102"/>
      <c r="DR106" s="102"/>
      <c r="DS106" s="102"/>
      <c r="DT106" s="102"/>
      <c r="DU106" s="102"/>
      <c r="DV106" s="102"/>
      <c r="DW106" s="102"/>
      <c r="DX106" s="102"/>
      <c r="DY106" s="102"/>
      <c r="DZ106" s="102"/>
      <c r="EA106" s="102"/>
      <c r="EB106" s="102"/>
      <c r="EC106" s="102"/>
      <c r="ED106" s="102"/>
      <c r="EE106" s="102"/>
      <c r="EF106" s="102"/>
      <c r="EG106" s="102"/>
      <c r="EH106" s="102"/>
      <c r="EI106" s="102"/>
      <c r="EJ106" s="102"/>
      <c r="EK106" s="102"/>
      <c r="EL106" s="102"/>
      <c r="EM106" s="102"/>
      <c r="EN106" s="102"/>
      <c r="EO106" s="102"/>
      <c r="EP106" s="102"/>
      <c r="EQ106" s="102"/>
      <c r="ES106" s="98"/>
      <c r="ET106" s="98"/>
      <c r="EU106" s="98"/>
    </row>
    <row r="107" spans="7:151" ht="15.75">
      <c r="G107" s="101"/>
      <c r="H107" s="117"/>
      <c r="I107" s="95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S107" s="102"/>
      <c r="BT107" s="102"/>
      <c r="BU107" s="102"/>
      <c r="BV107" s="102"/>
      <c r="BW107" s="102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102"/>
      <c r="CH107" s="102"/>
      <c r="CI107" s="102"/>
      <c r="CJ107" s="102"/>
      <c r="CK107" s="102"/>
      <c r="CL107" s="102"/>
      <c r="CM107" s="102"/>
      <c r="CN107" s="102"/>
      <c r="CO107" s="102"/>
      <c r="CP107" s="102"/>
      <c r="CQ107" s="102"/>
      <c r="CR107" s="102"/>
      <c r="CS107" s="102"/>
      <c r="CT107" s="102"/>
      <c r="CU107" s="102"/>
      <c r="CV107" s="102"/>
      <c r="CW107" s="102"/>
      <c r="CX107" s="102"/>
      <c r="CY107" s="102"/>
      <c r="CZ107" s="102"/>
      <c r="DA107" s="102"/>
      <c r="DB107" s="102"/>
      <c r="DC107" s="102"/>
      <c r="DD107" s="102"/>
      <c r="DE107" s="102"/>
      <c r="DF107" s="102"/>
      <c r="DG107" s="102"/>
      <c r="DH107" s="102"/>
      <c r="DI107" s="102"/>
      <c r="DJ107" s="102"/>
      <c r="DK107" s="102"/>
      <c r="DL107" s="102"/>
      <c r="DM107" s="102"/>
      <c r="DN107" s="102"/>
      <c r="DO107" s="102"/>
      <c r="DP107" s="102"/>
      <c r="DQ107" s="102"/>
      <c r="DR107" s="102"/>
      <c r="DS107" s="102"/>
      <c r="DT107" s="102"/>
      <c r="DU107" s="102"/>
      <c r="DV107" s="102"/>
      <c r="DW107" s="102"/>
      <c r="DX107" s="102"/>
      <c r="DY107" s="102"/>
      <c r="DZ107" s="102"/>
      <c r="EA107" s="102"/>
      <c r="EB107" s="102"/>
      <c r="EC107" s="102"/>
      <c r="ED107" s="102"/>
      <c r="EE107" s="102"/>
      <c r="EF107" s="102"/>
      <c r="EG107" s="102"/>
      <c r="EH107" s="102"/>
      <c r="EI107" s="102"/>
      <c r="EJ107" s="102"/>
      <c r="EK107" s="102"/>
      <c r="EL107" s="102"/>
      <c r="EM107" s="102"/>
      <c r="EN107" s="102"/>
      <c r="EO107" s="102"/>
      <c r="EP107" s="102"/>
      <c r="EQ107" s="102"/>
      <c r="ES107" s="98"/>
      <c r="ET107" s="98"/>
      <c r="EU107" s="98"/>
    </row>
    <row r="108" spans="7:151" ht="15.75">
      <c r="G108" s="145" t="s">
        <v>209</v>
      </c>
      <c r="H108" s="117"/>
      <c r="I108" s="95"/>
      <c r="J108" s="102"/>
      <c r="K108" s="102"/>
      <c r="L108" s="102"/>
      <c r="M108" s="102"/>
      <c r="N108" s="102"/>
      <c r="O108" s="181">
        <f>IF(O10&gt;Assumptions!$G$10,0,1)*O75*12/Assumptions!$P$37</f>
        <v>0</v>
      </c>
      <c r="P108" s="181">
        <f ca="1">IF(P10&gt;Assumptions!$G$10,0,1)*P75*12/Assumptions!$P$37</f>
        <v>6.7484108587221495E-2</v>
      </c>
      <c r="Q108" s="181">
        <f ca="1">IF(Q10&gt;Assumptions!$G$10,0,1)*Q75*12/Assumptions!$P$37</f>
        <v>6.7484108587221495E-2</v>
      </c>
      <c r="R108" s="181">
        <f ca="1">IF(R10&gt;Assumptions!$G$10,0,1)*R75*12/Assumptions!$P$37</f>
        <v>6.7484108587221495E-2</v>
      </c>
      <c r="S108" s="4">
        <f ca="1">IF(S10&gt;Assumptions!$G$10,0,1)*S75*12/Assumptions!$P$37</f>
        <v>6.7484108587221495E-2</v>
      </c>
      <c r="T108" s="4">
        <f ca="1">IF(T10&gt;Assumptions!$G$10,0,1)*T75*12/Assumptions!$P$37</f>
        <v>6.7905564025632983E-2</v>
      </c>
      <c r="U108" s="4">
        <f ca="1">IF(U10&gt;Assumptions!$G$10,0,1)*U75*12/Assumptions!$P$37</f>
        <v>6.9591385779278911E-2</v>
      </c>
      <c r="V108" s="4">
        <f ca="1">IF(V10&gt;Assumptions!$G$10,0,1)*V75*12/Assumptions!$P$37</f>
        <v>7.1698662971336341E-2</v>
      </c>
      <c r="W108" s="4">
        <f ca="1">IF(W10&gt;Assumptions!$G$10,0,1)*W75*12/Assumptions!$P$37</f>
        <v>7.1698662971336341E-2</v>
      </c>
      <c r="X108" s="4">
        <f ca="1">IF(X10&gt;Assumptions!$G$10,0,1)*X75*12/Assumptions!$P$37</f>
        <v>7.1698662971336341E-2</v>
      </c>
      <c r="Y108" s="4">
        <f ca="1">IF(Y10&gt;Assumptions!$G$10,0,1)*Y75*12/Assumptions!$P$37</f>
        <v>7.1698662971336341E-2</v>
      </c>
      <c r="Z108" s="4">
        <f ca="1">IF(Z10&gt;Assumptions!$G$10,0,1)*Z75*12/Assumptions!$P$37</f>
        <v>7.1698662971336341E-2</v>
      </c>
      <c r="AA108" s="4">
        <f ca="1">IF(AA10&gt;Assumptions!$G$10,0,1)*AA75*12/Assumptions!$P$37</f>
        <v>7.1698662971336341E-2</v>
      </c>
      <c r="AB108" s="4">
        <f ca="1">IF(AB10&gt;Assumptions!$G$10,0,1)*AB75*12/Assumptions!$P$37</f>
        <v>7.5750110530689752E-2</v>
      </c>
      <c r="AC108" s="4">
        <f ca="1">IF(AC10&gt;Assumptions!$G$10,0,1)*AC75*12/Assumptions!$P$37</f>
        <v>7.5750110530689752E-2</v>
      </c>
      <c r="AD108" s="4">
        <f ca="1">IF(AD10&gt;Assumptions!$G$10,0,1)*AD75*12/Assumptions!$P$37</f>
        <v>7.5750110530689752E-2</v>
      </c>
      <c r="AE108" s="4">
        <f ca="1">IF(AE10&gt;Assumptions!$G$10,0,1)*AE75*12/Assumptions!$P$37</f>
        <v>7.8025260712209166E-2</v>
      </c>
      <c r="AF108" s="4">
        <f ca="1">IF(AF10&gt;Assumptions!$G$10,0,1)*AF75*12/Assumptions!$P$37</f>
        <v>8.0300410893728594E-2</v>
      </c>
      <c r="AG108" s="4">
        <f ca="1">IF(AG10&gt;Assumptions!$G$10,0,1)*AG75*12/Assumptions!$P$37</f>
        <v>8.0300410893728594E-2</v>
      </c>
      <c r="AH108" s="4">
        <f ca="1">IF(AH10&gt;Assumptions!$G$10,0,1)*AH75*12/Assumptions!$P$37</f>
        <v>8.2575561075247994E-2</v>
      </c>
      <c r="AI108" s="4">
        <f ca="1">IF(AI10&gt;Assumptions!$G$10,0,1)*AI75*12/Assumptions!$P$37</f>
        <v>8.2575561075247994E-2</v>
      </c>
      <c r="AJ108" s="4">
        <f ca="1">IF(AJ10&gt;Assumptions!$G$10,0,1)*AJ75*12/Assumptions!$P$37</f>
        <v>8.2575561075247994E-2</v>
      </c>
      <c r="AK108" s="4">
        <f ca="1">IF(AK10&gt;Assumptions!$G$10,0,1)*AK75*12/Assumptions!$P$37</f>
        <v>8.2575561075247994E-2</v>
      </c>
      <c r="AL108" s="4">
        <f ca="1">IF(AL10&gt;Assumptions!$G$10,0,1)*AL75*12/Assumptions!$P$37</f>
        <v>8.2575561075247994E-2</v>
      </c>
      <c r="AM108" s="4">
        <f ca="1">IF(AM10&gt;Assumptions!$G$10,0,1)*AM75*12/Assumptions!$P$37</f>
        <v>8.2575561075247994E-2</v>
      </c>
      <c r="AN108" s="4">
        <f ca="1">IF(AN10&gt;Assumptions!$G$10,0,1)*AN75*12/Assumptions!$P$37</f>
        <v>8.6970089574744849E-2</v>
      </c>
      <c r="AO108" s="4">
        <f ca="1">IF(AO10&gt;Assumptions!$G$10,0,1)*AO75*12/Assumptions!$P$37</f>
        <v>8.6970089574744849E-2</v>
      </c>
      <c r="AP108" s="4">
        <f ca="1">IF(AP10&gt;Assumptions!$G$10,0,1)*AP75*12/Assumptions!$P$37</f>
        <v>8.6970089574744849E-2</v>
      </c>
      <c r="AQ108" s="4">
        <f ca="1">IF(AQ10&gt;Assumptions!$G$10,0,1)*AQ75*12/Assumptions!$P$37</f>
        <v>8.6970089574744849E-2</v>
      </c>
      <c r="AR108" s="4">
        <f ca="1">IF(AR10&gt;Assumptions!$G$10,0,1)*AR75*12/Assumptions!$P$37</f>
        <v>8.6970089574744849E-2</v>
      </c>
      <c r="AS108" s="4">
        <f ca="1">IF(AS10&gt;Assumptions!$G$10,0,1)*AS75*12/Assumptions!$P$37</f>
        <v>8.6970089574744849E-2</v>
      </c>
      <c r="AT108" s="4">
        <f ca="1">IF(AT10&gt;Assumptions!$G$10,0,1)*AT75*12/Assumptions!$P$37</f>
        <v>8.8874108460823262E-2</v>
      </c>
      <c r="AU108" s="4">
        <f ca="1">IF(AU10&gt;Assumptions!$G$10,0,1)*AU75*12/Assumptions!$P$37</f>
        <v>8.8874108460823262E-2</v>
      </c>
      <c r="AV108" s="4">
        <f ca="1">IF(AV10&gt;Assumptions!$G$10,0,1)*AV75*12/Assumptions!$P$37</f>
        <v>8.9350113182342886E-2</v>
      </c>
      <c r="AW108" s="4">
        <f ca="1">IF(AW10&gt;Assumptions!$G$10,0,1)*AW75*12/Assumptions!$P$37</f>
        <v>8.9350113182342886E-2</v>
      </c>
      <c r="AX108" s="4">
        <f ca="1">IF(AX10&gt;Assumptions!$G$10,0,1)*AX75*12/Assumptions!$P$37</f>
        <v>8.9350113182342886E-2</v>
      </c>
      <c r="AY108" s="4">
        <f ca="1">IF(AY10&gt;Assumptions!$G$10,0,1)*AY75*12/Assumptions!$P$37</f>
        <v>8.9350113182342886E-2</v>
      </c>
      <c r="AZ108" s="4">
        <f ca="1">IF(AZ10&gt;Assumptions!$G$10,0,1)*AZ75*12/Assumptions!$P$37</f>
        <v>9.2391624749960613E-2</v>
      </c>
      <c r="BA108" s="4">
        <f ca="1">IF(BA10&gt;Assumptions!$G$10,0,1)*BA75*12/Assumptions!$P$37</f>
        <v>9.2391624749960613E-2</v>
      </c>
      <c r="BB108" s="4">
        <f ca="1">IF(BB10&gt;Assumptions!$G$10,0,1)*BB75*12/Assumptions!$P$37</f>
        <v>9.2391624749960613E-2</v>
      </c>
      <c r="BC108" s="4">
        <f ca="1">IF(BC10&gt;Assumptions!$G$10,0,1)*BC75*12/Assumptions!$P$37</f>
        <v>9.2391624749960613E-2</v>
      </c>
      <c r="BD108" s="4">
        <f ca="1">IF(BD10&gt;Assumptions!$G$10,0,1)*BD75*12/Assumptions!$P$37</f>
        <v>9.2391624749960613E-2</v>
      </c>
      <c r="BE108" s="4">
        <f ca="1">IF(BE10&gt;Assumptions!$G$10,0,1)*BE75*12/Assumptions!$P$37</f>
        <v>9.2391624749960613E-2</v>
      </c>
      <c r="BF108" s="4">
        <f ca="1">IF(BF10&gt;Assumptions!$G$10,0,1)*BF75*12/Assumptions!$P$37</f>
        <v>9.2391624749960613E-2</v>
      </c>
      <c r="BG108" s="4">
        <f ca="1">IF(BG10&gt;Assumptions!$G$10,0,1)*BG75*12/Assumptions!$P$37</f>
        <v>9.2391624749960613E-2</v>
      </c>
      <c r="BH108" s="4">
        <f ca="1">IF(BH10&gt;Assumptions!$G$10,0,1)*BH75*12/Assumptions!$P$37</f>
        <v>9.2391624749960613E-2</v>
      </c>
      <c r="BI108" s="4">
        <f ca="1">IF(BI10&gt;Assumptions!$G$10,0,1)*BI75*12/Assumptions!$P$37</f>
        <v>9.2391624749960613E-2</v>
      </c>
      <c r="BJ108" s="4">
        <f ca="1">IF(BJ10&gt;Assumptions!$G$10,0,1)*BJ75*12/Assumptions!$P$37</f>
        <v>9.2391624749960613E-2</v>
      </c>
      <c r="BK108" s="4">
        <f ca="1">IF(BK10&gt;Assumptions!$G$10,0,1)*BK75*12/Assumptions!$P$37</f>
        <v>9.2391624749960613E-2</v>
      </c>
      <c r="BL108" s="4">
        <f ca="1">IF(BL10&gt;Assumptions!$G$10,0,1)*BL75*12/Assumptions!$P$37</f>
        <v>9.4790452050631066E-2</v>
      </c>
      <c r="BM108" s="4">
        <f ca="1">IF(BM10&gt;Assumptions!$G$10,0,1)*BM75*12/Assumptions!$P$37</f>
        <v>9.4790452050631066E-2</v>
      </c>
      <c r="BN108" s="4">
        <f ca="1">IF(BN10&gt;Assumptions!$G$10,0,1)*BN75*12/Assumptions!$P$37</f>
        <v>9.4790452050631066E-2</v>
      </c>
      <c r="BO108" s="4">
        <f ca="1">IF(BO10&gt;Assumptions!$G$10,0,1)*BO75*12/Assumptions!$P$37</f>
        <v>9.4790452050631066E-2</v>
      </c>
      <c r="BP108" s="4">
        <f ca="1">IF(BP10&gt;Assumptions!$G$10,0,1)*BP75*12/Assumptions!$P$37</f>
        <v>9.4790452050631066E-2</v>
      </c>
      <c r="BQ108" s="4">
        <f ca="1">IF(BQ10&gt;Assumptions!$G$10,0,1)*BQ75*12/Assumptions!$P$37</f>
        <v>9.4790452050631066E-2</v>
      </c>
      <c r="BR108" s="4">
        <f ca="1">IF(BR10&gt;Assumptions!$G$10,0,1)*BR75*12/Assumptions!$P$37</f>
        <v>9.4790452050631066E-2</v>
      </c>
      <c r="BS108" s="4">
        <f ca="1">IF(BS10&gt;Assumptions!$G$10,0,1)*BS75*12/Assumptions!$P$37</f>
        <v>9.4790452050631066E-2</v>
      </c>
      <c r="BT108" s="4">
        <f ca="1">IF(BT10&gt;Assumptions!$G$10,0,1)*BT75*12/Assumptions!$P$37</f>
        <v>9.4790452050631066E-2</v>
      </c>
      <c r="BU108" s="4">
        <f ca="1">IF(BU10&gt;Assumptions!$G$10,0,1)*BU75*12/Assumptions!$P$37</f>
        <v>9.4790452050631066E-2</v>
      </c>
      <c r="BV108" s="4">
        <f ca="1">IF(BV10&gt;Assumptions!$G$10,0,1)*BV75*12/Assumptions!$P$37</f>
        <v>9.4790452050631066E-2</v>
      </c>
      <c r="BW108" s="4">
        <f ca="1">IF(BW10&gt;Assumptions!$G$10,0,1)*BW75*12/Assumptions!$P$37</f>
        <v>9.4790452050631066E-2</v>
      </c>
      <c r="BX108" s="4">
        <f ca="1">IF(BX10&gt;Assumptions!$G$10,0,1)*BX75*12/Assumptions!$P$37</f>
        <v>9.7634165612150006E-2</v>
      </c>
      <c r="BY108" s="4">
        <f ca="1">IF(BY10&gt;Assumptions!$G$10,0,1)*BY75*12/Assumptions!$P$37</f>
        <v>9.7634165612150006E-2</v>
      </c>
      <c r="BZ108" s="4">
        <f ca="1">IF(BZ10&gt;Assumptions!$G$10,0,1)*BZ75*12/Assumptions!$P$37</f>
        <v>9.7634165612150006E-2</v>
      </c>
      <c r="CA108" s="4">
        <f ca="1">IF(CA10&gt;Assumptions!$G$10,0,1)*CA75*12/Assumptions!$P$37</f>
        <v>9.7634165612150006E-2</v>
      </c>
      <c r="CB108" s="4">
        <f ca="1">IF(CB10&gt;Assumptions!$G$10,0,1)*CB75*12/Assumptions!$P$37</f>
        <v>9.7634165612150006E-2</v>
      </c>
      <c r="CC108" s="4">
        <f ca="1">IF(CC10&gt;Assumptions!$G$10,0,1)*CC75*12/Assumptions!$P$37</f>
        <v>9.7634165612150006E-2</v>
      </c>
      <c r="CD108" s="4">
        <f ca="1">IF(CD10&gt;Assumptions!$G$10,0,1)*CD75*12/Assumptions!$P$37</f>
        <v>9.7634165612150006E-2</v>
      </c>
      <c r="CE108" s="4">
        <f ca="1">IF(CE10&gt;Assumptions!$G$10,0,1)*CE75*12/Assumptions!$P$37</f>
        <v>9.7634165612150006E-2</v>
      </c>
      <c r="CF108" s="4">
        <f ca="1">IF(CF10&gt;Assumptions!$G$10,0,1)*CF75*12/Assumptions!$P$37</f>
        <v>9.7634165612150006E-2</v>
      </c>
      <c r="CG108" s="4">
        <f ca="1">IF(CG10&gt;Assumptions!$G$10,0,1)*CG75*12/Assumptions!$P$37</f>
        <v>9.7634165612150006E-2</v>
      </c>
      <c r="CH108" s="4">
        <f ca="1">IF(CH10&gt;Assumptions!$G$10,0,1)*CH75*12/Assumptions!$P$37</f>
        <v>9.7634165612150006E-2</v>
      </c>
      <c r="CI108" s="4">
        <f ca="1">IF(CI10&gt;Assumptions!$G$10,0,1)*CI75*12/Assumptions!$P$37</f>
        <v>9.7634165612150006E-2</v>
      </c>
      <c r="CJ108" s="4">
        <f ca="1">IF(CJ10&gt;Assumptions!$G$10,0,1)*CJ75*12/Assumptions!$P$37</f>
        <v>0.10056319058051454</v>
      </c>
      <c r="CK108" s="4">
        <f ca="1">IF(CK10&gt;Assumptions!$G$10,0,1)*CK75*12/Assumptions!$P$37</f>
        <v>0.10056319058051454</v>
      </c>
      <c r="CL108" s="4">
        <f ca="1">IF(CL10&gt;Assumptions!$G$10,0,1)*CL75*12/Assumptions!$P$37</f>
        <v>0.10056319058051454</v>
      </c>
      <c r="CM108" s="4">
        <f ca="1">IF(CM10&gt;Assumptions!$G$10,0,1)*CM75*12/Assumptions!$P$37</f>
        <v>0.10056319058051454</v>
      </c>
      <c r="CN108" s="4">
        <f ca="1">IF(CN10&gt;Assumptions!$G$10,0,1)*CN75*12/Assumptions!$P$37</f>
        <v>0.10056319058051454</v>
      </c>
      <c r="CO108" s="4">
        <f ca="1">IF(CO10&gt;Assumptions!$G$10,0,1)*CO75*12/Assumptions!$P$37</f>
        <v>0.10056319058051454</v>
      </c>
      <c r="CP108" s="4">
        <f ca="1">IF(CP10&gt;Assumptions!$G$10,0,1)*CP75*12/Assumptions!$P$37</f>
        <v>0.10056319058051454</v>
      </c>
      <c r="CQ108" s="4">
        <f ca="1">IF(CQ10&gt;Assumptions!$G$10,0,1)*CQ75*12/Assumptions!$P$37</f>
        <v>0.10056319058051454</v>
      </c>
      <c r="CR108" s="4">
        <f ca="1">IF(CR10&gt;Assumptions!$G$10,0,1)*CR75*12/Assumptions!$P$37</f>
        <v>0.10056319058051454</v>
      </c>
      <c r="CS108" s="4">
        <f ca="1">IF(CS10&gt;Assumptions!$G$10,0,1)*CS75*12/Assumptions!$P$37</f>
        <v>0.10056319058051454</v>
      </c>
      <c r="CT108" s="4">
        <f ca="1">IF(CT10&gt;Assumptions!$G$10,0,1)*CT75*12/Assumptions!$P$37</f>
        <v>0.10056319058051454</v>
      </c>
      <c r="CU108" s="4">
        <f ca="1">IF(CU10&gt;Assumptions!$G$10,0,1)*CU75*12/Assumptions!$P$37</f>
        <v>0.10056319058051454</v>
      </c>
      <c r="CV108" s="4">
        <f ca="1">IF(CV10&gt;Assumptions!$G$10,0,1)*CV75*12/Assumptions!$P$37</f>
        <v>0.10358008629792997</v>
      </c>
      <c r="CW108" s="4">
        <f ca="1">IF(CW10&gt;Assumptions!$G$10,0,1)*CW75*12/Assumptions!$P$37</f>
        <v>0.10358008629792997</v>
      </c>
      <c r="CX108" s="4">
        <f ca="1">IF(CX10&gt;Assumptions!$G$10,0,1)*CX75*12/Assumptions!$P$37</f>
        <v>0.10358008629792997</v>
      </c>
      <c r="CY108" s="4">
        <f ca="1">IF(CY10&gt;Assumptions!$G$10,0,1)*CY75*12/Assumptions!$P$37</f>
        <v>0.10358008629792997</v>
      </c>
      <c r="CZ108" s="4">
        <f ca="1">IF(CZ10&gt;Assumptions!$G$10,0,1)*CZ75*12/Assumptions!$P$37</f>
        <v>0.10358008629792997</v>
      </c>
      <c r="DA108" s="4">
        <f ca="1">IF(DA10&gt;Assumptions!$G$10,0,1)*DA75*12/Assumptions!$P$37</f>
        <v>0.10358008629792997</v>
      </c>
      <c r="DB108" s="4">
        <f ca="1">IF(DB10&gt;Assumptions!$G$10,0,1)*DB75*12/Assumptions!$P$37</f>
        <v>0.10358008629792997</v>
      </c>
      <c r="DC108" s="4">
        <f ca="1">IF(DC10&gt;Assumptions!$G$10,0,1)*DC75*12/Assumptions!$P$37</f>
        <v>0.10358008629792997</v>
      </c>
      <c r="DD108" s="4">
        <f ca="1">IF(DD10&gt;Assumptions!$G$10,0,1)*DD75*12/Assumptions!$P$37</f>
        <v>0.10358008629792997</v>
      </c>
      <c r="DE108" s="4">
        <f ca="1">IF(DE10&gt;Assumptions!$G$10,0,1)*DE75*12/Assumptions!$P$37</f>
        <v>0.10358008629792997</v>
      </c>
      <c r="DF108" s="4">
        <f ca="1">IF(DF10&gt;Assumptions!$G$10,0,1)*DF75*12/Assumptions!$P$37</f>
        <v>0.10358008629792997</v>
      </c>
      <c r="DG108" s="4">
        <f ca="1">IF(DG10&gt;Assumptions!$G$10,0,1)*DG75*12/Assumptions!$P$37</f>
        <v>0.10358008629792997</v>
      </c>
      <c r="DH108" s="4">
        <f ca="1">IF(DH10&gt;Assumptions!$G$10,0,1)*DH75*12/Assumptions!$P$37</f>
        <v>0</v>
      </c>
      <c r="DI108" s="4">
        <f ca="1">IF(DI10&gt;Assumptions!$G$10,0,1)*DI75*12/Assumptions!$P$37</f>
        <v>0</v>
      </c>
      <c r="DJ108" s="4">
        <f ca="1">IF(DJ10&gt;Assumptions!$G$10,0,1)*DJ75*12/Assumptions!$P$37</f>
        <v>0</v>
      </c>
      <c r="DK108" s="4">
        <f ca="1">IF(DK10&gt;Assumptions!$G$10,0,1)*DK75*12/Assumptions!$P$37</f>
        <v>0</v>
      </c>
      <c r="DL108" s="4">
        <f ca="1">IF(DL10&gt;Assumptions!$G$10,0,1)*DL75*12/Assumptions!$P$37</f>
        <v>0</v>
      </c>
      <c r="DM108" s="4">
        <f ca="1">IF(DM10&gt;Assumptions!$G$10,0,1)*DM75*12/Assumptions!$P$37</f>
        <v>0</v>
      </c>
      <c r="DN108" s="4">
        <f ca="1">IF(DN10&gt;Assumptions!$G$10,0,1)*DN75*12/Assumptions!$P$37</f>
        <v>0</v>
      </c>
      <c r="DO108" s="4">
        <f ca="1">IF(DO10&gt;Assumptions!$G$10,0,1)*DO75*12/Assumptions!$P$37</f>
        <v>0</v>
      </c>
      <c r="DP108" s="4">
        <f ca="1">IF(DP10&gt;Assumptions!$G$10,0,1)*DP75*12/Assumptions!$P$37</f>
        <v>0</v>
      </c>
      <c r="DQ108" s="4">
        <f ca="1">IF(DQ10&gt;Assumptions!$G$10,0,1)*DQ75*12/Assumptions!$P$37</f>
        <v>0</v>
      </c>
      <c r="DR108" s="4">
        <f ca="1">IF(DR10&gt;Assumptions!$G$10,0,1)*DR75*12/Assumptions!$P$37</f>
        <v>0</v>
      </c>
      <c r="DS108" s="4">
        <f ca="1">IF(DS10&gt;Assumptions!$G$10,0,1)*DS75*12/Assumptions!$P$37</f>
        <v>0</v>
      </c>
      <c r="DT108" s="4">
        <f ca="1">IF(DT10&gt;Assumptions!$G$10,0,1)*DT75*12/Assumptions!$P$37</f>
        <v>0</v>
      </c>
      <c r="DU108" s="4">
        <f ca="1">IF(DU10&gt;Assumptions!$G$10,0,1)*DU75*12/Assumptions!$P$37</f>
        <v>0</v>
      </c>
      <c r="DV108" s="4">
        <f ca="1">IF(DV10&gt;Assumptions!$G$10,0,1)*DV75*12/Assumptions!$P$37</f>
        <v>0</v>
      </c>
      <c r="DW108" s="4">
        <f ca="1">IF(DW10&gt;Assumptions!$G$10,0,1)*DW75*12/Assumptions!$P$37</f>
        <v>0</v>
      </c>
      <c r="DX108" s="4">
        <f ca="1">IF(DX10&gt;Assumptions!$G$10,0,1)*DX75*12/Assumptions!$P$37</f>
        <v>0</v>
      </c>
      <c r="DY108" s="4">
        <f ca="1">IF(DY10&gt;Assumptions!$G$10,0,1)*DY75*12/Assumptions!$P$37</f>
        <v>0</v>
      </c>
      <c r="DZ108" s="4">
        <f ca="1">IF(DZ10&gt;Assumptions!$G$10,0,1)*DZ75*12/Assumptions!$P$37</f>
        <v>0</v>
      </c>
      <c r="EA108" s="4">
        <f ca="1">IF(EA10&gt;Assumptions!$G$10,0,1)*EA75*12/Assumptions!$P$37</f>
        <v>0</v>
      </c>
      <c r="EB108" s="4">
        <f ca="1">IF(EB10&gt;Assumptions!$G$10,0,1)*EB75*12/Assumptions!$P$37</f>
        <v>0</v>
      </c>
      <c r="EC108" s="4">
        <f ca="1">IF(EC10&gt;Assumptions!$G$10,0,1)*EC75*12/Assumptions!$P$37</f>
        <v>0</v>
      </c>
      <c r="ED108" s="4">
        <f ca="1">IF(ED10&gt;Assumptions!$G$10,0,1)*ED75*12/Assumptions!$P$37</f>
        <v>0</v>
      </c>
      <c r="EE108" s="4">
        <f ca="1">IF(EE10&gt;Assumptions!$G$10,0,1)*EE75*12/Assumptions!$P$37</f>
        <v>0</v>
      </c>
      <c r="EF108" s="4">
        <f ca="1">IF(EF10&gt;Assumptions!$G$10,0,1)*EF75*12/Assumptions!$P$37</f>
        <v>0</v>
      </c>
      <c r="EG108" s="4">
        <f ca="1">IF(EG10&gt;Assumptions!$G$10,0,1)*EG75*12/Assumptions!$P$37</f>
        <v>0</v>
      </c>
      <c r="EH108" s="4">
        <f ca="1">IF(EH10&gt;Assumptions!$G$10,0,1)*EH75*12/Assumptions!$P$37</f>
        <v>0</v>
      </c>
      <c r="EI108" s="4">
        <f ca="1">IF(EI10&gt;Assumptions!$G$10,0,1)*EI75*12/Assumptions!$P$37</f>
        <v>0</v>
      </c>
      <c r="EJ108" s="4">
        <f ca="1">IF(EJ10&gt;Assumptions!$G$10,0,1)*EJ75*12/Assumptions!$P$37</f>
        <v>0</v>
      </c>
      <c r="EK108" s="4">
        <f ca="1">IF(EK10&gt;Assumptions!$G$10,0,1)*EK75*12/Assumptions!$P$37</f>
        <v>0</v>
      </c>
      <c r="EL108" s="4">
        <f ca="1">IF(EL10&gt;Assumptions!$G$10,0,1)*EL75*12/Assumptions!$P$37</f>
        <v>0</v>
      </c>
      <c r="EM108" s="4">
        <f ca="1">IF(EM10&gt;Assumptions!$G$10,0,1)*EM75*12/Assumptions!$P$37</f>
        <v>0</v>
      </c>
      <c r="EN108" s="4">
        <f ca="1">IF(EN10&gt;Assumptions!$G$10,0,1)*EN75*12/Assumptions!$P$37</f>
        <v>0</v>
      </c>
      <c r="EO108" s="4">
        <f ca="1">IF(EO10&gt;Assumptions!$G$10,0,1)*EO75*12/Assumptions!$P$37</f>
        <v>0</v>
      </c>
      <c r="EP108" s="4">
        <f ca="1">IF(EP10&gt;Assumptions!$G$10,0,1)*EP75*12/Assumptions!$P$37</f>
        <v>0</v>
      </c>
      <c r="EQ108" s="4">
        <f ca="1">IF(EQ10&gt;Assumptions!$G$10,0,1)*EQ75*12/Assumptions!$P$37</f>
        <v>0</v>
      </c>
      <c r="ES108" s="98"/>
      <c r="ET108" s="98"/>
      <c r="EU108" s="98"/>
    </row>
    <row r="109" spans="7:151" ht="15.75">
      <c r="G109" s="143" t="s">
        <v>214</v>
      </c>
      <c r="H109" s="117"/>
      <c r="I109" s="95"/>
      <c r="J109" s="102"/>
      <c r="K109" s="102"/>
      <c r="L109" s="102"/>
      <c r="M109" s="102"/>
      <c r="N109" s="102"/>
      <c r="O109" s="181"/>
      <c r="P109" s="181"/>
      <c r="Q109" s="181">
        <f ca="1">Q104*12/Assumptions!$M$44</f>
        <v>0.11711671593929579</v>
      </c>
      <c r="R109" s="181">
        <f ca="1">R104*12/Assumptions!$M$44</f>
        <v>-0.19126552453306356</v>
      </c>
      <c r="S109" s="4">
        <f ca="1">S104*12/Assumptions!$M$44</f>
        <v>-0.29405960469051667</v>
      </c>
      <c r="T109" s="4">
        <f ca="1">T104*12/Assumptions!$M$44</f>
        <v>0.22129114926979657</v>
      </c>
      <c r="U109" s="4">
        <f ca="1">U104*12/Assumptions!$M$44</f>
        <v>0.22681256196198718</v>
      </c>
      <c r="V109" s="4">
        <f ca="1">V104*12/Assumptions!$M$44</f>
        <v>0.23371432782722557</v>
      </c>
      <c r="W109" s="4">
        <f ca="1">W104*12/Assumptions!$M$44</f>
        <v>0.23371432782722557</v>
      </c>
      <c r="X109" s="4">
        <f ca="1">X104*12/Assumptions!$M$44</f>
        <v>0.23371432782722557</v>
      </c>
      <c r="Y109" s="4">
        <f ca="1">Y104*12/Assumptions!$M$44</f>
        <v>0.23371432782722557</v>
      </c>
      <c r="Z109" s="4">
        <f ca="1">Z104*12/Assumptions!$M$44</f>
        <v>0.23371432782722557</v>
      </c>
      <c r="AA109" s="4">
        <f ca="1">AA104*12/Assumptions!$M$44</f>
        <v>0.23371432782722557</v>
      </c>
      <c r="AB109" s="4">
        <f ca="1">AB104*12/Assumptions!$M$44</f>
        <v>-0.28244277332581491</v>
      </c>
      <c r="AC109" s="4">
        <f ca="1">AC104*12/Assumptions!$M$44</f>
        <v>-0.28244277332581491</v>
      </c>
      <c r="AD109" s="4">
        <f ca="1">AD104*12/Assumptions!$M$44</f>
        <v>0.24694673948506865</v>
      </c>
      <c r="AE109" s="4">
        <f ca="1">AE104*12/Assumptions!$M$44</f>
        <v>-0.27499138197915768</v>
      </c>
      <c r="AF109" s="4">
        <f ca="1">AF104*12/Assumptions!$M$44</f>
        <v>0.26184952217838314</v>
      </c>
      <c r="AG109" s="4">
        <f ca="1">AG104*12/Assumptions!$M$44</f>
        <v>0.26184952217838314</v>
      </c>
      <c r="AH109" s="4">
        <f ca="1">AH104*12/Assumptions!$M$44</f>
        <v>0.26930091352504038</v>
      </c>
      <c r="AI109" s="4">
        <f ca="1">AI104*12/Assumptions!$M$44</f>
        <v>0.26930091352504038</v>
      </c>
      <c r="AJ109" s="4">
        <f ca="1">AJ104*12/Assumptions!$M$44</f>
        <v>0.26930091352504038</v>
      </c>
      <c r="AK109" s="4">
        <f ca="1">AK104*12/Assumptions!$M$44</f>
        <v>0.26930091352504038</v>
      </c>
      <c r="AL109" s="4">
        <f ca="1">AL104*12/Assumptions!$M$44</f>
        <v>0.26930091352504038</v>
      </c>
      <c r="AM109" s="4">
        <f ca="1">AM104*12/Assumptions!$M$44</f>
        <v>0.26930091352504038</v>
      </c>
      <c r="AN109" s="4">
        <f ca="1">AN104*12/Assumptions!$M$44</f>
        <v>0.28365583009798767</v>
      </c>
      <c r="AO109" s="4">
        <f ca="1">AO104*12/Assumptions!$M$44</f>
        <v>0.28365583009798767</v>
      </c>
      <c r="AP109" s="4">
        <f ca="1">AP104*12/Assumptions!$M$44</f>
        <v>0.28365583009798767</v>
      </c>
      <c r="AQ109" s="4">
        <f ca="1">AQ104*12/Assumptions!$M$44</f>
        <v>-0.15256112845818037</v>
      </c>
      <c r="AR109" s="4">
        <f ca="1">AR104*12/Assumptions!$M$44</f>
        <v>0.28365583009798767</v>
      </c>
      <c r="AS109" s="4">
        <f ca="1">AS104*12/Assumptions!$M$44</f>
        <v>0.17460159045894563</v>
      </c>
      <c r="AT109" s="4">
        <f ca="1">AT104*12/Assumptions!$M$44</f>
        <v>0.28989167011883371</v>
      </c>
      <c r="AU109" s="4">
        <f ca="1">AU104*12/Assumptions!$M$44</f>
        <v>0.28989167011883371</v>
      </c>
      <c r="AV109" s="4">
        <f ca="1">AV104*12/Assumptions!$M$44</f>
        <v>0.29145063012404526</v>
      </c>
      <c r="AW109" s="4">
        <f ca="1">AW104*12/Assumptions!$M$44</f>
        <v>0.29145063012404526</v>
      </c>
      <c r="AX109" s="4">
        <f ca="1">AX104*12/Assumptions!$M$44</f>
        <v>0.29145063012404526</v>
      </c>
      <c r="AY109" s="4">
        <f ca="1">AY104*12/Assumptions!$M$44</f>
        <v>0.29145063012404526</v>
      </c>
      <c r="AZ109" s="4">
        <f ca="1">AZ104*12/Assumptions!$M$44</f>
        <v>0.30137585902362313</v>
      </c>
      <c r="BA109" s="4">
        <f ca="1">BA104*12/Assumptions!$M$44</f>
        <v>0.30137585902362313</v>
      </c>
      <c r="BB109" s="4">
        <f ca="1">BB104*12/Assumptions!$M$44</f>
        <v>0.30137585902362313</v>
      </c>
      <c r="BC109" s="4">
        <f ca="1">BC104*12/Assumptions!$M$44</f>
        <v>0.30137585902362313</v>
      </c>
      <c r="BD109" s="4">
        <f ca="1">BD104*12/Assumptions!$M$44</f>
        <v>0.30137585902362313</v>
      </c>
      <c r="BE109" s="4">
        <f ca="1">BE104*12/Assumptions!$M$44</f>
        <v>0.30137585902362313</v>
      </c>
      <c r="BF109" s="4">
        <f ca="1">BF104*12/Assumptions!$M$44</f>
        <v>0.30137585902362313</v>
      </c>
      <c r="BG109" s="4">
        <f ca="1">BG104*12/Assumptions!$M$44</f>
        <v>0.30137585902362313</v>
      </c>
      <c r="BH109" s="4">
        <f ca="1">BH104*12/Assumptions!$M$44</f>
        <v>0.30137585902362313</v>
      </c>
      <c r="BI109" s="4">
        <f ca="1">BI104*12/Assumptions!$M$44</f>
        <v>0.30137585902362313</v>
      </c>
      <c r="BJ109" s="4">
        <f ca="1">BJ104*12/Assumptions!$M$44</f>
        <v>0.30137585902362313</v>
      </c>
      <c r="BK109" s="4">
        <f ca="1">BK104*12/Assumptions!$M$44</f>
        <v>11.43581143098352</v>
      </c>
      <c r="BL109" s="4">
        <f ca="1">BL104*12/Assumptions!$M$44</f>
        <v>9.0976637650267617E-2</v>
      </c>
      <c r="BM109" s="4">
        <f ca="1">BM104*12/Assumptions!$M$44</f>
        <v>9.0976637650267617E-2</v>
      </c>
      <c r="BN109" s="4">
        <f ca="1">BN104*12/Assumptions!$M$44</f>
        <v>9.0976637650267617E-2</v>
      </c>
      <c r="BO109" s="4">
        <f ca="1">BO104*12/Assumptions!$M$44</f>
        <v>9.0976637650267617E-2</v>
      </c>
      <c r="BP109" s="4">
        <f ca="1">BP104*12/Assumptions!$M$44</f>
        <v>9.0976637650267617E-2</v>
      </c>
      <c r="BQ109" s="4">
        <f ca="1">BQ104*12/Assumptions!$M$44</f>
        <v>9.0976637650267617E-2</v>
      </c>
      <c r="BR109" s="4">
        <f ca="1">BR104*12/Assumptions!$M$44</f>
        <v>9.0976637650267617E-2</v>
      </c>
      <c r="BS109" s="4">
        <f ca="1">BS104*12/Assumptions!$M$44</f>
        <v>9.0976637650267617E-2</v>
      </c>
      <c r="BT109" s="4">
        <f ca="1">BT104*12/Assumptions!$M$44</f>
        <v>9.0976637650267617E-2</v>
      </c>
      <c r="BU109" s="4">
        <f ca="1">BU104*12/Assumptions!$M$44</f>
        <v>9.0976637650267617E-2</v>
      </c>
      <c r="BV109" s="4">
        <f ca="1">BV104*12/Assumptions!$M$44</f>
        <v>9.0976637650267617E-2</v>
      </c>
      <c r="BW109" s="4">
        <f ca="1">BW104*12/Assumptions!$M$44</f>
        <v>9.0976637650267617E-2</v>
      </c>
      <c r="BX109" s="4">
        <f ca="1">BX104*12/Assumptions!$M$44</f>
        <v>0.10025253050132601</v>
      </c>
      <c r="BY109" s="4">
        <f ca="1">BY104*12/Assumptions!$M$44</f>
        <v>0.10025253050132601</v>
      </c>
      <c r="BZ109" s="4">
        <f ca="1">BZ104*12/Assumptions!$M$44</f>
        <v>0.10025253050132601</v>
      </c>
      <c r="CA109" s="4">
        <f ca="1">CA104*12/Assumptions!$M$44</f>
        <v>0.10025253050132601</v>
      </c>
      <c r="CB109" s="4">
        <f ca="1">CB104*12/Assumptions!$M$44</f>
        <v>0.10025253050132601</v>
      </c>
      <c r="CC109" s="4">
        <f ca="1">CC104*12/Assumptions!$M$44</f>
        <v>0.10025253050132601</v>
      </c>
      <c r="CD109" s="4">
        <f ca="1">CD104*12/Assumptions!$M$44</f>
        <v>0.10025253050132601</v>
      </c>
      <c r="CE109" s="4">
        <f ca="1">CE104*12/Assumptions!$M$44</f>
        <v>0.10025253050132601</v>
      </c>
      <c r="CF109" s="4">
        <f ca="1">CF104*12/Assumptions!$M$44</f>
        <v>0.10025253050132601</v>
      </c>
      <c r="CG109" s="4">
        <f ca="1">CG104*12/Assumptions!$M$44</f>
        <v>0.10025253050132601</v>
      </c>
      <c r="CH109" s="4">
        <f ca="1">CH104*12/Assumptions!$M$44</f>
        <v>0.10025253050132601</v>
      </c>
      <c r="CI109" s="4">
        <f ca="1">CI104*12/Assumptions!$M$44</f>
        <v>0.10025253050132601</v>
      </c>
      <c r="CJ109" s="4">
        <f ca="1">CJ104*12/Assumptions!$M$44</f>
        <v>0.10980670013791621</v>
      </c>
      <c r="CK109" s="4">
        <f ca="1">CK104*12/Assumptions!$M$44</f>
        <v>0.10980670013791621</v>
      </c>
      <c r="CL109" s="4">
        <f ca="1">CL104*12/Assumptions!$M$44</f>
        <v>0.10980670013791621</v>
      </c>
      <c r="CM109" s="4">
        <f ca="1">CM104*12/Assumptions!$M$44</f>
        <v>0.10980670013791621</v>
      </c>
      <c r="CN109" s="4">
        <f ca="1">CN104*12/Assumptions!$M$44</f>
        <v>0.10980670013791621</v>
      </c>
      <c r="CO109" s="4">
        <f ca="1">CO104*12/Assumptions!$M$44</f>
        <v>0.10980670013791621</v>
      </c>
      <c r="CP109" s="4">
        <f ca="1">CP104*12/Assumptions!$M$44</f>
        <v>0.10980670013791621</v>
      </c>
      <c r="CQ109" s="4">
        <f ca="1">CQ104*12/Assumptions!$M$44</f>
        <v>0.10980670013791621</v>
      </c>
      <c r="CR109" s="4">
        <f ca="1">CR104*12/Assumptions!$M$44</f>
        <v>0.10980670013791621</v>
      </c>
      <c r="CS109" s="4">
        <f ca="1">CS104*12/Assumptions!$M$44</f>
        <v>0.10980670013791621</v>
      </c>
      <c r="CT109" s="4">
        <f ca="1">CT104*12/Assumptions!$M$44</f>
        <v>0.10980670013791621</v>
      </c>
      <c r="CU109" s="4">
        <f ca="1">CU104*12/Assumptions!$M$44</f>
        <v>0.10980670013791621</v>
      </c>
      <c r="CV109" s="4">
        <f ca="1">CV104*12/Assumptions!$M$44</f>
        <v>0.11964749486360401</v>
      </c>
      <c r="CW109" s="4">
        <f ca="1">CW104*12/Assumptions!$M$44</f>
        <v>0.11964749486360401</v>
      </c>
      <c r="CX109" s="4">
        <f ca="1">CX104*12/Assumptions!$M$44</f>
        <v>0.11964749486360401</v>
      </c>
      <c r="CY109" s="4">
        <f ca="1">CY104*12/Assumptions!$M$44</f>
        <v>0.11964749486360401</v>
      </c>
      <c r="CZ109" s="4">
        <f ca="1">CZ104*12/Assumptions!$M$44</f>
        <v>0.11964749486360401</v>
      </c>
      <c r="DA109" s="4">
        <f ca="1">DA104*12/Assumptions!$M$44</f>
        <v>0.11964749486360401</v>
      </c>
      <c r="DB109" s="4">
        <f ca="1">DB104*12/Assumptions!$M$44</f>
        <v>0.11964749486360401</v>
      </c>
      <c r="DC109" s="4">
        <f ca="1">DC104*12/Assumptions!$M$44</f>
        <v>0.11964749486360401</v>
      </c>
      <c r="DD109" s="4">
        <f ca="1">DD104*12/Assumptions!$M$44</f>
        <v>0.11964749486360401</v>
      </c>
      <c r="DE109" s="4">
        <f ca="1">DE104*12/Assumptions!$M$44</f>
        <v>0.11964749486360401</v>
      </c>
      <c r="DF109" s="4">
        <f ca="1">DF104*12/Assumptions!$M$44</f>
        <v>0.11964749486360401</v>
      </c>
      <c r="DG109" s="4">
        <f ca="1">DG104*12/Assumptions!$M$44</f>
        <v>25.283578526677541</v>
      </c>
      <c r="DH109" s="4">
        <f>DH104*12/Assumptions!$M$44</f>
        <v>0</v>
      </c>
      <c r="DI109" s="4">
        <f>DI104*12/Assumptions!$M$44</f>
        <v>0</v>
      </c>
      <c r="DJ109" s="4">
        <f>DJ104*12/Assumptions!$M$44</f>
        <v>0</v>
      </c>
      <c r="DK109" s="4">
        <f>DK104*12/Assumptions!$M$44</f>
        <v>0</v>
      </c>
      <c r="DL109" s="4">
        <f>DL104*12/Assumptions!$M$44</f>
        <v>0</v>
      </c>
      <c r="DM109" s="4">
        <f>DM104*12/Assumptions!$M$44</f>
        <v>0</v>
      </c>
      <c r="DN109" s="4">
        <f>DN104*12/Assumptions!$M$44</f>
        <v>0</v>
      </c>
      <c r="DO109" s="4">
        <f>DO104*12/Assumptions!$M$44</f>
        <v>0</v>
      </c>
      <c r="DP109" s="4">
        <f>DP104*12/Assumptions!$M$44</f>
        <v>0</v>
      </c>
      <c r="DQ109" s="4">
        <f>DQ104*12/Assumptions!$M$44</f>
        <v>0</v>
      </c>
      <c r="DR109" s="4">
        <f>DR104*12/Assumptions!$M$44</f>
        <v>0</v>
      </c>
      <c r="DS109" s="4">
        <f>DS104*12/Assumptions!$M$44</f>
        <v>0</v>
      </c>
      <c r="DT109" s="4">
        <f>DT104*12/Assumptions!$M$44</f>
        <v>0</v>
      </c>
      <c r="DU109" s="4">
        <f>DU104*12/Assumptions!$M$44</f>
        <v>0</v>
      </c>
      <c r="DV109" s="4">
        <f>DV104*12/Assumptions!$M$44</f>
        <v>0</v>
      </c>
      <c r="DW109" s="4">
        <f>DW104*12/Assumptions!$M$44</f>
        <v>0</v>
      </c>
      <c r="DX109" s="4">
        <f>DX104*12/Assumptions!$M$44</f>
        <v>0</v>
      </c>
      <c r="DY109" s="4">
        <f>DY104*12/Assumptions!$M$44</f>
        <v>0</v>
      </c>
      <c r="DZ109" s="4">
        <f>DZ104*12/Assumptions!$M$44</f>
        <v>0</v>
      </c>
      <c r="EA109" s="4">
        <f>EA104*12/Assumptions!$M$44</f>
        <v>0</v>
      </c>
      <c r="EB109" s="4">
        <f>EB104*12/Assumptions!$M$44</f>
        <v>0</v>
      </c>
      <c r="EC109" s="4">
        <f>EC104*12/Assumptions!$M$44</f>
        <v>0</v>
      </c>
      <c r="ED109" s="4">
        <f>ED104*12/Assumptions!$M$44</f>
        <v>0</v>
      </c>
      <c r="EE109" s="4">
        <f>EE104*12/Assumptions!$M$44</f>
        <v>0</v>
      </c>
      <c r="EF109" s="4">
        <f>EF104*12/Assumptions!$M$44</f>
        <v>0</v>
      </c>
      <c r="EG109" s="4">
        <f>EG104*12/Assumptions!$M$44</f>
        <v>0</v>
      </c>
      <c r="EH109" s="4">
        <f>EH104*12/Assumptions!$M$44</f>
        <v>0</v>
      </c>
      <c r="EI109" s="4">
        <f>EI104*12/Assumptions!$M$44</f>
        <v>0</v>
      </c>
      <c r="EJ109" s="4">
        <f>EJ104*12/Assumptions!$M$44</f>
        <v>0</v>
      </c>
      <c r="EK109" s="4">
        <f>EK104*12/Assumptions!$M$44</f>
        <v>0</v>
      </c>
      <c r="EL109" s="4">
        <f>EL104*12/Assumptions!$M$44</f>
        <v>0</v>
      </c>
      <c r="EM109" s="4">
        <f>EM104*12/Assumptions!$M$44</f>
        <v>0</v>
      </c>
      <c r="EN109" s="4">
        <f>EN104*12/Assumptions!$M$44</f>
        <v>0</v>
      </c>
      <c r="EO109" s="4">
        <f>EO104*12/Assumptions!$M$44</f>
        <v>0</v>
      </c>
      <c r="EP109" s="4">
        <f>EP104*12/Assumptions!$M$44</f>
        <v>0</v>
      </c>
      <c r="EQ109" s="4">
        <f>EQ104*12/Assumptions!$M$44</f>
        <v>0</v>
      </c>
      <c r="ES109" s="98"/>
      <c r="ET109" s="98"/>
      <c r="EU109" s="98"/>
    </row>
    <row r="110" spans="7:151" ht="15.75">
      <c r="G110" s="145" t="s">
        <v>207</v>
      </c>
      <c r="H110" s="117"/>
      <c r="I110" s="95"/>
      <c r="J110" s="102"/>
      <c r="K110" s="102"/>
      <c r="L110" s="102"/>
      <c r="M110" s="102"/>
      <c r="N110" s="102"/>
      <c r="O110" s="254" t="str">
        <f>IF(ISERROR(IF(O10&gt;Assumptions!$G$10,0,1)*-O75/O90),"NA",-O75/O90)</f>
        <v>NA</v>
      </c>
      <c r="P110" s="254" t="str">
        <f ca="1">IF(ISERROR(IF(P10&gt;Assumptions!$G$10,0,1)*-P75/P90),"NA",-P75/P90)</f>
        <v>NA</v>
      </c>
      <c r="Q110" s="254" t="str">
        <f ca="1">IF(ISERROR(IF(Q10&gt;Assumptions!$G$10,0,1)*-Q75/Q90),"NA",-Q75/Q90)</f>
        <v>NA</v>
      </c>
      <c r="R110" s="254" t="str">
        <f ca="1">IF(ISERROR(IF(R10&gt;Assumptions!$G$10,0,1)*-R75/R90),"NA",-R75/R90)</f>
        <v>NA</v>
      </c>
      <c r="S110" s="254" t="str">
        <f ca="1">IF(ISERROR(IF(S10&gt;Assumptions!$G$10,0,1)*-S75/S90),"NA",-S75/S90)</f>
        <v>NA</v>
      </c>
      <c r="T110" s="254" t="str">
        <f ca="1">IF(ISERROR(IF(T10&gt;Assumptions!$G$10,0,1)*-T75/T90),"NA",-T75/T90)</f>
        <v>NA</v>
      </c>
      <c r="U110" s="254" t="str">
        <f ca="1">IF(ISERROR(IF(U10&gt;Assumptions!$G$10,0,1)*-U75/U90),"NA",-U75/U90)</f>
        <v>NA</v>
      </c>
      <c r="V110" s="254" t="str">
        <f ca="1">IF(ISERROR(IF(V10&gt;Assumptions!$G$10,0,1)*-V75/V90),"NA",-V75/V90)</f>
        <v>NA</v>
      </c>
      <c r="W110" s="254" t="str">
        <f ca="1">IF(ISERROR(IF(W10&gt;Assumptions!$G$10,0,1)*-W75/W90),"NA",-W75/W90)</f>
        <v>NA</v>
      </c>
      <c r="X110" s="254" t="str">
        <f ca="1">IF(ISERROR(IF(X10&gt;Assumptions!$G$10,0,1)*-X75/X90),"NA",-X75/X90)</f>
        <v>NA</v>
      </c>
      <c r="Y110" s="254" t="str">
        <f ca="1">IF(ISERROR(IF(Y10&gt;Assumptions!$G$10,0,1)*-Y75/Y90),"NA",-Y75/Y90)</f>
        <v>NA</v>
      </c>
      <c r="Z110" s="254" t="str">
        <f ca="1">IF(ISERROR(IF(Z10&gt;Assumptions!$G$10,0,1)*-Z75/Z90),"NA",-Z75/Z90)</f>
        <v>NA</v>
      </c>
      <c r="AA110" s="254" t="str">
        <f ca="1">IF(ISERROR(IF(AA10&gt;Assumptions!$G$10,0,1)*-AA75/AA90),"NA",-AA75/AA90)</f>
        <v>NA</v>
      </c>
      <c r="AB110" s="254" t="str">
        <f ca="1">IF(ISERROR(IF(AB10&gt;Assumptions!$G$10,0,1)*-AB75/AB90),"NA",-AB75/AB90)</f>
        <v>NA</v>
      </c>
      <c r="AC110" s="254" t="str">
        <f ca="1">IF(ISERROR(IF(AC10&gt;Assumptions!$G$10,0,1)*-AC75/AC90),"NA",-AC75/AC90)</f>
        <v>NA</v>
      </c>
      <c r="AD110" s="254" t="str">
        <f ca="1">IF(ISERROR(IF(AD10&gt;Assumptions!$G$10,0,1)*-AD75/AD90),"NA",-AD75/AD90)</f>
        <v>NA</v>
      </c>
      <c r="AE110" s="254" t="str">
        <f ca="1">IF(ISERROR(IF(AE10&gt;Assumptions!$G$10,0,1)*-AE75/AE90),"NA",-AE75/AE90)</f>
        <v>NA</v>
      </c>
      <c r="AF110" s="254" t="str">
        <f ca="1">IF(ISERROR(IF(AF10&gt;Assumptions!$G$10,0,1)*-AF75/AF90),"NA",-AF75/AF90)</f>
        <v>NA</v>
      </c>
      <c r="AG110" s="254" t="str">
        <f ca="1">IF(ISERROR(IF(AG10&gt;Assumptions!$G$10,0,1)*-AG75/AG90),"NA",-AG75/AG90)</f>
        <v>NA</v>
      </c>
      <c r="AH110" s="254" t="str">
        <f ca="1">IF(ISERROR(IF(AH10&gt;Assumptions!$G$10,0,1)*-AH75/AH90),"NA",-AH75/AH90)</f>
        <v>NA</v>
      </c>
      <c r="AI110" s="254" t="str">
        <f ca="1">IF(ISERROR(IF(AI10&gt;Assumptions!$G$10,0,1)*-AI75/AI90),"NA",-AI75/AI90)</f>
        <v>NA</v>
      </c>
      <c r="AJ110" s="254" t="str">
        <f ca="1">IF(ISERROR(IF(AJ10&gt;Assumptions!$G$10,0,1)*-AJ75/AJ90),"NA",-AJ75/AJ90)</f>
        <v>NA</v>
      </c>
      <c r="AK110" s="254" t="str">
        <f ca="1">IF(ISERROR(IF(AK10&gt;Assumptions!$G$10,0,1)*-AK75/AK90),"NA",-AK75/AK90)</f>
        <v>NA</v>
      </c>
      <c r="AL110" s="254" t="str">
        <f ca="1">IF(ISERROR(IF(AL10&gt;Assumptions!$G$10,0,1)*-AL75/AL90),"NA",-AL75/AL90)</f>
        <v>NA</v>
      </c>
      <c r="AM110" s="254" t="str">
        <f ca="1">IF(ISERROR(IF(AM10&gt;Assumptions!$G$10,0,1)*-AM75/AM90),"NA",-AM75/AM90)</f>
        <v>NA</v>
      </c>
      <c r="AN110" s="254" t="str">
        <f ca="1">IF(ISERROR(IF(AN10&gt;Assumptions!$G$10,0,1)*-AN75/AN90),"NA",-AN75/AN90)</f>
        <v>NA</v>
      </c>
      <c r="AO110" s="254" t="str">
        <f ca="1">IF(ISERROR(IF(AO10&gt;Assumptions!$G$10,0,1)*-AO75/AO90),"NA",-AO75/AO90)</f>
        <v>NA</v>
      </c>
      <c r="AP110" s="254" t="str">
        <f ca="1">IF(ISERROR(IF(AP10&gt;Assumptions!$G$10,0,1)*-AP75/AP90),"NA",-AP75/AP90)</f>
        <v>NA</v>
      </c>
      <c r="AQ110" s="254" t="str">
        <f ca="1">IF(ISERROR(IF(AQ10&gt;Assumptions!$G$10,0,1)*-AQ75/AQ90),"NA",-AQ75/AQ90)</f>
        <v>NA</v>
      </c>
      <c r="AR110" s="254" t="str">
        <f ca="1">IF(ISERROR(IF(AR10&gt;Assumptions!$G$10,0,1)*-AR75/AR90),"NA",-AR75/AR90)</f>
        <v>NA</v>
      </c>
      <c r="AS110" s="254" t="str">
        <f ca="1">IF(ISERROR(IF(AS10&gt;Assumptions!$G$10,0,1)*-AS75/AS90),"NA",-AS75/AS90)</f>
        <v>NA</v>
      </c>
      <c r="AT110" s="254" t="str">
        <f ca="1">IF(ISERROR(IF(AT10&gt;Assumptions!$G$10,0,1)*-AT75/AT90),"NA",-AT75/AT90)</f>
        <v>NA</v>
      </c>
      <c r="AU110" s="254" t="str">
        <f ca="1">IF(ISERROR(IF(AU10&gt;Assumptions!$G$10,0,1)*-AU75/AU90),"NA",-AU75/AU90)</f>
        <v>NA</v>
      </c>
      <c r="AV110" s="254" t="str">
        <f ca="1">IF(ISERROR(IF(AV10&gt;Assumptions!$G$10,0,1)*-AV75/AV90),"NA",-AV75/AV90)</f>
        <v>NA</v>
      </c>
      <c r="AW110" s="254" t="str">
        <f ca="1">IF(ISERROR(IF(AW10&gt;Assumptions!$G$10,0,1)*-AW75/AW90),"NA",-AW75/AW90)</f>
        <v>NA</v>
      </c>
      <c r="AX110" s="254" t="str">
        <f ca="1">IF(ISERROR(IF(AX10&gt;Assumptions!$G$10,0,1)*-AX75/AX90),"NA",-AX75/AX90)</f>
        <v>NA</v>
      </c>
      <c r="AY110" s="254" t="str">
        <f ca="1">IF(ISERROR(IF(AY10&gt;Assumptions!$G$10,0,1)*-AY75/AY90),"NA",-AY75/AY90)</f>
        <v>NA</v>
      </c>
      <c r="AZ110" s="254" t="str">
        <f ca="1">IF(ISERROR(IF(AZ10&gt;Assumptions!$G$10,0,1)*-AZ75/AZ90),"NA",-AZ75/AZ90)</f>
        <v>NA</v>
      </c>
      <c r="BA110" s="254" t="str">
        <f ca="1">IF(ISERROR(IF(BA10&gt;Assumptions!$G$10,0,1)*-BA75/BA90),"NA",-BA75/BA90)</f>
        <v>NA</v>
      </c>
      <c r="BB110" s="254" t="str">
        <f ca="1">IF(ISERROR(IF(BB10&gt;Assumptions!$G$10,0,1)*-BB75/BB90),"NA",-BB75/BB90)</f>
        <v>NA</v>
      </c>
      <c r="BC110" s="254" t="str">
        <f ca="1">IF(ISERROR(IF(BC10&gt;Assumptions!$G$10,0,1)*-BC75/BC90),"NA",-BC75/BC90)</f>
        <v>NA</v>
      </c>
      <c r="BD110" s="254" t="str">
        <f ca="1">IF(ISERROR(IF(BD10&gt;Assumptions!$G$10,0,1)*-BD75/BD90),"NA",-BD75/BD90)</f>
        <v>NA</v>
      </c>
      <c r="BE110" s="254" t="str">
        <f ca="1">IF(ISERROR(IF(BE10&gt;Assumptions!$G$10,0,1)*-BE75/BE90),"NA",-BE75/BE90)</f>
        <v>NA</v>
      </c>
      <c r="BF110" s="254" t="str">
        <f ca="1">IF(ISERROR(IF(BF10&gt;Assumptions!$G$10,0,1)*-BF75/BF90),"NA",-BF75/BF90)</f>
        <v>NA</v>
      </c>
      <c r="BG110" s="254" t="str">
        <f ca="1">IF(ISERROR(IF(BG10&gt;Assumptions!$G$10,0,1)*-BG75/BG90),"NA",-BG75/BG90)</f>
        <v>NA</v>
      </c>
      <c r="BH110" s="254" t="str">
        <f ca="1">IF(ISERROR(IF(BH10&gt;Assumptions!$G$10,0,1)*-BH75/BH90),"NA",-BH75/BH90)</f>
        <v>NA</v>
      </c>
      <c r="BI110" s="254" t="str">
        <f ca="1">IF(ISERROR(IF(BI10&gt;Assumptions!$G$10,0,1)*-BI75/BI90),"NA",-BI75/BI90)</f>
        <v>NA</v>
      </c>
      <c r="BJ110" s="254" t="str">
        <f ca="1">IF(ISERROR(IF(BJ10&gt;Assumptions!$G$10,0,1)*-BJ75/BJ90),"NA",-BJ75/BJ90)</f>
        <v>NA</v>
      </c>
      <c r="BK110" s="254" t="str">
        <f ca="1">IF(ISERROR(IF(BK10&gt;Assumptions!$G$10,0,1)*-BK75/BK90),"NA",-BK75/BK90)</f>
        <v>NA</v>
      </c>
      <c r="BL110" s="254" t="str">
        <f ca="1">IF(ISERROR(IF(BL10&gt;Assumptions!$G$10,0,1)*-BL75/BL90),"NA",-BL75/BL90)</f>
        <v>NA</v>
      </c>
      <c r="BM110" s="254" t="str">
        <f ca="1">IF(ISERROR(IF(BM10&gt;Assumptions!$G$10,0,1)*-BM75/BM90),"NA",-BM75/BM90)</f>
        <v>NA</v>
      </c>
      <c r="BN110" s="254" t="str">
        <f ca="1">IF(ISERROR(IF(BN10&gt;Assumptions!$G$10,0,1)*-BN75/BN90),"NA",-BN75/BN90)</f>
        <v>NA</v>
      </c>
      <c r="BO110" s="254" t="str">
        <f ca="1">IF(ISERROR(IF(BO10&gt;Assumptions!$G$10,0,1)*-BO75/BO90),"NA",-BO75/BO90)</f>
        <v>NA</v>
      </c>
      <c r="BP110" s="254" t="str">
        <f ca="1">IF(ISERROR(IF(BP10&gt;Assumptions!$G$10,0,1)*-BP75/BP90),"NA",-BP75/BP90)</f>
        <v>NA</v>
      </c>
      <c r="BQ110" s="254" t="str">
        <f ca="1">IF(ISERROR(IF(BQ10&gt;Assumptions!$G$10,0,1)*-BQ75/BQ90),"NA",-BQ75/BQ90)</f>
        <v>NA</v>
      </c>
      <c r="BR110" s="254" t="str">
        <f ca="1">IF(ISERROR(IF(BR10&gt;Assumptions!$G$10,0,1)*-BR75/BR90),"NA",-BR75/BR90)</f>
        <v>NA</v>
      </c>
      <c r="BS110" s="254" t="str">
        <f ca="1">IF(ISERROR(IF(BS10&gt;Assumptions!$G$10,0,1)*-BS75/BS90),"NA",-BS75/BS90)</f>
        <v>NA</v>
      </c>
      <c r="BT110" s="254" t="str">
        <f ca="1">IF(ISERROR(IF(BT10&gt;Assumptions!$G$10,0,1)*-BT75/BT90),"NA",-BT75/BT90)</f>
        <v>NA</v>
      </c>
      <c r="BU110" s="254" t="str">
        <f ca="1">IF(ISERROR(IF(BU10&gt;Assumptions!$G$10,0,1)*-BU75/BU90),"NA",-BU75/BU90)</f>
        <v>NA</v>
      </c>
      <c r="BV110" s="254" t="str">
        <f ca="1">IF(ISERROR(IF(BV10&gt;Assumptions!$G$10,0,1)*-BV75/BV90),"NA",-BV75/BV90)</f>
        <v>NA</v>
      </c>
      <c r="BW110" s="254" t="str">
        <f ca="1">IF(ISERROR(IF(BW10&gt;Assumptions!$G$10,0,1)*-BW75/BW90),"NA",-BW75/BW90)</f>
        <v>NA</v>
      </c>
      <c r="BX110" s="254" t="str">
        <f ca="1">IF(ISERROR(IF(BX10&gt;Assumptions!$G$10,0,1)*-BX75/BX90),"NA",-BX75/BX90)</f>
        <v>NA</v>
      </c>
      <c r="BY110" s="254" t="str">
        <f ca="1">IF(ISERROR(IF(BY10&gt;Assumptions!$G$10,0,1)*-BY75/BY90),"NA",-BY75/BY90)</f>
        <v>NA</v>
      </c>
      <c r="BZ110" s="254" t="str">
        <f ca="1">IF(ISERROR(IF(BZ10&gt;Assumptions!$G$10,0,1)*-BZ75/BZ90),"NA",-BZ75/BZ90)</f>
        <v>NA</v>
      </c>
      <c r="CA110" s="254" t="str">
        <f ca="1">IF(ISERROR(IF(CA10&gt;Assumptions!$G$10,0,1)*-CA75/CA90),"NA",-CA75/CA90)</f>
        <v>NA</v>
      </c>
      <c r="CB110" s="254" t="str">
        <f ca="1">IF(ISERROR(IF(CB10&gt;Assumptions!$G$10,0,1)*-CB75/CB90),"NA",-CB75/CB90)</f>
        <v>NA</v>
      </c>
      <c r="CC110" s="254" t="str">
        <f ca="1">IF(ISERROR(IF(CC10&gt;Assumptions!$G$10,0,1)*-CC75/CC90),"NA",-CC75/CC90)</f>
        <v>NA</v>
      </c>
      <c r="CD110" s="254" t="str">
        <f ca="1">IF(ISERROR(IF(CD10&gt;Assumptions!$G$10,0,1)*-CD75/CD90),"NA",-CD75/CD90)</f>
        <v>NA</v>
      </c>
      <c r="CE110" s="254" t="str">
        <f ca="1">IF(ISERROR(IF(CE10&gt;Assumptions!$G$10,0,1)*-CE75/CE90),"NA",-CE75/CE90)</f>
        <v>NA</v>
      </c>
      <c r="CF110" s="254" t="str">
        <f ca="1">IF(ISERROR(IF(CF10&gt;Assumptions!$G$10,0,1)*-CF75/CF90),"NA",-CF75/CF90)</f>
        <v>NA</v>
      </c>
      <c r="CG110" s="254" t="str">
        <f ca="1">IF(ISERROR(IF(CG10&gt;Assumptions!$G$10,0,1)*-CG75/CG90),"NA",-CG75/CG90)</f>
        <v>NA</v>
      </c>
      <c r="CH110" s="254" t="str">
        <f ca="1">IF(ISERROR(IF(CH10&gt;Assumptions!$G$10,0,1)*-CH75/CH90),"NA",-CH75/CH90)</f>
        <v>NA</v>
      </c>
      <c r="CI110" s="254" t="str">
        <f ca="1">IF(ISERROR(IF(CI10&gt;Assumptions!$G$10,0,1)*-CI75/CI90),"NA",-CI75/CI90)</f>
        <v>NA</v>
      </c>
      <c r="CJ110" s="254" t="str">
        <f ca="1">IF(ISERROR(IF(CJ10&gt;Assumptions!$G$10,0,1)*-CJ75/CJ90),"NA",-CJ75/CJ90)</f>
        <v>NA</v>
      </c>
      <c r="CK110" s="254" t="str">
        <f ca="1">IF(ISERROR(IF(CK10&gt;Assumptions!$G$10,0,1)*-CK75/CK90),"NA",-CK75/CK90)</f>
        <v>NA</v>
      </c>
      <c r="CL110" s="254" t="str">
        <f ca="1">IF(ISERROR(IF(CL10&gt;Assumptions!$G$10,0,1)*-CL75/CL90),"NA",-CL75/CL90)</f>
        <v>NA</v>
      </c>
      <c r="CM110" s="254" t="str">
        <f ca="1">IF(ISERROR(IF(CM10&gt;Assumptions!$G$10,0,1)*-CM75/CM90),"NA",-CM75/CM90)</f>
        <v>NA</v>
      </c>
      <c r="CN110" s="254" t="str">
        <f ca="1">IF(ISERROR(IF(CN10&gt;Assumptions!$G$10,0,1)*-CN75/CN90),"NA",-CN75/CN90)</f>
        <v>NA</v>
      </c>
      <c r="CO110" s="254" t="str">
        <f ca="1">IF(ISERROR(IF(CO10&gt;Assumptions!$G$10,0,1)*-CO75/CO90),"NA",-CO75/CO90)</f>
        <v>NA</v>
      </c>
      <c r="CP110" s="254" t="str">
        <f ca="1">IF(ISERROR(IF(CP10&gt;Assumptions!$G$10,0,1)*-CP75/CP90),"NA",-CP75/CP90)</f>
        <v>NA</v>
      </c>
      <c r="CQ110" s="254" t="str">
        <f ca="1">IF(ISERROR(IF(CQ10&gt;Assumptions!$G$10,0,1)*-CQ75/CQ90),"NA",-CQ75/CQ90)</f>
        <v>NA</v>
      </c>
      <c r="CR110" s="254" t="str">
        <f ca="1">IF(ISERROR(IF(CR10&gt;Assumptions!$G$10,0,1)*-CR75/CR90),"NA",-CR75/CR90)</f>
        <v>NA</v>
      </c>
      <c r="CS110" s="254" t="str">
        <f ca="1">IF(ISERROR(IF(CS10&gt;Assumptions!$G$10,0,1)*-CS75/CS90),"NA",-CS75/CS90)</f>
        <v>NA</v>
      </c>
      <c r="CT110" s="254" t="str">
        <f ca="1">IF(ISERROR(IF(CT10&gt;Assumptions!$G$10,0,1)*-CT75/CT90),"NA",-CT75/CT90)</f>
        <v>NA</v>
      </c>
      <c r="CU110" s="254" t="str">
        <f ca="1">IF(ISERROR(IF(CU10&gt;Assumptions!$G$10,0,1)*-CU75/CU90),"NA",-CU75/CU90)</f>
        <v>NA</v>
      </c>
      <c r="CV110" s="254" t="str">
        <f ca="1">IF(ISERROR(IF(CV10&gt;Assumptions!$G$10,0,1)*-CV75/CV90),"NA",-CV75/CV90)</f>
        <v>NA</v>
      </c>
      <c r="CW110" s="254" t="str">
        <f ca="1">IF(ISERROR(IF(CW10&gt;Assumptions!$G$10,0,1)*-CW75/CW90),"NA",-CW75/CW90)</f>
        <v>NA</v>
      </c>
      <c r="CX110" s="254" t="str">
        <f ca="1">IF(ISERROR(IF(CX10&gt;Assumptions!$G$10,0,1)*-CX75/CX90),"NA",-CX75/CX90)</f>
        <v>NA</v>
      </c>
      <c r="CY110" s="254" t="str">
        <f ca="1">IF(ISERROR(IF(CY10&gt;Assumptions!$G$10,0,1)*-CY75/CY90),"NA",-CY75/CY90)</f>
        <v>NA</v>
      </c>
      <c r="CZ110" s="254" t="str">
        <f ca="1">IF(ISERROR(IF(CZ10&gt;Assumptions!$G$10,0,1)*-CZ75/CZ90),"NA",-CZ75/CZ90)</f>
        <v>NA</v>
      </c>
      <c r="DA110" s="254" t="str">
        <f ca="1">IF(ISERROR(IF(DA10&gt;Assumptions!$G$10,0,1)*-DA75/DA90),"NA",-DA75/DA90)</f>
        <v>NA</v>
      </c>
      <c r="DB110" s="254" t="str">
        <f ca="1">IF(ISERROR(IF(DB10&gt;Assumptions!$G$10,0,1)*-DB75/DB90),"NA",-DB75/DB90)</f>
        <v>NA</v>
      </c>
      <c r="DC110" s="254" t="str">
        <f ca="1">IF(ISERROR(IF(DC10&gt;Assumptions!$G$10,0,1)*-DC75/DC90),"NA",-DC75/DC90)</f>
        <v>NA</v>
      </c>
      <c r="DD110" s="254" t="str">
        <f ca="1">IF(ISERROR(IF(DD10&gt;Assumptions!$G$10,0,1)*-DD75/DD90),"NA",-DD75/DD90)</f>
        <v>NA</v>
      </c>
      <c r="DE110" s="254" t="str">
        <f ca="1">IF(ISERROR(IF(DE10&gt;Assumptions!$G$10,0,1)*-DE75/DE90),"NA",-DE75/DE90)</f>
        <v>NA</v>
      </c>
      <c r="DF110" s="254" t="str">
        <f ca="1">IF(ISERROR(IF(DF10&gt;Assumptions!$G$10,0,1)*-DF75/DF90),"NA",-DF75/DF90)</f>
        <v>NA</v>
      </c>
      <c r="DG110" s="254" t="str">
        <f ca="1">IF(ISERROR(IF(DG10&gt;Assumptions!$G$10,0,1)*-DG75/DG90),"NA",-DG75/DG90)</f>
        <v>NA</v>
      </c>
      <c r="DH110" s="254" t="str">
        <f ca="1">IF(ISERROR(IF(DH10&gt;Assumptions!$G$10,0,1)*-DH75/DH90),"NA",-DH75/DH90)</f>
        <v>NA</v>
      </c>
      <c r="DI110" s="254" t="str">
        <f ca="1">IF(ISERROR(IF(DI10&gt;Assumptions!$G$10,0,1)*-DI75/DI90),"NA",-DI75/DI90)</f>
        <v>NA</v>
      </c>
      <c r="DJ110" s="254" t="str">
        <f ca="1">IF(ISERROR(IF(DJ10&gt;Assumptions!$G$10,0,1)*-DJ75/DJ90),"NA",-DJ75/DJ90)</f>
        <v>NA</v>
      </c>
      <c r="DK110" s="254" t="str">
        <f ca="1">IF(ISERROR(IF(DK10&gt;Assumptions!$G$10,0,1)*-DK75/DK90),"NA",-DK75/DK90)</f>
        <v>NA</v>
      </c>
      <c r="DL110" s="254" t="str">
        <f ca="1">IF(ISERROR(IF(DL10&gt;Assumptions!$G$10,0,1)*-DL75/DL90),"NA",-DL75/DL90)</f>
        <v>NA</v>
      </c>
      <c r="DM110" s="254" t="str">
        <f ca="1">IF(ISERROR(IF(DM10&gt;Assumptions!$G$10,0,1)*-DM75/DM90),"NA",-DM75/DM90)</f>
        <v>NA</v>
      </c>
      <c r="DN110" s="254" t="str">
        <f ca="1">IF(ISERROR(IF(DN10&gt;Assumptions!$G$10,0,1)*-DN75/DN90),"NA",-DN75/DN90)</f>
        <v>NA</v>
      </c>
      <c r="DO110" s="254" t="str">
        <f ca="1">IF(ISERROR(IF(DO10&gt;Assumptions!$G$10,0,1)*-DO75/DO90),"NA",-DO75/DO90)</f>
        <v>NA</v>
      </c>
      <c r="DP110" s="254" t="str">
        <f ca="1">IF(ISERROR(IF(DP10&gt;Assumptions!$G$10,0,1)*-DP75/DP90),"NA",-DP75/DP90)</f>
        <v>NA</v>
      </c>
      <c r="DQ110" s="254" t="str">
        <f ca="1">IF(ISERROR(IF(DQ10&gt;Assumptions!$G$10,0,1)*-DQ75/DQ90),"NA",-DQ75/DQ90)</f>
        <v>NA</v>
      </c>
      <c r="DR110" s="254" t="str">
        <f ca="1">IF(ISERROR(IF(DR10&gt;Assumptions!$G$10,0,1)*-DR75/DR90),"NA",-DR75/DR90)</f>
        <v>NA</v>
      </c>
      <c r="DS110" s="254" t="str">
        <f ca="1">IF(ISERROR(IF(DS10&gt;Assumptions!$G$10,0,1)*-DS75/DS90),"NA",-DS75/DS90)</f>
        <v>NA</v>
      </c>
      <c r="DT110" s="254" t="str">
        <f ca="1">IF(ISERROR(IF(DT10&gt;Assumptions!$G$10,0,1)*-DT75/DT90),"NA",-DT75/DT90)</f>
        <v>NA</v>
      </c>
      <c r="DU110" s="254" t="str">
        <f ca="1">IF(ISERROR(IF(DU10&gt;Assumptions!$G$10,0,1)*-DU75/DU90),"NA",-DU75/DU90)</f>
        <v>NA</v>
      </c>
      <c r="DV110" s="254" t="str">
        <f ca="1">IF(ISERROR(IF(DV10&gt;Assumptions!$G$10,0,1)*-DV75/DV90),"NA",-DV75/DV90)</f>
        <v>NA</v>
      </c>
      <c r="DW110" s="254" t="str">
        <f ca="1">IF(ISERROR(IF(DW10&gt;Assumptions!$G$10,0,1)*-DW75/DW90),"NA",-DW75/DW90)</f>
        <v>NA</v>
      </c>
      <c r="DX110" s="254" t="str">
        <f ca="1">IF(ISERROR(IF(DX10&gt;Assumptions!$G$10,0,1)*-DX75/DX90),"NA",-DX75/DX90)</f>
        <v>NA</v>
      </c>
      <c r="DY110" s="254" t="str">
        <f ca="1">IF(ISERROR(IF(DY10&gt;Assumptions!$G$10,0,1)*-DY75/DY90),"NA",-DY75/DY90)</f>
        <v>NA</v>
      </c>
      <c r="DZ110" s="254" t="str">
        <f ca="1">IF(ISERROR(IF(DZ10&gt;Assumptions!$G$10,0,1)*-DZ75/DZ90),"NA",-DZ75/DZ90)</f>
        <v>NA</v>
      </c>
      <c r="EA110" s="254" t="str">
        <f ca="1">IF(ISERROR(IF(EA10&gt;Assumptions!$G$10,0,1)*-EA75/EA90),"NA",-EA75/EA90)</f>
        <v>NA</v>
      </c>
      <c r="EB110" s="254" t="str">
        <f ca="1">IF(ISERROR(IF(EB10&gt;Assumptions!$G$10,0,1)*-EB75/EB90),"NA",-EB75/EB90)</f>
        <v>NA</v>
      </c>
      <c r="EC110" s="254" t="str">
        <f ca="1">IF(ISERROR(IF(EC10&gt;Assumptions!$G$10,0,1)*-EC75/EC90),"NA",-EC75/EC90)</f>
        <v>NA</v>
      </c>
      <c r="ED110" s="254" t="str">
        <f ca="1">IF(ISERROR(IF(ED10&gt;Assumptions!$G$10,0,1)*-ED75/ED90),"NA",-ED75/ED90)</f>
        <v>NA</v>
      </c>
      <c r="EE110" s="254" t="str">
        <f ca="1">IF(ISERROR(IF(EE10&gt;Assumptions!$G$10,0,1)*-EE75/EE90),"NA",-EE75/EE90)</f>
        <v>NA</v>
      </c>
      <c r="EF110" s="254" t="str">
        <f ca="1">IF(ISERROR(IF(EF10&gt;Assumptions!$G$10,0,1)*-EF75/EF90),"NA",-EF75/EF90)</f>
        <v>NA</v>
      </c>
      <c r="EG110" s="254" t="str">
        <f ca="1">IF(ISERROR(IF(EG10&gt;Assumptions!$G$10,0,1)*-EG75/EG90),"NA",-EG75/EG90)</f>
        <v>NA</v>
      </c>
      <c r="EH110" s="254" t="str">
        <f ca="1">IF(ISERROR(IF(EH10&gt;Assumptions!$G$10,0,1)*-EH75/EH90),"NA",-EH75/EH90)</f>
        <v>NA</v>
      </c>
      <c r="EI110" s="254" t="str">
        <f ca="1">IF(ISERROR(IF(EI10&gt;Assumptions!$G$10,0,1)*-EI75/EI90),"NA",-EI75/EI90)</f>
        <v>NA</v>
      </c>
      <c r="EJ110" s="254" t="str">
        <f ca="1">IF(ISERROR(IF(EJ10&gt;Assumptions!$G$10,0,1)*-EJ75/EJ90),"NA",-EJ75/EJ90)</f>
        <v>NA</v>
      </c>
      <c r="EK110" s="254" t="str">
        <f ca="1">IF(ISERROR(IF(EK10&gt;Assumptions!$G$10,0,1)*-EK75/EK90),"NA",-EK75/EK90)</f>
        <v>NA</v>
      </c>
      <c r="EL110" s="254" t="str">
        <f ca="1">IF(ISERROR(IF(EL10&gt;Assumptions!$G$10,0,1)*-EL75/EL90),"NA",-EL75/EL90)</f>
        <v>NA</v>
      </c>
      <c r="EM110" s="254" t="str">
        <f ca="1">IF(ISERROR(IF(EM10&gt;Assumptions!$G$10,0,1)*-EM75/EM90),"NA",-EM75/EM90)</f>
        <v>NA</v>
      </c>
      <c r="EN110" s="254" t="str">
        <f ca="1">IF(ISERROR(IF(EN10&gt;Assumptions!$G$10,0,1)*-EN75/EN90),"NA",-EN75/EN90)</f>
        <v>NA</v>
      </c>
      <c r="EO110" s="254" t="str">
        <f ca="1">IF(ISERROR(IF(EO10&gt;Assumptions!$G$10,0,1)*-EO75/EO90),"NA",-EO75/EO90)</f>
        <v>NA</v>
      </c>
      <c r="EP110" s="254" t="str">
        <f ca="1">IF(ISERROR(IF(EP10&gt;Assumptions!$G$10,0,1)*-EP75/EP90),"NA",-EP75/EP90)</f>
        <v>NA</v>
      </c>
      <c r="EQ110" s="254" t="str">
        <f ca="1">IF(ISERROR(IF(EQ10&gt;Assumptions!$G$10,0,1)*-EQ75/EQ90),"NA",-EQ75/EQ90)</f>
        <v>NA</v>
      </c>
      <c r="ES110" s="98"/>
      <c r="ET110" s="98"/>
      <c r="EU110" s="98"/>
    </row>
    <row r="111" spans="7:151" ht="15.75">
      <c r="G111" s="94" t="s">
        <v>208</v>
      </c>
      <c r="H111" s="117"/>
      <c r="I111" s="95"/>
      <c r="J111" s="102"/>
      <c r="K111" s="102"/>
      <c r="L111" s="102"/>
      <c r="M111" s="102"/>
      <c r="N111" s="102"/>
      <c r="O111" s="254" t="str">
        <f t="shared" ref="O111:BZ111" si="86">IF(ISERROR(-O75/O91),"NA",-O75/O91)</f>
        <v>NA</v>
      </c>
      <c r="P111" s="254" t="str">
        <f t="shared" ca="1" si="86"/>
        <v>NA</v>
      </c>
      <c r="Q111" s="254" t="str">
        <f t="shared" ca="1" si="86"/>
        <v>NA</v>
      </c>
      <c r="R111" s="254" t="str">
        <f t="shared" ca="1" si="86"/>
        <v>NA</v>
      </c>
      <c r="S111" s="254" t="str">
        <f t="shared" ca="1" si="86"/>
        <v>NA</v>
      </c>
      <c r="T111" s="254" t="str">
        <f t="shared" ca="1" si="86"/>
        <v>NA</v>
      </c>
      <c r="U111" s="254" t="str">
        <f t="shared" ca="1" si="86"/>
        <v>NA</v>
      </c>
      <c r="V111" s="254" t="str">
        <f t="shared" ca="1" si="86"/>
        <v>NA</v>
      </c>
      <c r="W111" s="254" t="str">
        <f t="shared" ca="1" si="86"/>
        <v>NA</v>
      </c>
      <c r="X111" s="254" t="str">
        <f t="shared" ca="1" si="86"/>
        <v>NA</v>
      </c>
      <c r="Y111" s="254" t="str">
        <f t="shared" ca="1" si="86"/>
        <v>NA</v>
      </c>
      <c r="Z111" s="254" t="str">
        <f t="shared" ca="1" si="86"/>
        <v>NA</v>
      </c>
      <c r="AA111" s="254" t="str">
        <f t="shared" ca="1" si="86"/>
        <v>NA</v>
      </c>
      <c r="AB111" s="254" t="str">
        <f t="shared" ca="1" si="86"/>
        <v>NA</v>
      </c>
      <c r="AC111" s="254" t="str">
        <f t="shared" ca="1" si="86"/>
        <v>NA</v>
      </c>
      <c r="AD111" s="254" t="str">
        <f t="shared" ca="1" si="86"/>
        <v>NA</v>
      </c>
      <c r="AE111" s="254" t="str">
        <f t="shared" ca="1" si="86"/>
        <v>NA</v>
      </c>
      <c r="AF111" s="254" t="str">
        <f t="shared" ca="1" si="86"/>
        <v>NA</v>
      </c>
      <c r="AG111" s="254" t="str">
        <f t="shared" ca="1" si="86"/>
        <v>NA</v>
      </c>
      <c r="AH111" s="254" t="str">
        <f t="shared" ca="1" si="86"/>
        <v>NA</v>
      </c>
      <c r="AI111" s="254" t="str">
        <f t="shared" ca="1" si="86"/>
        <v>NA</v>
      </c>
      <c r="AJ111" s="254" t="str">
        <f t="shared" ca="1" si="86"/>
        <v>NA</v>
      </c>
      <c r="AK111" s="254" t="str">
        <f t="shared" ca="1" si="86"/>
        <v>NA</v>
      </c>
      <c r="AL111" s="254" t="str">
        <f t="shared" ca="1" si="86"/>
        <v>NA</v>
      </c>
      <c r="AM111" s="254" t="str">
        <f t="shared" ca="1" si="86"/>
        <v>NA</v>
      </c>
      <c r="AN111" s="254" t="str">
        <f t="shared" ca="1" si="86"/>
        <v>NA</v>
      </c>
      <c r="AO111" s="254" t="str">
        <f t="shared" ca="1" si="86"/>
        <v>NA</v>
      </c>
      <c r="AP111" s="254" t="str">
        <f t="shared" ca="1" si="86"/>
        <v>NA</v>
      </c>
      <c r="AQ111" s="254" t="str">
        <f t="shared" ca="1" si="86"/>
        <v>NA</v>
      </c>
      <c r="AR111" s="254" t="str">
        <f t="shared" ca="1" si="86"/>
        <v>NA</v>
      </c>
      <c r="AS111" s="254" t="str">
        <f t="shared" ca="1" si="86"/>
        <v>NA</v>
      </c>
      <c r="AT111" s="254" t="str">
        <f t="shared" ca="1" si="86"/>
        <v>NA</v>
      </c>
      <c r="AU111" s="254" t="str">
        <f t="shared" ca="1" si="86"/>
        <v>NA</v>
      </c>
      <c r="AV111" s="254" t="str">
        <f t="shared" ca="1" si="86"/>
        <v>NA</v>
      </c>
      <c r="AW111" s="254" t="str">
        <f t="shared" ca="1" si="86"/>
        <v>NA</v>
      </c>
      <c r="AX111" s="254" t="str">
        <f t="shared" ca="1" si="86"/>
        <v>NA</v>
      </c>
      <c r="AY111" s="254" t="str">
        <f t="shared" ca="1" si="86"/>
        <v>NA</v>
      </c>
      <c r="AZ111" s="254" t="str">
        <f t="shared" ca="1" si="86"/>
        <v>NA</v>
      </c>
      <c r="BA111" s="254" t="str">
        <f t="shared" ca="1" si="86"/>
        <v>NA</v>
      </c>
      <c r="BB111" s="254" t="str">
        <f t="shared" ca="1" si="86"/>
        <v>NA</v>
      </c>
      <c r="BC111" s="254" t="str">
        <f t="shared" ca="1" si="86"/>
        <v>NA</v>
      </c>
      <c r="BD111" s="254" t="str">
        <f t="shared" ca="1" si="86"/>
        <v>NA</v>
      </c>
      <c r="BE111" s="254" t="str">
        <f t="shared" ca="1" si="86"/>
        <v>NA</v>
      </c>
      <c r="BF111" s="254" t="str">
        <f t="shared" ca="1" si="86"/>
        <v>NA</v>
      </c>
      <c r="BG111" s="254" t="str">
        <f t="shared" ca="1" si="86"/>
        <v>NA</v>
      </c>
      <c r="BH111" s="254" t="str">
        <f t="shared" ca="1" si="86"/>
        <v>NA</v>
      </c>
      <c r="BI111" s="254" t="str">
        <f t="shared" ca="1" si="86"/>
        <v>NA</v>
      </c>
      <c r="BJ111" s="254" t="str">
        <f t="shared" ca="1" si="86"/>
        <v>NA</v>
      </c>
      <c r="BK111" s="254">
        <f t="shared" ca="1" si="86"/>
        <v>1.3999004428678741</v>
      </c>
      <c r="BL111" s="254">
        <f t="shared" ca="1" si="86"/>
        <v>1.4362470209225429</v>
      </c>
      <c r="BM111" s="254">
        <f t="shared" ca="1" si="86"/>
        <v>1.4362470209225429</v>
      </c>
      <c r="BN111" s="254">
        <f t="shared" ca="1" si="86"/>
        <v>1.4362470209225429</v>
      </c>
      <c r="BO111" s="254">
        <f t="shared" ca="1" si="86"/>
        <v>1.4362470209225429</v>
      </c>
      <c r="BP111" s="254">
        <f t="shared" ca="1" si="86"/>
        <v>1.4362470209225429</v>
      </c>
      <c r="BQ111" s="254">
        <f t="shared" ca="1" si="86"/>
        <v>1.4362470209225429</v>
      </c>
      <c r="BR111" s="254">
        <f t="shared" ca="1" si="86"/>
        <v>1.4362470209225429</v>
      </c>
      <c r="BS111" s="254">
        <f t="shared" ca="1" si="86"/>
        <v>1.4362470209225429</v>
      </c>
      <c r="BT111" s="254">
        <f t="shared" ca="1" si="86"/>
        <v>1.4362470209225429</v>
      </c>
      <c r="BU111" s="254">
        <f t="shared" ca="1" si="86"/>
        <v>1.4362470209225429</v>
      </c>
      <c r="BV111" s="254">
        <f t="shared" ca="1" si="86"/>
        <v>1.4362470209225429</v>
      </c>
      <c r="BW111" s="254">
        <f t="shared" ca="1" si="86"/>
        <v>1.4362470209225429</v>
      </c>
      <c r="BX111" s="254">
        <f t="shared" ca="1" si="86"/>
        <v>1.4793344315502193</v>
      </c>
      <c r="BY111" s="254">
        <f t="shared" ca="1" si="86"/>
        <v>1.4793344315502193</v>
      </c>
      <c r="BZ111" s="254">
        <f t="shared" ca="1" si="86"/>
        <v>1.4793344315502193</v>
      </c>
      <c r="CA111" s="254">
        <f t="shared" ref="CA111:EL111" ca="1" si="87">IF(ISERROR(-CA75/CA91),"NA",-CA75/CA91)</f>
        <v>1.4793344315502193</v>
      </c>
      <c r="CB111" s="254">
        <f t="shared" ca="1" si="87"/>
        <v>1.4793344315502193</v>
      </c>
      <c r="CC111" s="254">
        <f t="shared" ca="1" si="87"/>
        <v>1.4793344315502193</v>
      </c>
      <c r="CD111" s="254">
        <f t="shared" ca="1" si="87"/>
        <v>1.4793344315502193</v>
      </c>
      <c r="CE111" s="254">
        <f t="shared" ca="1" si="87"/>
        <v>1.4793344315502193</v>
      </c>
      <c r="CF111" s="254">
        <f t="shared" ca="1" si="87"/>
        <v>1.4793344315502193</v>
      </c>
      <c r="CG111" s="254">
        <f t="shared" ca="1" si="87"/>
        <v>1.4793344315502193</v>
      </c>
      <c r="CH111" s="254">
        <f t="shared" ca="1" si="87"/>
        <v>1.4793344315502193</v>
      </c>
      <c r="CI111" s="254">
        <f t="shared" ca="1" si="87"/>
        <v>1.4793344315502193</v>
      </c>
      <c r="CJ111" s="254">
        <f t="shared" ca="1" si="87"/>
        <v>1.5237144644967262</v>
      </c>
      <c r="CK111" s="254">
        <f t="shared" ca="1" si="87"/>
        <v>1.5237144644967262</v>
      </c>
      <c r="CL111" s="254">
        <f t="shared" ca="1" si="87"/>
        <v>1.5237144644967262</v>
      </c>
      <c r="CM111" s="254">
        <f t="shared" ca="1" si="87"/>
        <v>1.5237144644967262</v>
      </c>
      <c r="CN111" s="254">
        <f t="shared" ca="1" si="87"/>
        <v>1.5237144644967262</v>
      </c>
      <c r="CO111" s="254">
        <f t="shared" ca="1" si="87"/>
        <v>1.5237144644967262</v>
      </c>
      <c r="CP111" s="254">
        <f t="shared" ca="1" si="87"/>
        <v>1.5237144644967262</v>
      </c>
      <c r="CQ111" s="254">
        <f t="shared" ca="1" si="87"/>
        <v>1.5237144644967262</v>
      </c>
      <c r="CR111" s="254">
        <f t="shared" ca="1" si="87"/>
        <v>1.5237144644967262</v>
      </c>
      <c r="CS111" s="254">
        <f t="shared" ca="1" si="87"/>
        <v>1.5237144644967262</v>
      </c>
      <c r="CT111" s="254">
        <f t="shared" ca="1" si="87"/>
        <v>1.5237144644967262</v>
      </c>
      <c r="CU111" s="254">
        <f t="shared" ca="1" si="87"/>
        <v>1.5237144644967262</v>
      </c>
      <c r="CV111" s="254">
        <f t="shared" ca="1" si="87"/>
        <v>1.5694258984316281</v>
      </c>
      <c r="CW111" s="254">
        <f t="shared" ca="1" si="87"/>
        <v>1.5694258984316281</v>
      </c>
      <c r="CX111" s="254">
        <f t="shared" ca="1" si="87"/>
        <v>1.5694258984316281</v>
      </c>
      <c r="CY111" s="254">
        <f t="shared" ca="1" si="87"/>
        <v>1.5694258984316281</v>
      </c>
      <c r="CZ111" s="254">
        <f t="shared" ca="1" si="87"/>
        <v>1.5694258984316281</v>
      </c>
      <c r="DA111" s="254">
        <f t="shared" ca="1" si="87"/>
        <v>1.5694258984316281</v>
      </c>
      <c r="DB111" s="254">
        <f t="shared" ca="1" si="87"/>
        <v>1.5694258984316281</v>
      </c>
      <c r="DC111" s="254">
        <f t="shared" ca="1" si="87"/>
        <v>1.5694258984316281</v>
      </c>
      <c r="DD111" s="254">
        <f t="shared" ca="1" si="87"/>
        <v>1.5694258984316281</v>
      </c>
      <c r="DE111" s="254">
        <f t="shared" ca="1" si="87"/>
        <v>1.5694258984316281</v>
      </c>
      <c r="DF111" s="254">
        <f t="shared" ca="1" si="87"/>
        <v>1.5694258984316281</v>
      </c>
      <c r="DG111" s="254">
        <f t="shared" ca="1" si="87"/>
        <v>1.5694258984316281</v>
      </c>
      <c r="DH111" s="254" t="str">
        <f t="shared" ca="1" si="87"/>
        <v>NA</v>
      </c>
      <c r="DI111" s="254" t="str">
        <f t="shared" ca="1" si="87"/>
        <v>NA</v>
      </c>
      <c r="DJ111" s="254" t="str">
        <f t="shared" ca="1" si="87"/>
        <v>NA</v>
      </c>
      <c r="DK111" s="254" t="str">
        <f t="shared" ca="1" si="87"/>
        <v>NA</v>
      </c>
      <c r="DL111" s="254" t="str">
        <f t="shared" ca="1" si="87"/>
        <v>NA</v>
      </c>
      <c r="DM111" s="254" t="str">
        <f t="shared" ca="1" si="87"/>
        <v>NA</v>
      </c>
      <c r="DN111" s="254" t="str">
        <f t="shared" ca="1" si="87"/>
        <v>NA</v>
      </c>
      <c r="DO111" s="254" t="str">
        <f t="shared" ca="1" si="87"/>
        <v>NA</v>
      </c>
      <c r="DP111" s="254" t="str">
        <f t="shared" ca="1" si="87"/>
        <v>NA</v>
      </c>
      <c r="DQ111" s="254" t="str">
        <f t="shared" ca="1" si="87"/>
        <v>NA</v>
      </c>
      <c r="DR111" s="254" t="str">
        <f t="shared" ca="1" si="87"/>
        <v>NA</v>
      </c>
      <c r="DS111" s="254" t="str">
        <f t="shared" ca="1" si="87"/>
        <v>NA</v>
      </c>
      <c r="DT111" s="254" t="str">
        <f t="shared" ca="1" si="87"/>
        <v>NA</v>
      </c>
      <c r="DU111" s="254" t="str">
        <f t="shared" ca="1" si="87"/>
        <v>NA</v>
      </c>
      <c r="DV111" s="254" t="str">
        <f t="shared" ca="1" si="87"/>
        <v>NA</v>
      </c>
      <c r="DW111" s="254" t="str">
        <f t="shared" ca="1" si="87"/>
        <v>NA</v>
      </c>
      <c r="DX111" s="254" t="str">
        <f t="shared" ca="1" si="87"/>
        <v>NA</v>
      </c>
      <c r="DY111" s="254" t="str">
        <f t="shared" ca="1" si="87"/>
        <v>NA</v>
      </c>
      <c r="DZ111" s="254" t="str">
        <f t="shared" ca="1" si="87"/>
        <v>NA</v>
      </c>
      <c r="EA111" s="254" t="str">
        <f t="shared" ca="1" si="87"/>
        <v>NA</v>
      </c>
      <c r="EB111" s="254" t="str">
        <f t="shared" ca="1" si="87"/>
        <v>NA</v>
      </c>
      <c r="EC111" s="254" t="str">
        <f t="shared" ca="1" si="87"/>
        <v>NA</v>
      </c>
      <c r="ED111" s="254" t="str">
        <f t="shared" ca="1" si="87"/>
        <v>NA</v>
      </c>
      <c r="EE111" s="254" t="str">
        <f t="shared" ca="1" si="87"/>
        <v>NA</v>
      </c>
      <c r="EF111" s="254" t="str">
        <f t="shared" ca="1" si="87"/>
        <v>NA</v>
      </c>
      <c r="EG111" s="254" t="str">
        <f t="shared" ca="1" si="87"/>
        <v>NA</v>
      </c>
      <c r="EH111" s="254" t="str">
        <f t="shared" ca="1" si="87"/>
        <v>NA</v>
      </c>
      <c r="EI111" s="254" t="str">
        <f t="shared" ca="1" si="87"/>
        <v>NA</v>
      </c>
      <c r="EJ111" s="254" t="str">
        <f t="shared" ca="1" si="87"/>
        <v>NA</v>
      </c>
      <c r="EK111" s="254" t="str">
        <f t="shared" ca="1" si="87"/>
        <v>NA</v>
      </c>
      <c r="EL111" s="254" t="str">
        <f t="shared" ca="1" si="87"/>
        <v>NA</v>
      </c>
      <c r="EM111" s="254" t="str">
        <f t="shared" ref="EM111:EQ111" ca="1" si="88">IF(ISERROR(-EM75/EM91),"NA",-EM75/EM91)</f>
        <v>NA</v>
      </c>
      <c r="EN111" s="254" t="str">
        <f t="shared" ca="1" si="88"/>
        <v>NA</v>
      </c>
      <c r="EO111" s="254" t="str">
        <f t="shared" ca="1" si="88"/>
        <v>NA</v>
      </c>
      <c r="EP111" s="254" t="str">
        <f t="shared" ca="1" si="88"/>
        <v>NA</v>
      </c>
      <c r="EQ111" s="254" t="str">
        <f t="shared" ca="1" si="88"/>
        <v>NA</v>
      </c>
      <c r="ES111" s="98"/>
      <c r="ET111" s="98"/>
      <c r="EU111" s="98"/>
    </row>
    <row r="112" spans="7:151" ht="15.75">
      <c r="G112" s="101"/>
      <c r="H112" s="117"/>
      <c r="I112" s="95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2"/>
      <c r="BS112" s="102"/>
      <c r="BT112" s="102"/>
      <c r="BU112" s="102"/>
      <c r="BV112" s="102"/>
      <c r="BW112" s="102"/>
      <c r="BX112" s="102"/>
      <c r="BY112" s="102"/>
      <c r="BZ112" s="102"/>
      <c r="CA112" s="102"/>
      <c r="CB112" s="102"/>
      <c r="CC112" s="102"/>
      <c r="CD112" s="102"/>
      <c r="CE112" s="102"/>
      <c r="CF112" s="102"/>
      <c r="CG112" s="102"/>
      <c r="CH112" s="102"/>
      <c r="CI112" s="102"/>
      <c r="CJ112" s="102"/>
      <c r="CK112" s="102"/>
      <c r="CL112" s="102"/>
      <c r="CM112" s="102"/>
      <c r="CN112" s="102"/>
      <c r="CO112" s="102"/>
      <c r="CP112" s="102"/>
      <c r="CQ112" s="102"/>
      <c r="CR112" s="102"/>
      <c r="CS112" s="102"/>
      <c r="CT112" s="102"/>
      <c r="CU112" s="102"/>
      <c r="CV112" s="102"/>
      <c r="CW112" s="102"/>
      <c r="CX112" s="102"/>
      <c r="CY112" s="102"/>
      <c r="CZ112" s="102"/>
      <c r="DA112" s="102"/>
      <c r="DB112" s="102"/>
      <c r="DC112" s="102"/>
      <c r="DD112" s="102"/>
      <c r="DE112" s="102"/>
      <c r="DF112" s="102"/>
      <c r="DG112" s="102"/>
      <c r="DH112" s="102"/>
      <c r="DI112" s="102"/>
      <c r="DJ112" s="102"/>
      <c r="DK112" s="102"/>
      <c r="DL112" s="102"/>
      <c r="DM112" s="102"/>
      <c r="DN112" s="102"/>
      <c r="DO112" s="102"/>
      <c r="DP112" s="102"/>
      <c r="DQ112" s="102"/>
      <c r="DR112" s="102"/>
      <c r="DS112" s="102"/>
      <c r="DT112" s="102"/>
      <c r="DU112" s="102"/>
      <c r="DV112" s="102"/>
      <c r="DW112" s="102"/>
      <c r="DX112" s="102"/>
      <c r="DY112" s="102"/>
      <c r="DZ112" s="102"/>
      <c r="EA112" s="102"/>
      <c r="EB112" s="102"/>
      <c r="EC112" s="102"/>
      <c r="ED112" s="102"/>
      <c r="EE112" s="102"/>
      <c r="EF112" s="102"/>
      <c r="EG112" s="102"/>
      <c r="EH112" s="102"/>
      <c r="EI112" s="102"/>
      <c r="EJ112" s="102"/>
      <c r="EK112" s="102"/>
      <c r="EL112" s="102"/>
      <c r="EM112" s="102"/>
      <c r="EN112" s="102"/>
      <c r="EO112" s="102"/>
      <c r="EP112" s="102"/>
      <c r="EQ112" s="102"/>
      <c r="ES112" s="98"/>
      <c r="ET112" s="98"/>
      <c r="EU112" s="98"/>
    </row>
    <row r="113" spans="7:151" ht="15.75">
      <c r="G113" s="101"/>
      <c r="H113" s="117"/>
      <c r="I113" s="95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2"/>
      <c r="BP113" s="102"/>
      <c r="BQ113" s="102"/>
      <c r="BR113" s="102"/>
      <c r="BS113" s="102"/>
      <c r="BT113" s="102"/>
      <c r="BU113" s="102"/>
      <c r="BV113" s="102"/>
      <c r="BW113" s="102"/>
      <c r="BX113" s="102"/>
      <c r="BY113" s="102"/>
      <c r="BZ113" s="102"/>
      <c r="CA113" s="102"/>
      <c r="CB113" s="102"/>
      <c r="CC113" s="102"/>
      <c r="CD113" s="102"/>
      <c r="CE113" s="102"/>
      <c r="CF113" s="102"/>
      <c r="CG113" s="102"/>
      <c r="CH113" s="102"/>
      <c r="CI113" s="102"/>
      <c r="CJ113" s="102"/>
      <c r="CK113" s="102"/>
      <c r="CL113" s="102"/>
      <c r="CM113" s="102"/>
      <c r="CN113" s="102"/>
      <c r="CO113" s="102"/>
      <c r="CP113" s="102"/>
      <c r="CQ113" s="102"/>
      <c r="CR113" s="102"/>
      <c r="CS113" s="102"/>
      <c r="CT113" s="102"/>
      <c r="CU113" s="102"/>
      <c r="CV113" s="102"/>
      <c r="CW113" s="102"/>
      <c r="CX113" s="102"/>
      <c r="CY113" s="102"/>
      <c r="CZ113" s="102"/>
      <c r="DA113" s="102"/>
      <c r="DB113" s="102"/>
      <c r="DC113" s="102"/>
      <c r="DD113" s="102"/>
      <c r="DE113" s="102"/>
      <c r="DF113" s="102"/>
      <c r="DG113" s="102"/>
      <c r="DH113" s="102"/>
      <c r="DI113" s="102"/>
      <c r="DJ113" s="102"/>
      <c r="DK113" s="102"/>
      <c r="DL113" s="102"/>
      <c r="DM113" s="102"/>
      <c r="DN113" s="102"/>
      <c r="DO113" s="102"/>
      <c r="DP113" s="102"/>
      <c r="DQ113" s="102"/>
      <c r="DR113" s="102"/>
      <c r="DS113" s="102"/>
      <c r="DT113" s="102"/>
      <c r="DU113" s="102"/>
      <c r="DV113" s="102"/>
      <c r="DW113" s="102"/>
      <c r="DX113" s="102"/>
      <c r="DY113" s="102"/>
      <c r="DZ113" s="102"/>
      <c r="EA113" s="102"/>
      <c r="EB113" s="102"/>
      <c r="EC113" s="102"/>
      <c r="ED113" s="102"/>
      <c r="EE113" s="102"/>
      <c r="EF113" s="102"/>
      <c r="EG113" s="102"/>
      <c r="EH113" s="102"/>
      <c r="EI113" s="102"/>
      <c r="EJ113" s="102"/>
      <c r="EK113" s="102"/>
      <c r="EL113" s="102"/>
      <c r="EM113" s="102"/>
      <c r="EN113" s="102"/>
      <c r="EO113" s="102"/>
      <c r="EP113" s="102"/>
      <c r="EQ113" s="102"/>
      <c r="ES113" s="98"/>
      <c r="ET113" s="98"/>
      <c r="EU113" s="98"/>
    </row>
    <row r="114" spans="7:151" ht="15.75">
      <c r="G114" s="101"/>
      <c r="H114" s="117"/>
      <c r="I114" s="95"/>
      <c r="J114" s="102"/>
      <c r="K114" s="102"/>
      <c r="L114" s="102"/>
      <c r="M114" s="102"/>
      <c r="N114" s="102"/>
      <c r="O114" s="102"/>
      <c r="P114" s="102"/>
      <c r="Q114" s="104"/>
      <c r="R114" s="104"/>
      <c r="S114" s="105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Y114" s="104"/>
      <c r="AZ114" s="104"/>
      <c r="BA114" s="104"/>
      <c r="BB114" s="104"/>
      <c r="BC114" s="104"/>
      <c r="BD114" s="104"/>
      <c r="BE114" s="104"/>
      <c r="BF114" s="104"/>
      <c r="BG114" s="104"/>
      <c r="BH114" s="104"/>
      <c r="BI114" s="104"/>
      <c r="BJ114" s="104"/>
      <c r="BK114" s="104"/>
      <c r="BL114" s="104"/>
      <c r="BM114" s="104"/>
      <c r="BN114" s="104"/>
      <c r="BO114" s="104"/>
      <c r="BP114" s="104"/>
      <c r="BQ114" s="104"/>
      <c r="BR114" s="104"/>
      <c r="BS114" s="104"/>
      <c r="BT114" s="104"/>
      <c r="BU114" s="104"/>
      <c r="BV114" s="104"/>
      <c r="BW114" s="104"/>
      <c r="BX114" s="104"/>
      <c r="BY114" s="104"/>
      <c r="BZ114" s="104"/>
      <c r="CA114" s="104"/>
      <c r="CB114" s="104"/>
      <c r="CC114" s="104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4"/>
      <c r="CO114" s="104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4"/>
      <c r="DA114" s="104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04"/>
      <c r="DM114" s="104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04"/>
      <c r="DY114" s="104"/>
      <c r="DZ114" s="104"/>
      <c r="EA114" s="104"/>
      <c r="EB114" s="104"/>
      <c r="EC114" s="104"/>
      <c r="ED114" s="104"/>
      <c r="EE114" s="104"/>
      <c r="EF114" s="104"/>
      <c r="EG114" s="104"/>
      <c r="EH114" s="104"/>
      <c r="EI114" s="104"/>
      <c r="EJ114" s="104"/>
      <c r="EK114" s="104"/>
      <c r="EL114" s="104"/>
      <c r="EM114" s="104"/>
      <c r="EN114" s="104"/>
      <c r="EO114" s="104"/>
      <c r="EP114" s="104"/>
      <c r="EQ114" s="104"/>
      <c r="ES114" s="98"/>
      <c r="ET114" s="98"/>
      <c r="EU114" s="98"/>
    </row>
    <row r="115" spans="7:151" ht="15.75">
      <c r="G115" s="94"/>
      <c r="H115" s="117"/>
      <c r="I115" s="95"/>
      <c r="J115" s="102"/>
      <c r="K115" s="102"/>
      <c r="L115" s="102"/>
      <c r="M115" s="102"/>
      <c r="N115" s="102"/>
      <c r="O115" s="102"/>
      <c r="P115" s="102"/>
      <c r="Q115" s="104"/>
      <c r="R115" s="104"/>
      <c r="S115" s="105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104"/>
      <c r="AW115" s="104"/>
      <c r="AX115" s="104"/>
      <c r="AY115" s="104"/>
      <c r="AZ115" s="104"/>
      <c r="BA115" s="104"/>
      <c r="BB115" s="104"/>
      <c r="BC115" s="104"/>
      <c r="BD115" s="104"/>
      <c r="BE115" s="104"/>
      <c r="BF115" s="104"/>
      <c r="BG115" s="104"/>
      <c r="BH115" s="104"/>
      <c r="BI115" s="104"/>
      <c r="BJ115" s="104"/>
      <c r="BK115" s="104"/>
      <c r="BL115" s="104"/>
      <c r="BM115" s="104"/>
      <c r="BN115" s="104"/>
      <c r="BO115" s="104"/>
      <c r="BP115" s="104"/>
      <c r="BQ115" s="104"/>
      <c r="BR115" s="104"/>
      <c r="BS115" s="104"/>
      <c r="BT115" s="104"/>
      <c r="BU115" s="104"/>
      <c r="BV115" s="104"/>
      <c r="BW115" s="104"/>
      <c r="BX115" s="104"/>
      <c r="BY115" s="104"/>
      <c r="BZ115" s="104"/>
      <c r="CA115" s="104"/>
      <c r="CB115" s="104"/>
      <c r="CC115" s="104"/>
      <c r="CD115" s="104"/>
      <c r="CE115" s="104"/>
      <c r="CF115" s="104"/>
      <c r="CG115" s="104"/>
      <c r="CH115" s="104"/>
      <c r="CI115" s="104"/>
      <c r="CJ115" s="104"/>
      <c r="CK115" s="104"/>
      <c r="CL115" s="104"/>
      <c r="CM115" s="104"/>
      <c r="CN115" s="104"/>
      <c r="CO115" s="104"/>
      <c r="CP115" s="104"/>
      <c r="CQ115" s="104"/>
      <c r="CR115" s="104"/>
      <c r="CS115" s="104"/>
      <c r="CT115" s="104"/>
      <c r="CU115" s="104"/>
      <c r="CV115" s="104"/>
      <c r="CW115" s="104"/>
      <c r="CX115" s="104"/>
      <c r="CY115" s="104"/>
      <c r="CZ115" s="104"/>
      <c r="DA115" s="104"/>
      <c r="DB115" s="104"/>
      <c r="DC115" s="104"/>
      <c r="DD115" s="104"/>
      <c r="DE115" s="104"/>
      <c r="DF115" s="104"/>
      <c r="DG115" s="104"/>
      <c r="DH115" s="104"/>
      <c r="DI115" s="104"/>
      <c r="DJ115" s="104"/>
      <c r="DK115" s="104"/>
      <c r="DL115" s="104"/>
      <c r="DM115" s="104"/>
      <c r="DN115" s="104"/>
      <c r="DO115" s="104"/>
      <c r="DP115" s="104"/>
      <c r="DQ115" s="104"/>
      <c r="DR115" s="104"/>
      <c r="DS115" s="104"/>
      <c r="DT115" s="104"/>
      <c r="DU115" s="104"/>
      <c r="DV115" s="104"/>
      <c r="DW115" s="104"/>
      <c r="DX115" s="104"/>
      <c r="DY115" s="104"/>
      <c r="DZ115" s="104"/>
      <c r="EA115" s="104"/>
      <c r="EB115" s="104"/>
      <c r="EC115" s="104"/>
      <c r="ED115" s="104"/>
      <c r="EE115" s="104"/>
      <c r="EF115" s="104"/>
      <c r="EG115" s="104"/>
      <c r="EH115" s="104"/>
      <c r="EI115" s="104"/>
      <c r="EJ115" s="104"/>
      <c r="EK115" s="104"/>
      <c r="EL115" s="104"/>
      <c r="EM115" s="104"/>
      <c r="EN115" s="104"/>
      <c r="EO115" s="104"/>
      <c r="EP115" s="104"/>
      <c r="EQ115" s="104"/>
      <c r="ES115" s="98"/>
      <c r="ET115" s="98"/>
      <c r="EU115" s="98"/>
    </row>
    <row r="116" spans="7:151" ht="15.75">
      <c r="G116" s="94"/>
      <c r="H116" s="117"/>
      <c r="I116" s="95"/>
      <c r="J116" s="102"/>
      <c r="K116" s="102"/>
      <c r="L116" s="102"/>
      <c r="M116" s="102"/>
      <c r="N116" s="102"/>
      <c r="O116" s="102"/>
      <c r="P116" s="102"/>
      <c r="Q116" s="104"/>
      <c r="R116" s="104"/>
      <c r="S116" s="105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104"/>
      <c r="AZ116" s="104"/>
      <c r="BA116" s="104"/>
      <c r="BB116" s="104"/>
      <c r="BC116" s="104"/>
      <c r="BD116" s="104"/>
      <c r="BE116" s="104"/>
      <c r="BF116" s="104"/>
      <c r="BG116" s="104"/>
      <c r="BH116" s="104"/>
      <c r="BI116" s="104"/>
      <c r="BJ116" s="104"/>
      <c r="BK116" s="104"/>
      <c r="BL116" s="104"/>
      <c r="BM116" s="104"/>
      <c r="BN116" s="104"/>
      <c r="BO116" s="104"/>
      <c r="BP116" s="104"/>
      <c r="BQ116" s="104"/>
      <c r="BR116" s="104"/>
      <c r="BS116" s="104"/>
      <c r="BT116" s="104"/>
      <c r="BU116" s="104"/>
      <c r="BV116" s="104"/>
      <c r="BW116" s="104"/>
      <c r="BX116" s="104"/>
      <c r="BY116" s="104"/>
      <c r="BZ116" s="104"/>
      <c r="CA116" s="104"/>
      <c r="CB116" s="104"/>
      <c r="CC116" s="104"/>
      <c r="CD116" s="104"/>
      <c r="CE116" s="104"/>
      <c r="CF116" s="104"/>
      <c r="CG116" s="104"/>
      <c r="CH116" s="104"/>
      <c r="CI116" s="104"/>
      <c r="CJ116" s="104"/>
      <c r="CK116" s="104"/>
      <c r="CL116" s="104"/>
      <c r="CM116" s="104"/>
      <c r="CN116" s="104"/>
      <c r="CO116" s="104"/>
      <c r="CP116" s="104"/>
      <c r="CQ116" s="104"/>
      <c r="CR116" s="104"/>
      <c r="CS116" s="104"/>
      <c r="CT116" s="104"/>
      <c r="CU116" s="104"/>
      <c r="CV116" s="104"/>
      <c r="CW116" s="104"/>
      <c r="CX116" s="104"/>
      <c r="CY116" s="104"/>
      <c r="CZ116" s="104"/>
      <c r="DA116" s="104"/>
      <c r="DB116" s="104"/>
      <c r="DC116" s="104"/>
      <c r="DD116" s="104"/>
      <c r="DE116" s="104"/>
      <c r="DF116" s="104"/>
      <c r="DG116" s="104"/>
      <c r="DH116" s="104"/>
      <c r="DI116" s="104"/>
      <c r="DJ116" s="104"/>
      <c r="DK116" s="104"/>
      <c r="DL116" s="104"/>
      <c r="DM116" s="104"/>
      <c r="DN116" s="104"/>
      <c r="DO116" s="104"/>
      <c r="DP116" s="104"/>
      <c r="DQ116" s="104"/>
      <c r="DR116" s="104"/>
      <c r="DS116" s="104"/>
      <c r="DT116" s="104"/>
      <c r="DU116" s="104"/>
      <c r="DV116" s="104"/>
      <c r="DW116" s="104"/>
      <c r="DX116" s="104"/>
      <c r="DY116" s="104"/>
      <c r="DZ116" s="104"/>
      <c r="EA116" s="104"/>
      <c r="EB116" s="104"/>
      <c r="EC116" s="104"/>
      <c r="ED116" s="104"/>
      <c r="EE116" s="104"/>
      <c r="EF116" s="104"/>
      <c r="EG116" s="104"/>
      <c r="EH116" s="104"/>
      <c r="EI116" s="104"/>
      <c r="EJ116" s="104"/>
      <c r="EK116" s="104"/>
      <c r="EL116" s="104"/>
      <c r="EM116" s="104"/>
      <c r="EN116" s="104"/>
      <c r="EO116" s="104"/>
      <c r="EP116" s="104"/>
      <c r="EQ116" s="104"/>
      <c r="ES116" s="98"/>
      <c r="ET116" s="98"/>
      <c r="EU116" s="98"/>
    </row>
    <row r="117" spans="7:151" ht="15.75">
      <c r="G117" s="144"/>
      <c r="H117" s="146"/>
      <c r="I117" s="147"/>
      <c r="J117" s="147"/>
      <c r="K117" s="147"/>
      <c r="L117" s="147"/>
      <c r="M117" s="147"/>
      <c r="N117" s="144"/>
      <c r="O117" s="144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  <c r="BI117" s="148"/>
      <c r="BJ117" s="148"/>
      <c r="BK117" s="148"/>
      <c r="BL117" s="148"/>
      <c r="BM117" s="148"/>
      <c r="BN117" s="148"/>
      <c r="BO117" s="148"/>
      <c r="BP117" s="148"/>
      <c r="BQ117" s="148"/>
      <c r="BR117" s="148"/>
      <c r="BS117" s="148"/>
      <c r="BT117" s="148"/>
      <c r="BU117" s="148"/>
      <c r="BV117" s="148"/>
      <c r="BW117" s="148"/>
      <c r="BX117" s="148"/>
      <c r="BY117" s="148"/>
      <c r="BZ117" s="148"/>
      <c r="CA117" s="148"/>
      <c r="CB117" s="148"/>
      <c r="CC117" s="148"/>
      <c r="CD117" s="148"/>
      <c r="CE117" s="148"/>
      <c r="CF117" s="148"/>
      <c r="CG117" s="148"/>
      <c r="CH117" s="148"/>
      <c r="CI117" s="148"/>
      <c r="CJ117" s="148"/>
      <c r="CK117" s="148"/>
      <c r="CL117" s="148"/>
      <c r="CM117" s="148"/>
      <c r="CN117" s="148"/>
      <c r="CO117" s="148"/>
      <c r="CP117" s="148"/>
      <c r="CQ117" s="148"/>
      <c r="CR117" s="148"/>
      <c r="CS117" s="148"/>
      <c r="CT117" s="148"/>
      <c r="CU117" s="148"/>
      <c r="CV117" s="148"/>
      <c r="CW117" s="148"/>
      <c r="CX117" s="148"/>
      <c r="CY117" s="148"/>
      <c r="CZ117" s="148"/>
      <c r="DA117" s="148"/>
      <c r="DB117" s="148"/>
      <c r="DC117" s="148"/>
      <c r="DD117" s="148"/>
      <c r="DE117" s="148"/>
      <c r="DF117" s="148"/>
      <c r="DG117" s="148"/>
      <c r="DH117" s="148"/>
      <c r="DI117" s="148"/>
      <c r="DJ117" s="148"/>
      <c r="DK117" s="148"/>
      <c r="DL117" s="148"/>
      <c r="DM117" s="148"/>
      <c r="DN117" s="148"/>
      <c r="DO117" s="148"/>
      <c r="DP117" s="148"/>
      <c r="DQ117" s="148"/>
      <c r="DR117" s="148"/>
      <c r="DS117" s="148"/>
      <c r="DT117" s="148"/>
      <c r="DU117" s="148"/>
      <c r="DV117" s="148"/>
      <c r="DW117" s="148"/>
      <c r="DX117" s="148"/>
      <c r="DY117" s="148"/>
      <c r="DZ117" s="148"/>
      <c r="EA117" s="148"/>
      <c r="EB117" s="148"/>
      <c r="EC117" s="148"/>
      <c r="ED117" s="148"/>
      <c r="EE117" s="148"/>
      <c r="EF117" s="148"/>
      <c r="EG117" s="148"/>
      <c r="EH117" s="148"/>
      <c r="EI117" s="148"/>
      <c r="EJ117" s="148"/>
      <c r="EK117" s="148"/>
      <c r="EL117" s="148"/>
      <c r="EM117" s="148"/>
      <c r="EN117" s="148"/>
      <c r="EO117" s="148"/>
      <c r="EP117" s="148"/>
      <c r="EQ117" s="148"/>
      <c r="ER117" s="149"/>
      <c r="ES117" s="149"/>
      <c r="ET117" s="149"/>
      <c r="EU117" s="149"/>
    </row>
    <row r="118" spans="7:151" s="145" customFormat="1" ht="15.75"/>
    <row r="119" spans="7:151" s="145" customFormat="1" ht="15.75"/>
    <row r="120" spans="7:151" s="145" customFormat="1" ht="15.75"/>
    <row r="121" spans="7:151" s="145" customFormat="1" ht="15.75"/>
    <row r="122" spans="7:151" s="145" customFormat="1" ht="11.25" customHeight="1"/>
    <row r="123" spans="7:151" s="145" customFormat="1" ht="11.25" customHeight="1"/>
    <row r="124" spans="7:151" s="145" customFormat="1" ht="12.75" customHeight="1"/>
    <row r="125" spans="7:151" s="145" customFormat="1" ht="12.75" customHeight="1"/>
    <row r="126" spans="7:151" s="145" customFormat="1" ht="12.75" customHeight="1"/>
    <row r="127" spans="7:151" s="145" customFormat="1" ht="12.75" customHeight="1"/>
    <row r="128" spans="7:151" s="145" customFormat="1" ht="12.75" customHeight="1"/>
    <row r="129" s="145" customFormat="1" ht="12.75" customHeight="1"/>
    <row r="130" s="145" customFormat="1" ht="12.75" customHeight="1"/>
    <row r="131" s="145" customFormat="1" ht="12.75" customHeight="1"/>
    <row r="132" s="145" customFormat="1" ht="12.75" customHeight="1"/>
    <row r="133" s="145" customFormat="1" ht="12.75" customHeight="1"/>
    <row r="134" s="145" customFormat="1" ht="12.75" customHeight="1"/>
    <row r="135" s="145" customFormat="1" ht="12.75" customHeight="1"/>
    <row r="136" s="145" customFormat="1" ht="26.25" customHeight="1"/>
    <row r="137" s="145" customFormat="1" ht="12.75" customHeight="1"/>
    <row r="138" s="145" customFormat="1" ht="12.75" customHeight="1"/>
    <row r="139" s="145" customFormat="1" ht="12.75" customHeight="1"/>
    <row r="140" s="145" customFormat="1" ht="12.75" customHeight="1"/>
    <row r="141" s="145" customFormat="1" ht="12.75" customHeight="1"/>
    <row r="142" s="145" customFormat="1" ht="12.75" customHeight="1"/>
    <row r="143" s="145" customFormat="1" ht="12.75" customHeight="1"/>
    <row r="144" s="145" customFormat="1" ht="15.75"/>
    <row r="145" s="145" customFormat="1" ht="15.75"/>
    <row r="146" s="145" customFormat="1" ht="15.75"/>
    <row r="147" s="145" customFormat="1" ht="12.75" customHeight="1"/>
    <row r="148" s="145" customFormat="1" ht="12.75" customHeight="1"/>
    <row r="149" s="145" customFormat="1" ht="12.75" customHeight="1"/>
    <row r="150" s="145" customFormat="1" ht="12.75" customHeight="1"/>
    <row r="151" s="145" customFormat="1" ht="12.75" customHeight="1"/>
    <row r="152" s="145" customFormat="1" ht="12.75" customHeight="1"/>
    <row r="153" s="145" customFormat="1" ht="12.75" customHeight="1"/>
    <row r="154" s="145" customFormat="1" ht="15.75"/>
    <row r="155" s="145" customFormat="1" ht="12.75" customHeight="1"/>
    <row r="156" s="145" customFormat="1" ht="12.75" customHeight="1"/>
    <row r="157" s="145" customFormat="1" ht="12.75" customHeight="1"/>
    <row r="158" s="145" customFormat="1" ht="12.75" customHeight="1"/>
    <row r="159" s="145" customFormat="1" ht="12.75" customHeight="1"/>
    <row r="160" s="145" customFormat="1" ht="12.75" customHeight="1"/>
    <row r="161" spans="16:16" s="145" customFormat="1" ht="12.75" customHeight="1"/>
    <row r="162" spans="16:16" s="145" customFormat="1" ht="12.75" customHeight="1"/>
    <row r="163" spans="16:16" s="145" customFormat="1" ht="12.75" customHeight="1"/>
    <row r="164" spans="16:16" s="145" customFormat="1" ht="15.75"/>
    <row r="165" spans="16:16" s="145" customFormat="1" ht="12.75" customHeight="1"/>
    <row r="166" spans="16:16" s="145" customFormat="1" ht="12.75" customHeight="1"/>
    <row r="167" spans="16:16" ht="12.75" customHeight="1">
      <c r="P167" s="64"/>
    </row>
    <row r="168" spans="16:16" ht="12.75" customHeight="1"/>
    <row r="169" spans="16:16" ht="12.75" customHeight="1"/>
    <row r="170" spans="16:16" ht="12.75" customHeight="1"/>
    <row r="171" spans="16:16" ht="12.75" customHeight="1"/>
    <row r="172" spans="16:16" ht="12.75" customHeight="1"/>
    <row r="173" spans="16:16" ht="12.75" customHeight="1"/>
    <row r="174" spans="16:16" ht="12.75" customHeight="1"/>
    <row r="175" spans="16:16" ht="12.75" customHeight="1"/>
    <row r="176" spans="16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</sheetData>
  <mergeCells count="6">
    <mergeCell ref="M36:N36"/>
    <mergeCell ref="B2:E2"/>
    <mergeCell ref="ER4:ER5"/>
    <mergeCell ref="ES5:ES6"/>
    <mergeCell ref="K6:M6"/>
    <mergeCell ref="G17:J17"/>
  </mergeCells>
  <conditionalFormatting sqref="ER121:EU121">
    <cfRule type="cellIs" dxfId="17" priority="9" stopIfTrue="1" operator="equal">
      <formula>"Stabilized"</formula>
    </cfRule>
  </conditionalFormatting>
  <conditionalFormatting sqref="F4:F14">
    <cfRule type="cellIs" dxfId="16" priority="8" stopIfTrue="1" operator="between">
      <formula>10</formula>
      <formula>10</formula>
    </cfRule>
  </conditionalFormatting>
  <conditionalFormatting sqref="E5:F14">
    <cfRule type="cellIs" dxfId="15" priority="7" stopIfTrue="1" operator="between">
      <formula>10</formula>
      <formula>10</formula>
    </cfRule>
  </conditionalFormatting>
  <conditionalFormatting sqref="E5:F5">
    <cfRule type="cellIs" dxfId="14" priority="6" stopIfTrue="1" operator="between">
      <formula>5</formula>
      <formula>5</formula>
    </cfRule>
  </conditionalFormatting>
  <conditionalFormatting sqref="E4">
    <cfRule type="containsText" dxfId="13" priority="1" stopIfTrue="1" operator="containsText" text="Schedule">
      <formula>NOT(ISERROR(SEARCH("Schedule",E4)))</formula>
    </cfRule>
    <cfRule type="containsText" dxfId="12" priority="4" stopIfTrue="1" operator="containsText" text="OK">
      <formula>NOT(ISERROR(SEARCH("OK",E4)))</formula>
    </cfRule>
    <cfRule type="containsText" dxfId="11" priority="5" stopIfTrue="1" operator="containsText" text="Fix">
      <formula>NOT(ISERROR(SEARCH("Fix",E4)))</formula>
    </cfRule>
  </conditionalFormatting>
  <conditionalFormatting sqref="E5:E14">
    <cfRule type="containsText" dxfId="10" priority="2" stopIfTrue="1" operator="containsText" text="OK">
      <formula>NOT(ISERROR(SEARCH("OK",E5)))</formula>
    </cfRule>
    <cfRule type="containsText" dxfId="9" priority="3" stopIfTrue="1" operator="containsText" text="Fix">
      <formula>NOT(ISERROR(SEARCH("Fix",E5)))</formula>
    </cfRule>
  </conditionalFormatting>
  <pageMargins left="0.2" right="0.2" top="0.4" bottom="0.4" header="0.5" footer="0.32"/>
  <pageSetup paperSize="5" scale="69" fitToWidth="10" fitToHeight="2" orientation="landscape" horizontalDpi="4294967294" verticalDpi="4294967292" r:id="rId1"/>
  <headerFooter alignWithMargins="0"/>
  <rowBreaks count="2" manualBreakCount="2">
    <brk id="56" min="6" max="145" man="1"/>
    <brk id="94" min="6" max="145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21"/>
  <sheetViews>
    <sheetView zoomScale="90" zoomScaleNormal="90" workbookViewId="0"/>
  </sheetViews>
  <sheetFormatPr defaultRowHeight="18.75"/>
  <cols>
    <col min="1" max="1" width="5" style="260" customWidth="1"/>
    <col min="2" max="2" width="35.6640625" style="260" customWidth="1"/>
    <col min="3" max="5" width="9.33203125" style="260"/>
    <col min="6" max="6" width="16.1640625" style="260" customWidth="1"/>
    <col min="7" max="7" width="9.33203125" style="260"/>
    <col min="8" max="8" width="15.5" style="260" bestFit="1" customWidth="1"/>
    <col min="9" max="43" width="15.5" style="260" customWidth="1"/>
    <col min="44" max="16384" width="9.33203125" style="260"/>
  </cols>
  <sheetData>
    <row r="2" spans="2:43" ht="23.25">
      <c r="B2" s="802" t="s">
        <v>318</v>
      </c>
      <c r="I2" s="980" t="str">
        <f>Assumptions!B3</f>
        <v>Miami Beach Multi-family Building: Rue Vendome</v>
      </c>
      <c r="J2" s="980"/>
      <c r="K2" s="980"/>
      <c r="L2" s="980"/>
      <c r="M2" s="980"/>
      <c r="N2" s="980"/>
      <c r="O2" s="980"/>
      <c r="P2" s="980"/>
      <c r="Q2" s="980"/>
    </row>
    <row r="4" spans="2:43">
      <c r="B4" s="804"/>
      <c r="C4" s="804" t="str">
        <f>'Monthly Cash Flow Solution'!C36</f>
        <v>Months</v>
      </c>
      <c r="H4" s="260" t="s">
        <v>321</v>
      </c>
      <c r="J4" s="807">
        <f>Assumptions!D28</f>
        <v>630</v>
      </c>
    </row>
    <row r="5" spans="2:43">
      <c r="B5" s="804" t="str">
        <f>'Monthly Cash Flow Solution'!B37</f>
        <v>Reno &amp; Mktg</v>
      </c>
      <c r="C5" s="804">
        <f>'Monthly Cash Flow Solution'!C37</f>
        <v>3</v>
      </c>
    </row>
    <row r="6" spans="2:43">
      <c r="B6" s="804" t="str">
        <f>'Monthly Cash Flow Solution'!B38</f>
        <v>Marketing Only</v>
      </c>
      <c r="C6" s="804">
        <f>'Monthly Cash Flow Solution'!C38</f>
        <v>1</v>
      </c>
    </row>
    <row r="7" spans="2:43">
      <c r="B7" s="804"/>
      <c r="C7" s="804"/>
    </row>
    <row r="8" spans="2:43">
      <c r="B8" s="400" t="str">
        <f>'Monthly Cash Flow Solution'!G20</f>
        <v>Month #</v>
      </c>
      <c r="C8" s="400"/>
      <c r="D8" s="400"/>
      <c r="E8" s="400"/>
      <c r="F8" s="400"/>
      <c r="G8" s="400"/>
      <c r="H8" s="819">
        <f>'Monthly Cash Flow Solution'!P20</f>
        <v>1</v>
      </c>
      <c r="I8" s="819">
        <f>'Monthly Cash Flow Solution'!Q20</f>
        <v>2</v>
      </c>
      <c r="J8" s="819">
        <f>'Monthly Cash Flow Solution'!R20</f>
        <v>3</v>
      </c>
      <c r="K8" s="819">
        <f>'Monthly Cash Flow Solution'!S20</f>
        <v>4</v>
      </c>
      <c r="L8" s="819">
        <f>'Monthly Cash Flow Solution'!T20</f>
        <v>5</v>
      </c>
      <c r="M8" s="819">
        <f>'Monthly Cash Flow Solution'!U20</f>
        <v>6</v>
      </c>
      <c r="N8" s="819">
        <f>'Monthly Cash Flow Solution'!V20</f>
        <v>7</v>
      </c>
      <c r="O8" s="819">
        <f>'Monthly Cash Flow Solution'!W20</f>
        <v>8</v>
      </c>
      <c r="P8" s="819">
        <f>'Monthly Cash Flow Solution'!X20</f>
        <v>9</v>
      </c>
      <c r="Q8" s="819">
        <f>'Monthly Cash Flow Solution'!Y20</f>
        <v>10</v>
      </c>
      <c r="R8" s="819">
        <f>'Monthly Cash Flow Solution'!Z20</f>
        <v>11</v>
      </c>
      <c r="S8" s="819">
        <f>'Monthly Cash Flow Solution'!AA20</f>
        <v>12</v>
      </c>
      <c r="T8" s="819">
        <f>'Monthly Cash Flow Solution'!AB20</f>
        <v>13</v>
      </c>
      <c r="U8" s="819">
        <f>'Monthly Cash Flow Solution'!AC20</f>
        <v>14</v>
      </c>
      <c r="V8" s="819">
        <f>'Monthly Cash Flow Solution'!AD20</f>
        <v>15</v>
      </c>
      <c r="W8" s="819">
        <f>'Monthly Cash Flow Solution'!AE20</f>
        <v>16</v>
      </c>
      <c r="X8" s="819">
        <f>'Monthly Cash Flow Solution'!AF20</f>
        <v>17</v>
      </c>
      <c r="Y8" s="819">
        <f>'Monthly Cash Flow Solution'!AG20</f>
        <v>18</v>
      </c>
      <c r="Z8" s="819">
        <f>'Monthly Cash Flow Solution'!AH20</f>
        <v>19</v>
      </c>
      <c r="AA8" s="819">
        <f>'Monthly Cash Flow Solution'!AI20</f>
        <v>20</v>
      </c>
      <c r="AB8" s="819">
        <f>'Monthly Cash Flow Solution'!AJ20</f>
        <v>21</v>
      </c>
      <c r="AC8" s="819">
        <f>'Monthly Cash Flow Solution'!AK20</f>
        <v>22</v>
      </c>
      <c r="AD8" s="819">
        <f>'Monthly Cash Flow Solution'!AL20</f>
        <v>23</v>
      </c>
      <c r="AE8" s="819">
        <f>'Monthly Cash Flow Solution'!AM20</f>
        <v>24</v>
      </c>
      <c r="AF8" s="819">
        <f>'Monthly Cash Flow Solution'!AN20</f>
        <v>25</v>
      </c>
      <c r="AG8" s="819">
        <f>'Monthly Cash Flow Solution'!AO20</f>
        <v>26</v>
      </c>
      <c r="AH8" s="819">
        <f>'Monthly Cash Flow Solution'!AP20</f>
        <v>27</v>
      </c>
      <c r="AI8" s="819">
        <f>'Monthly Cash Flow Solution'!AQ20</f>
        <v>28</v>
      </c>
      <c r="AJ8" s="819">
        <f>'Monthly Cash Flow Solution'!AR20</f>
        <v>29</v>
      </c>
      <c r="AK8" s="819">
        <f>'Monthly Cash Flow Solution'!AS20</f>
        <v>30</v>
      </c>
      <c r="AL8" s="819">
        <f>'Monthly Cash Flow Solution'!AT20</f>
        <v>31</v>
      </c>
      <c r="AM8" s="819">
        <f>'Monthly Cash Flow Solution'!AU20</f>
        <v>32</v>
      </c>
      <c r="AN8" s="819">
        <f>'Monthly Cash Flow Solution'!AV20</f>
        <v>33</v>
      </c>
      <c r="AO8" s="819">
        <f>'Monthly Cash Flow Solution'!AW20</f>
        <v>34</v>
      </c>
      <c r="AP8" s="819">
        <f>'Monthly Cash Flow Solution'!AX20</f>
        <v>35</v>
      </c>
      <c r="AQ8" s="819">
        <f>'Monthly Cash Flow Solution'!AY20</f>
        <v>36</v>
      </c>
    </row>
    <row r="9" spans="2:43">
      <c r="B9" s="804" t="s">
        <v>320</v>
      </c>
      <c r="C9" s="804"/>
      <c r="H9" s="806">
        <f>'Monthly Cash Flow Solution'!P12</f>
        <v>1.2817460317460319</v>
      </c>
      <c r="I9" s="806">
        <f>'Monthly Cash Flow Solution'!Q12</f>
        <v>1.2817460317460319</v>
      </c>
      <c r="J9" s="806">
        <f>'Monthly Cash Flow Solution'!R12</f>
        <v>1.2817460317460319</v>
      </c>
      <c r="K9" s="806">
        <f>'Monthly Cash Flow Solution'!S12</f>
        <v>1.2817460317460319</v>
      </c>
      <c r="L9" s="806">
        <f>'Monthly Cash Flow Solution'!T12</f>
        <v>1.2817460317460319</v>
      </c>
      <c r="M9" s="806">
        <f>'Monthly Cash Flow Solution'!U12</f>
        <v>1.2817460317460319</v>
      </c>
      <c r="N9" s="806">
        <f>'Monthly Cash Flow Solution'!V12</f>
        <v>1.2817460317460319</v>
      </c>
      <c r="O9" s="806">
        <f>'Monthly Cash Flow Solution'!W12</f>
        <v>1.2817460317460319</v>
      </c>
      <c r="P9" s="806">
        <f>'Monthly Cash Flow Solution'!X12</f>
        <v>1.2817460317460319</v>
      </c>
      <c r="Q9" s="806">
        <f>'Monthly Cash Flow Solution'!Y12</f>
        <v>1.2817460317460319</v>
      </c>
      <c r="R9" s="806">
        <f>'Monthly Cash Flow Solution'!Z12</f>
        <v>1.2817460317460319</v>
      </c>
      <c r="S9" s="806">
        <f>'Monthly Cash Flow Solution'!AA12</f>
        <v>1.2817460317460319</v>
      </c>
      <c r="T9" s="806">
        <f>'Monthly Cash Flow Solution'!AB12</f>
        <v>1.3419880952380954</v>
      </c>
      <c r="U9" s="806">
        <f>'Monthly Cash Flow Solution'!AC12</f>
        <v>1.3419880952380954</v>
      </c>
      <c r="V9" s="806">
        <f>'Monthly Cash Flow Solution'!AD12</f>
        <v>1.3419880952380954</v>
      </c>
      <c r="W9" s="806">
        <f>'Monthly Cash Flow Solution'!AE12</f>
        <v>1.3419880952380954</v>
      </c>
      <c r="X9" s="806">
        <f>'Monthly Cash Flow Solution'!AF12</f>
        <v>1.3419880952380954</v>
      </c>
      <c r="Y9" s="806">
        <f>'Monthly Cash Flow Solution'!AG12</f>
        <v>1.3419880952380954</v>
      </c>
      <c r="Z9" s="806">
        <f>'Monthly Cash Flow Solution'!AH12</f>
        <v>1.3419880952380954</v>
      </c>
      <c r="AA9" s="806">
        <f>'Monthly Cash Flow Solution'!AI12</f>
        <v>1.3419880952380954</v>
      </c>
      <c r="AB9" s="806">
        <f>'Monthly Cash Flow Solution'!AJ12</f>
        <v>1.3419880952380954</v>
      </c>
      <c r="AC9" s="806">
        <f>'Monthly Cash Flow Solution'!AK12</f>
        <v>1.3419880952380954</v>
      </c>
      <c r="AD9" s="806">
        <f>'Monthly Cash Flow Solution'!AL12</f>
        <v>1.3419880952380954</v>
      </c>
      <c r="AE9" s="806">
        <f>'Monthly Cash Flow Solution'!AM12</f>
        <v>1.3419880952380954</v>
      </c>
      <c r="AF9" s="806">
        <f>'Monthly Cash Flow Solution'!AN12</f>
        <v>1.4050615357142857</v>
      </c>
      <c r="AG9" s="806">
        <f>'Monthly Cash Flow Solution'!AO12</f>
        <v>1.4050615357142857</v>
      </c>
      <c r="AH9" s="806">
        <f>'Monthly Cash Flow Solution'!AP12</f>
        <v>1.4050615357142857</v>
      </c>
      <c r="AI9" s="806">
        <f>'Monthly Cash Flow Solution'!AQ12</f>
        <v>1.4050615357142857</v>
      </c>
      <c r="AJ9" s="806">
        <f>'Monthly Cash Flow Solution'!AR12</f>
        <v>1.4050615357142857</v>
      </c>
      <c r="AK9" s="806">
        <f>'Monthly Cash Flow Solution'!AS12</f>
        <v>1.4050615357142857</v>
      </c>
      <c r="AL9" s="806">
        <f>'Monthly Cash Flow Solution'!AT12</f>
        <v>1.4050615357142857</v>
      </c>
      <c r="AM9" s="806">
        <f>'Monthly Cash Flow Solution'!AU12</f>
        <v>1.4050615357142857</v>
      </c>
      <c r="AN9" s="806">
        <f>'Monthly Cash Flow Solution'!AV12</f>
        <v>1.4050615357142857</v>
      </c>
      <c r="AO9" s="806">
        <f>'Monthly Cash Flow Solution'!AW12</f>
        <v>1.4050615357142857</v>
      </c>
      <c r="AP9" s="806">
        <f>'Monthly Cash Flow Solution'!AX12</f>
        <v>1.4050615357142857</v>
      </c>
      <c r="AQ9" s="806">
        <f>'Monthly Cash Flow Solution'!AY12</f>
        <v>1.4050615357142857</v>
      </c>
    </row>
    <row r="10" spans="2:43">
      <c r="B10" s="400" t="str">
        <f>'Monthly Cash Flow Solution'!G23</f>
        <v># of Units Assumed Renovated This Month</v>
      </c>
      <c r="H10" s="801">
        <f>'Monthly Cash Flow Exercise'!P36</f>
        <v>0</v>
      </c>
      <c r="I10" s="801">
        <f>'Monthly Cash Flow Exercise'!Q36</f>
        <v>1</v>
      </c>
      <c r="J10" s="801">
        <f>'Monthly Cash Flow Exercise'!R36</f>
        <v>4</v>
      </c>
      <c r="K10" s="801">
        <f>'Monthly Cash Flow Exercise'!S36</f>
        <v>5</v>
      </c>
      <c r="L10" s="801">
        <f>'Monthly Cash Flow Exercise'!T36</f>
        <v>0</v>
      </c>
      <c r="M10" s="801">
        <f>'Monthly Cash Flow Exercise'!U36</f>
        <v>0</v>
      </c>
      <c r="N10" s="801">
        <f>'Monthly Cash Flow Exercise'!V36</f>
        <v>0</v>
      </c>
      <c r="O10" s="801">
        <f>'Monthly Cash Flow Exercise'!W36</f>
        <v>0</v>
      </c>
      <c r="P10" s="801">
        <f>'Monthly Cash Flow Exercise'!X36</f>
        <v>0</v>
      </c>
      <c r="Q10" s="801">
        <f>'Monthly Cash Flow Exercise'!Y36</f>
        <v>0</v>
      </c>
      <c r="R10" s="801">
        <f>'Monthly Cash Flow Exercise'!Z36</f>
        <v>0</v>
      </c>
      <c r="S10" s="801">
        <f>'Monthly Cash Flow Exercise'!AA36</f>
        <v>0</v>
      </c>
      <c r="T10" s="801">
        <f>'Monthly Cash Flow Exercise'!AB36</f>
        <v>5</v>
      </c>
      <c r="U10" s="801">
        <f>'Monthly Cash Flow Exercise'!AC36</f>
        <v>5</v>
      </c>
      <c r="V10" s="801">
        <f>'Monthly Cash Flow Exercise'!AD36</f>
        <v>0</v>
      </c>
      <c r="W10" s="801">
        <f>'Monthly Cash Flow Exercise'!AE36</f>
        <v>5</v>
      </c>
      <c r="X10" s="801">
        <f>'Monthly Cash Flow Exercise'!AF36</f>
        <v>0</v>
      </c>
      <c r="Y10" s="801">
        <f>'Monthly Cash Flow Exercise'!AG36</f>
        <v>0</v>
      </c>
      <c r="Z10" s="801">
        <f>'Monthly Cash Flow Exercise'!AH36</f>
        <v>0</v>
      </c>
      <c r="AA10" s="801">
        <f>'Monthly Cash Flow Exercise'!AI36</f>
        <v>0</v>
      </c>
      <c r="AB10" s="801">
        <f>'Monthly Cash Flow Exercise'!AJ36</f>
        <v>0</v>
      </c>
      <c r="AC10" s="801">
        <f>'Monthly Cash Flow Exercise'!AK36</f>
        <v>0</v>
      </c>
      <c r="AD10" s="801">
        <f>'Monthly Cash Flow Exercise'!AL36</f>
        <v>0</v>
      </c>
      <c r="AE10" s="801">
        <f>'Monthly Cash Flow Exercise'!AM36</f>
        <v>0</v>
      </c>
      <c r="AF10" s="801">
        <f>'Monthly Cash Flow Exercise'!AN36</f>
        <v>0</v>
      </c>
      <c r="AG10" s="801">
        <f>'Monthly Cash Flow Exercise'!AO36</f>
        <v>0</v>
      </c>
      <c r="AH10" s="801">
        <f>'Monthly Cash Flow Exercise'!AP36</f>
        <v>0</v>
      </c>
      <c r="AI10" s="801">
        <f>'Monthly Cash Flow Exercise'!AQ36</f>
        <v>4</v>
      </c>
      <c r="AJ10" s="801">
        <f>'Monthly Cash Flow Exercise'!AR36</f>
        <v>0</v>
      </c>
      <c r="AK10" s="801">
        <f>'Monthly Cash Flow Exercise'!AS36</f>
        <v>1</v>
      </c>
      <c r="AL10" s="801">
        <f>'Monthly Cash Flow Exercise'!AT36</f>
        <v>0</v>
      </c>
      <c r="AM10" s="801">
        <f>'Monthly Cash Flow Exercise'!AU36</f>
        <v>0</v>
      </c>
      <c r="AN10" s="801">
        <f>'Monthly Cash Flow Exercise'!AV36</f>
        <v>0</v>
      </c>
      <c r="AO10" s="801">
        <f>'Monthly Cash Flow Exercise'!AW36</f>
        <v>0</v>
      </c>
      <c r="AP10" s="801">
        <f>'Monthly Cash Flow Exercise'!AX36</f>
        <v>0</v>
      </c>
      <c r="AQ10" s="801">
        <f>'Monthly Cash Flow Exercise'!AY36</f>
        <v>0</v>
      </c>
    </row>
    <row r="11" spans="2:43">
      <c r="B11" s="260" t="str">
        <f>'Monthly Cash Flow Solution'!G26</f>
        <v># of Renovated Units In Marketing</v>
      </c>
      <c r="H11" s="801">
        <f ca="1">'Monthly Cash Flow Solution'!P26</f>
        <v>0</v>
      </c>
      <c r="I11" s="801">
        <f ca="1">'Monthly Cash Flow Solution'!Q26</f>
        <v>0</v>
      </c>
      <c r="J11" s="801">
        <f ca="1">'Monthly Cash Flow Solution'!R26</f>
        <v>1</v>
      </c>
      <c r="K11" s="801">
        <f ca="1">'Monthly Cash Flow Solution'!S26</f>
        <v>4</v>
      </c>
      <c r="L11" s="801">
        <f ca="1">'Monthly Cash Flow Solution'!T26</f>
        <v>5</v>
      </c>
      <c r="M11" s="801">
        <f ca="1">'Monthly Cash Flow Solution'!U26</f>
        <v>0</v>
      </c>
      <c r="N11" s="801">
        <f ca="1">'Monthly Cash Flow Solution'!V26</f>
        <v>0</v>
      </c>
      <c r="O11" s="801">
        <f ca="1">'Monthly Cash Flow Solution'!W26</f>
        <v>0</v>
      </c>
      <c r="P11" s="801">
        <f ca="1">'Monthly Cash Flow Solution'!X26</f>
        <v>0</v>
      </c>
      <c r="Q11" s="801">
        <f ca="1">'Monthly Cash Flow Solution'!Y26</f>
        <v>0</v>
      </c>
      <c r="R11" s="801">
        <f ca="1">'Monthly Cash Flow Solution'!Z26</f>
        <v>0</v>
      </c>
      <c r="S11" s="801">
        <f ca="1">'Monthly Cash Flow Solution'!AA26</f>
        <v>0</v>
      </c>
      <c r="T11" s="801">
        <f ca="1">'Monthly Cash Flow Solution'!AB26</f>
        <v>0</v>
      </c>
      <c r="U11" s="801">
        <f ca="1">'Monthly Cash Flow Solution'!AC26</f>
        <v>5</v>
      </c>
      <c r="V11" s="801">
        <f ca="1">'Monthly Cash Flow Solution'!AD26</f>
        <v>5</v>
      </c>
      <c r="W11" s="801">
        <f ca="1">'Monthly Cash Flow Solution'!AE26</f>
        <v>0</v>
      </c>
      <c r="X11" s="801">
        <f ca="1">'Monthly Cash Flow Solution'!AF26</f>
        <v>5</v>
      </c>
      <c r="Y11" s="801">
        <f ca="1">'Monthly Cash Flow Solution'!AG26</f>
        <v>0</v>
      </c>
      <c r="Z11" s="801">
        <f ca="1">'Monthly Cash Flow Solution'!AH26</f>
        <v>0</v>
      </c>
      <c r="AA11" s="801">
        <f ca="1">'Monthly Cash Flow Solution'!AI26</f>
        <v>0</v>
      </c>
      <c r="AB11" s="801">
        <f ca="1">'Monthly Cash Flow Solution'!AJ26</f>
        <v>0</v>
      </c>
      <c r="AC11" s="801">
        <f ca="1">'Monthly Cash Flow Solution'!AK26</f>
        <v>0</v>
      </c>
      <c r="AD11" s="801">
        <f ca="1">'Monthly Cash Flow Solution'!AL26</f>
        <v>0</v>
      </c>
      <c r="AE11" s="801">
        <f ca="1">'Monthly Cash Flow Solution'!AM26</f>
        <v>0</v>
      </c>
      <c r="AF11" s="801">
        <f ca="1">'Monthly Cash Flow Solution'!AN26</f>
        <v>0</v>
      </c>
      <c r="AG11" s="801">
        <f ca="1">'Monthly Cash Flow Solution'!AO26</f>
        <v>0</v>
      </c>
      <c r="AH11" s="801">
        <f ca="1">'Monthly Cash Flow Solution'!AP26</f>
        <v>0</v>
      </c>
      <c r="AI11" s="801">
        <f ca="1">'Monthly Cash Flow Solution'!AQ26</f>
        <v>0</v>
      </c>
      <c r="AJ11" s="801">
        <f ca="1">'Monthly Cash Flow Solution'!AR26</f>
        <v>4</v>
      </c>
      <c r="AK11" s="801">
        <f ca="1">'Monthly Cash Flow Solution'!AS26</f>
        <v>0</v>
      </c>
      <c r="AL11" s="801">
        <f ca="1">'Monthly Cash Flow Solution'!AT26</f>
        <v>1</v>
      </c>
      <c r="AM11" s="801">
        <f ca="1">'Monthly Cash Flow Solution'!AU26</f>
        <v>0</v>
      </c>
      <c r="AN11" s="801">
        <f ca="1">'Monthly Cash Flow Solution'!AV26</f>
        <v>0</v>
      </c>
      <c r="AO11" s="801">
        <f ca="1">'Monthly Cash Flow Solution'!AW26</f>
        <v>0</v>
      </c>
      <c r="AP11" s="801">
        <f ca="1">'Monthly Cash Flow Solution'!AX26</f>
        <v>0</v>
      </c>
      <c r="AQ11" s="801">
        <f ca="1">'Monthly Cash Flow Solution'!AY26</f>
        <v>0</v>
      </c>
    </row>
    <row r="13" spans="2:43">
      <c r="B13" s="805" t="s">
        <v>116</v>
      </c>
      <c r="H13" s="803">
        <f>H10</f>
        <v>0</v>
      </c>
      <c r="I13" s="803">
        <f t="shared" ref="I13:Q13" si="0">I10</f>
        <v>1</v>
      </c>
      <c r="J13" s="803">
        <f t="shared" si="0"/>
        <v>4</v>
      </c>
      <c r="K13" s="803">
        <f t="shared" si="0"/>
        <v>5</v>
      </c>
      <c r="L13" s="803">
        <f t="shared" si="0"/>
        <v>0</v>
      </c>
      <c r="M13" s="803">
        <f t="shared" si="0"/>
        <v>0</v>
      </c>
      <c r="N13" s="803">
        <f t="shared" si="0"/>
        <v>0</v>
      </c>
      <c r="O13" s="803">
        <f t="shared" si="0"/>
        <v>0</v>
      </c>
      <c r="P13" s="803">
        <f t="shared" si="0"/>
        <v>0</v>
      </c>
      <c r="Q13" s="803">
        <f t="shared" si="0"/>
        <v>0</v>
      </c>
      <c r="R13" s="803">
        <f t="shared" ref="R13:AC13" si="1">R10</f>
        <v>0</v>
      </c>
      <c r="S13" s="803">
        <f t="shared" si="1"/>
        <v>0</v>
      </c>
      <c r="T13" s="803">
        <f t="shared" si="1"/>
        <v>5</v>
      </c>
      <c r="U13" s="803">
        <f t="shared" si="1"/>
        <v>5</v>
      </c>
      <c r="V13" s="803">
        <f t="shared" si="1"/>
        <v>0</v>
      </c>
      <c r="W13" s="803">
        <f t="shared" si="1"/>
        <v>5</v>
      </c>
      <c r="X13" s="803">
        <f t="shared" si="1"/>
        <v>0</v>
      </c>
      <c r="Y13" s="803">
        <f t="shared" si="1"/>
        <v>0</v>
      </c>
      <c r="Z13" s="803">
        <f t="shared" si="1"/>
        <v>0</v>
      </c>
      <c r="AA13" s="803">
        <f t="shared" si="1"/>
        <v>0</v>
      </c>
      <c r="AB13" s="803">
        <f t="shared" si="1"/>
        <v>0</v>
      </c>
      <c r="AC13" s="803">
        <f t="shared" si="1"/>
        <v>0</v>
      </c>
      <c r="AD13" s="803">
        <f t="shared" ref="AD13:AQ13" si="2">AD10</f>
        <v>0</v>
      </c>
      <c r="AE13" s="803">
        <f t="shared" si="2"/>
        <v>0</v>
      </c>
      <c r="AF13" s="803">
        <f t="shared" si="2"/>
        <v>0</v>
      </c>
      <c r="AG13" s="803">
        <f t="shared" si="2"/>
        <v>0</v>
      </c>
      <c r="AH13" s="803">
        <f t="shared" si="2"/>
        <v>0</v>
      </c>
      <c r="AI13" s="803">
        <f t="shared" si="2"/>
        <v>4</v>
      </c>
      <c r="AJ13" s="803">
        <f t="shared" si="2"/>
        <v>0</v>
      </c>
      <c r="AK13" s="803">
        <f t="shared" si="2"/>
        <v>1</v>
      </c>
      <c r="AL13" s="803">
        <f t="shared" si="2"/>
        <v>0</v>
      </c>
      <c r="AM13" s="803">
        <f t="shared" si="2"/>
        <v>0</v>
      </c>
      <c r="AN13" s="803">
        <f t="shared" si="2"/>
        <v>0</v>
      </c>
      <c r="AO13" s="803">
        <f t="shared" si="2"/>
        <v>0</v>
      </c>
      <c r="AP13" s="803">
        <f t="shared" si="2"/>
        <v>0</v>
      </c>
      <c r="AQ13" s="803">
        <f t="shared" si="2"/>
        <v>0</v>
      </c>
    </row>
    <row r="14" spans="2:43">
      <c r="B14" s="805" t="s">
        <v>322</v>
      </c>
      <c r="H14" s="803"/>
    </row>
    <row r="15" spans="2:43">
      <c r="B15" s="818">
        <v>1</v>
      </c>
      <c r="H15" s="803">
        <f>H13</f>
        <v>0</v>
      </c>
      <c r="I15" s="803">
        <f t="shared" ref="I15:Q15" si="3">I13</f>
        <v>1</v>
      </c>
      <c r="J15" s="803">
        <f t="shared" si="3"/>
        <v>4</v>
      </c>
      <c r="K15" s="803">
        <f t="shared" si="3"/>
        <v>5</v>
      </c>
      <c r="L15" s="803">
        <f t="shared" si="3"/>
        <v>0</v>
      </c>
      <c r="M15" s="803">
        <f t="shared" si="3"/>
        <v>0</v>
      </c>
      <c r="N15" s="803">
        <f t="shared" si="3"/>
        <v>0</v>
      </c>
      <c r="O15" s="803">
        <f t="shared" si="3"/>
        <v>0</v>
      </c>
      <c r="P15" s="803">
        <f t="shared" si="3"/>
        <v>0</v>
      </c>
      <c r="Q15" s="803">
        <f t="shared" si="3"/>
        <v>0</v>
      </c>
      <c r="R15" s="803">
        <f t="shared" ref="R15:AC15" si="4">R13</f>
        <v>0</v>
      </c>
      <c r="S15" s="803">
        <f t="shared" si="4"/>
        <v>0</v>
      </c>
      <c r="T15" s="803">
        <f t="shared" si="4"/>
        <v>5</v>
      </c>
      <c r="U15" s="803">
        <f t="shared" si="4"/>
        <v>5</v>
      </c>
      <c r="V15" s="803">
        <f t="shared" si="4"/>
        <v>0</v>
      </c>
      <c r="W15" s="803">
        <f t="shared" si="4"/>
        <v>5</v>
      </c>
      <c r="X15" s="803">
        <f t="shared" si="4"/>
        <v>0</v>
      </c>
      <c r="Y15" s="803">
        <f t="shared" si="4"/>
        <v>0</v>
      </c>
      <c r="Z15" s="803">
        <f t="shared" si="4"/>
        <v>0</v>
      </c>
      <c r="AA15" s="803">
        <f t="shared" si="4"/>
        <v>0</v>
      </c>
      <c r="AB15" s="803">
        <f t="shared" si="4"/>
        <v>0</v>
      </c>
      <c r="AC15" s="803">
        <f t="shared" si="4"/>
        <v>0</v>
      </c>
      <c r="AD15" s="803">
        <f t="shared" ref="AD15:AQ15" si="5">AD13</f>
        <v>0</v>
      </c>
      <c r="AE15" s="803">
        <f t="shared" si="5"/>
        <v>0</v>
      </c>
      <c r="AF15" s="803">
        <f t="shared" si="5"/>
        <v>0</v>
      </c>
      <c r="AG15" s="803">
        <f t="shared" si="5"/>
        <v>0</v>
      </c>
      <c r="AH15" s="803">
        <f t="shared" si="5"/>
        <v>0</v>
      </c>
      <c r="AI15" s="803">
        <f t="shared" si="5"/>
        <v>4</v>
      </c>
      <c r="AJ15" s="803">
        <f t="shared" si="5"/>
        <v>0</v>
      </c>
      <c r="AK15" s="803">
        <f t="shared" si="5"/>
        <v>1</v>
      </c>
      <c r="AL15" s="803">
        <f t="shared" si="5"/>
        <v>0</v>
      </c>
      <c r="AM15" s="803">
        <f t="shared" si="5"/>
        <v>0</v>
      </c>
      <c r="AN15" s="803">
        <f t="shared" si="5"/>
        <v>0</v>
      </c>
      <c r="AO15" s="803">
        <f t="shared" si="5"/>
        <v>0</v>
      </c>
      <c r="AP15" s="803">
        <f t="shared" si="5"/>
        <v>0</v>
      </c>
      <c r="AQ15" s="803">
        <f t="shared" si="5"/>
        <v>0</v>
      </c>
    </row>
    <row r="16" spans="2:43">
      <c r="B16" s="818">
        <v>2</v>
      </c>
      <c r="H16" s="809"/>
      <c r="I16" s="803">
        <f t="shared" ref="I16:Q16" si="6">H15*IF($B$16&gt;$C$5,0,1)</f>
        <v>0</v>
      </c>
      <c r="J16" s="803">
        <f t="shared" si="6"/>
        <v>1</v>
      </c>
      <c r="K16" s="803">
        <f t="shared" si="6"/>
        <v>4</v>
      </c>
      <c r="L16" s="803">
        <f t="shared" si="6"/>
        <v>5</v>
      </c>
      <c r="M16" s="803">
        <f t="shared" si="6"/>
        <v>0</v>
      </c>
      <c r="N16" s="803">
        <f t="shared" si="6"/>
        <v>0</v>
      </c>
      <c r="O16" s="803">
        <f t="shared" si="6"/>
        <v>0</v>
      </c>
      <c r="P16" s="803">
        <f t="shared" si="6"/>
        <v>0</v>
      </c>
      <c r="Q16" s="803">
        <f t="shared" si="6"/>
        <v>0</v>
      </c>
      <c r="R16" s="803">
        <f t="shared" ref="R16" si="7">Q15*IF($B$16&gt;$C$5,0,1)</f>
        <v>0</v>
      </c>
      <c r="S16" s="803">
        <f t="shared" ref="S16" si="8">R15*IF($B$16&gt;$C$5,0,1)</f>
        <v>0</v>
      </c>
      <c r="T16" s="803">
        <f t="shared" ref="T16" si="9">S15*IF($B$16&gt;$C$5,0,1)</f>
        <v>0</v>
      </c>
      <c r="U16" s="803">
        <f t="shared" ref="U16" si="10">T15*IF($B$16&gt;$C$5,0,1)</f>
        <v>5</v>
      </c>
      <c r="V16" s="803">
        <f t="shared" ref="V16" si="11">U15*IF($B$16&gt;$C$5,0,1)</f>
        <v>5</v>
      </c>
      <c r="W16" s="803">
        <f t="shared" ref="W16" si="12">V15*IF($B$16&gt;$C$5,0,1)</f>
        <v>0</v>
      </c>
      <c r="X16" s="803">
        <f t="shared" ref="X16" si="13">W15*IF($B$16&gt;$C$5,0,1)</f>
        <v>5</v>
      </c>
      <c r="Y16" s="803">
        <f t="shared" ref="Y16" si="14">X15*IF($B$16&gt;$C$5,0,1)</f>
        <v>0</v>
      </c>
      <c r="Z16" s="803">
        <f t="shared" ref="Z16" si="15">Y15*IF($B$16&gt;$C$5,0,1)</f>
        <v>0</v>
      </c>
      <c r="AA16" s="803">
        <f t="shared" ref="AA16" si="16">Z15*IF($B$16&gt;$C$5,0,1)</f>
        <v>0</v>
      </c>
      <c r="AB16" s="803">
        <f t="shared" ref="AB16" si="17">AA15*IF($B$16&gt;$C$5,0,1)</f>
        <v>0</v>
      </c>
      <c r="AC16" s="803">
        <f t="shared" ref="AC16" si="18">AB15*IF($B$16&gt;$C$5,0,1)</f>
        <v>0</v>
      </c>
      <c r="AD16" s="803">
        <f t="shared" ref="AD16" si="19">AC15*IF($B$16&gt;$C$5,0,1)</f>
        <v>0</v>
      </c>
      <c r="AE16" s="803">
        <f t="shared" ref="AE16" si="20">AD15*IF($B$16&gt;$C$5,0,1)</f>
        <v>0</v>
      </c>
      <c r="AF16" s="803">
        <f t="shared" ref="AF16" si="21">AE15*IF($B$16&gt;$C$5,0,1)</f>
        <v>0</v>
      </c>
      <c r="AG16" s="803">
        <f t="shared" ref="AG16" si="22">AF15*IF($B$16&gt;$C$5,0,1)</f>
        <v>0</v>
      </c>
      <c r="AH16" s="803">
        <f t="shared" ref="AH16" si="23">AG15*IF($B$16&gt;$C$5,0,1)</f>
        <v>0</v>
      </c>
      <c r="AI16" s="803">
        <f t="shared" ref="AI16" si="24">AH15*IF($B$16&gt;$C$5,0,1)</f>
        <v>0</v>
      </c>
      <c r="AJ16" s="803">
        <f t="shared" ref="AJ16" si="25">AI15*IF($B$16&gt;$C$5,0,1)</f>
        <v>4</v>
      </c>
      <c r="AK16" s="803">
        <f t="shared" ref="AK16" si="26">AJ15*IF($B$16&gt;$C$5,0,1)</f>
        <v>0</v>
      </c>
      <c r="AL16" s="803">
        <f t="shared" ref="AL16" si="27">AK15*IF($B$16&gt;$C$5,0,1)</f>
        <v>1</v>
      </c>
      <c r="AM16" s="803">
        <f t="shared" ref="AM16" si="28">AL15*IF($B$16&gt;$C$5,0,1)</f>
        <v>0</v>
      </c>
      <c r="AN16" s="803">
        <f t="shared" ref="AN16" si="29">AM15*IF($B$16&gt;$C$5,0,1)</f>
        <v>0</v>
      </c>
      <c r="AO16" s="803">
        <f t="shared" ref="AO16" si="30">AN15*IF($B$16&gt;$C$5,0,1)</f>
        <v>0</v>
      </c>
      <c r="AP16" s="803">
        <f t="shared" ref="AP16" si="31">AO15*IF($B$16&gt;$C$5,0,1)</f>
        <v>0</v>
      </c>
      <c r="AQ16" s="803">
        <f t="shared" ref="AQ16" si="32">AP15*IF($B$16&gt;$C$5,0,1)</f>
        <v>0</v>
      </c>
    </row>
    <row r="17" spans="2:43">
      <c r="B17" s="818">
        <v>3</v>
      </c>
      <c r="H17" s="811"/>
      <c r="I17" s="811"/>
      <c r="J17" s="812">
        <f t="shared" ref="J17:Q17" si="33">I16*IF($B$17&gt;$C$5,0,1)</f>
        <v>0</v>
      </c>
      <c r="K17" s="812">
        <f t="shared" si="33"/>
        <v>1</v>
      </c>
      <c r="L17" s="812">
        <f t="shared" si="33"/>
        <v>4</v>
      </c>
      <c r="M17" s="812">
        <f t="shared" si="33"/>
        <v>5</v>
      </c>
      <c r="N17" s="812">
        <f t="shared" si="33"/>
        <v>0</v>
      </c>
      <c r="O17" s="812">
        <f t="shared" si="33"/>
        <v>0</v>
      </c>
      <c r="P17" s="812">
        <f t="shared" si="33"/>
        <v>0</v>
      </c>
      <c r="Q17" s="812">
        <f t="shared" si="33"/>
        <v>0</v>
      </c>
      <c r="R17" s="812">
        <f t="shared" ref="R17" si="34">Q16*IF($B$17&gt;$C$5,0,1)</f>
        <v>0</v>
      </c>
      <c r="S17" s="812">
        <f t="shared" ref="S17" si="35">R16*IF($B$17&gt;$C$5,0,1)</f>
        <v>0</v>
      </c>
      <c r="T17" s="812">
        <f t="shared" ref="T17" si="36">S16*IF($B$17&gt;$C$5,0,1)</f>
        <v>0</v>
      </c>
      <c r="U17" s="812">
        <f t="shared" ref="U17" si="37">T16*IF($B$17&gt;$C$5,0,1)</f>
        <v>0</v>
      </c>
      <c r="V17" s="812">
        <f t="shared" ref="V17" si="38">U16*IF($B$17&gt;$C$5,0,1)</f>
        <v>5</v>
      </c>
      <c r="W17" s="812">
        <f t="shared" ref="W17" si="39">V16*IF($B$17&gt;$C$5,0,1)</f>
        <v>5</v>
      </c>
      <c r="X17" s="812">
        <f t="shared" ref="X17" si="40">W16*IF($B$17&gt;$C$5,0,1)</f>
        <v>0</v>
      </c>
      <c r="Y17" s="812">
        <f t="shared" ref="Y17" si="41">X16*IF($B$17&gt;$C$5,0,1)</f>
        <v>5</v>
      </c>
      <c r="Z17" s="812">
        <f t="shared" ref="Z17" si="42">Y16*IF($B$17&gt;$C$5,0,1)</f>
        <v>0</v>
      </c>
      <c r="AA17" s="812">
        <f t="shared" ref="AA17" si="43">Z16*IF($B$17&gt;$C$5,0,1)</f>
        <v>0</v>
      </c>
      <c r="AB17" s="812">
        <f t="shared" ref="AB17" si="44">AA16*IF($B$17&gt;$C$5,0,1)</f>
        <v>0</v>
      </c>
      <c r="AC17" s="812">
        <f t="shared" ref="AC17" si="45">AB16*IF($B$17&gt;$C$5,0,1)</f>
        <v>0</v>
      </c>
      <c r="AD17" s="812">
        <f t="shared" ref="AD17" si="46">AC16*IF($B$17&gt;$C$5,0,1)</f>
        <v>0</v>
      </c>
      <c r="AE17" s="812">
        <f t="shared" ref="AE17" si="47">AD16*IF($B$17&gt;$C$5,0,1)</f>
        <v>0</v>
      </c>
      <c r="AF17" s="812">
        <f t="shared" ref="AF17" si="48">AE16*IF($B$17&gt;$C$5,0,1)</f>
        <v>0</v>
      </c>
      <c r="AG17" s="812">
        <f t="shared" ref="AG17" si="49">AF16*IF($B$17&gt;$C$5,0,1)</f>
        <v>0</v>
      </c>
      <c r="AH17" s="812">
        <f t="shared" ref="AH17" si="50">AG16*IF($B$17&gt;$C$5,0,1)</f>
        <v>0</v>
      </c>
      <c r="AI17" s="812">
        <f t="shared" ref="AI17" si="51">AH16*IF($B$17&gt;$C$5,0,1)</f>
        <v>0</v>
      </c>
      <c r="AJ17" s="812">
        <f t="shared" ref="AJ17" si="52">AI16*IF($B$17&gt;$C$5,0,1)</f>
        <v>0</v>
      </c>
      <c r="AK17" s="812">
        <f t="shared" ref="AK17" si="53">AJ16*IF($B$17&gt;$C$5,0,1)</f>
        <v>4</v>
      </c>
      <c r="AL17" s="812">
        <f t="shared" ref="AL17" si="54">AK16*IF($B$17&gt;$C$5,0,1)</f>
        <v>0</v>
      </c>
      <c r="AM17" s="812">
        <f t="shared" ref="AM17" si="55">AL16*IF($B$17&gt;$C$5,0,1)</f>
        <v>1</v>
      </c>
      <c r="AN17" s="812">
        <f t="shared" ref="AN17" si="56">AM16*IF($B$17&gt;$C$5,0,1)</f>
        <v>0</v>
      </c>
      <c r="AO17" s="812">
        <f t="shared" ref="AO17" si="57">AN16*IF($B$17&gt;$C$5,0,1)</f>
        <v>0</v>
      </c>
      <c r="AP17" s="812">
        <f t="shared" ref="AP17" si="58">AO16*IF($B$17&gt;$C$5,0,1)</f>
        <v>0</v>
      </c>
      <c r="AQ17" s="812">
        <f t="shared" ref="AQ17" si="59">AP16*IF($B$17&gt;$C$5,0,1)</f>
        <v>0</v>
      </c>
    </row>
    <row r="18" spans="2:43">
      <c r="B18" s="818">
        <v>4</v>
      </c>
      <c r="H18" s="810"/>
      <c r="I18" s="810"/>
      <c r="J18" s="813"/>
      <c r="K18" s="808">
        <f t="shared" ref="K18:Q18" si="60">J17*IF($B$18&gt;$C$5,0,1)</f>
        <v>0</v>
      </c>
      <c r="L18" s="808">
        <f t="shared" si="60"/>
        <v>0</v>
      </c>
      <c r="M18" s="808">
        <f t="shared" si="60"/>
        <v>0</v>
      </c>
      <c r="N18" s="808">
        <f t="shared" si="60"/>
        <v>0</v>
      </c>
      <c r="O18" s="808">
        <f t="shared" si="60"/>
        <v>0</v>
      </c>
      <c r="P18" s="808">
        <f t="shared" si="60"/>
        <v>0</v>
      </c>
      <c r="Q18" s="808">
        <f t="shared" si="60"/>
        <v>0</v>
      </c>
      <c r="R18" s="808">
        <f t="shared" ref="R18" si="61">Q17*IF($B$18&gt;$C$5,0,1)</f>
        <v>0</v>
      </c>
      <c r="S18" s="808">
        <f t="shared" ref="S18" si="62">R17*IF($B$18&gt;$C$5,0,1)</f>
        <v>0</v>
      </c>
      <c r="T18" s="808">
        <f t="shared" ref="T18" si="63">S17*IF($B$18&gt;$C$5,0,1)</f>
        <v>0</v>
      </c>
      <c r="U18" s="808">
        <f t="shared" ref="U18" si="64">T17*IF($B$18&gt;$C$5,0,1)</f>
        <v>0</v>
      </c>
      <c r="V18" s="808">
        <f t="shared" ref="V18" si="65">U17*IF($B$18&gt;$C$5,0,1)</f>
        <v>0</v>
      </c>
      <c r="W18" s="808">
        <f t="shared" ref="W18" si="66">V17*IF($B$18&gt;$C$5,0,1)</f>
        <v>0</v>
      </c>
      <c r="X18" s="808">
        <f t="shared" ref="X18" si="67">W17*IF($B$18&gt;$C$5,0,1)</f>
        <v>0</v>
      </c>
      <c r="Y18" s="808">
        <f t="shared" ref="Y18" si="68">X17*IF($B$18&gt;$C$5,0,1)</f>
        <v>0</v>
      </c>
      <c r="Z18" s="808">
        <f t="shared" ref="Z18" si="69">Y17*IF($B$18&gt;$C$5,0,1)</f>
        <v>0</v>
      </c>
      <c r="AA18" s="808">
        <f t="shared" ref="AA18" si="70">Z17*IF($B$18&gt;$C$5,0,1)</f>
        <v>0</v>
      </c>
      <c r="AB18" s="808">
        <f t="shared" ref="AB18" si="71">AA17*IF($B$18&gt;$C$5,0,1)</f>
        <v>0</v>
      </c>
      <c r="AC18" s="808">
        <f t="shared" ref="AC18" si="72">AB17*IF($B$18&gt;$C$5,0,1)</f>
        <v>0</v>
      </c>
      <c r="AD18" s="808">
        <f t="shared" ref="AD18" si="73">AC17*IF($B$18&gt;$C$5,0,1)</f>
        <v>0</v>
      </c>
      <c r="AE18" s="808">
        <f t="shared" ref="AE18" si="74">AD17*IF($B$18&gt;$C$5,0,1)</f>
        <v>0</v>
      </c>
      <c r="AF18" s="808">
        <f t="shared" ref="AF18" si="75">AE17*IF($B$18&gt;$C$5,0,1)</f>
        <v>0</v>
      </c>
      <c r="AG18" s="808">
        <f t="shared" ref="AG18" si="76">AF17*IF($B$18&gt;$C$5,0,1)</f>
        <v>0</v>
      </c>
      <c r="AH18" s="808">
        <f t="shared" ref="AH18" si="77">AG17*IF($B$18&gt;$C$5,0,1)</f>
        <v>0</v>
      </c>
      <c r="AI18" s="808">
        <f t="shared" ref="AI18" si="78">AH17*IF($B$18&gt;$C$5,0,1)</f>
        <v>0</v>
      </c>
      <c r="AJ18" s="808">
        <f t="shared" ref="AJ18" si="79">AI17*IF($B$18&gt;$C$5,0,1)</f>
        <v>0</v>
      </c>
      <c r="AK18" s="808">
        <f t="shared" ref="AK18" si="80">AJ17*IF($B$18&gt;$C$5,0,1)</f>
        <v>0</v>
      </c>
      <c r="AL18" s="808">
        <f t="shared" ref="AL18" si="81">AK17*IF($B$18&gt;$C$5,0,1)</f>
        <v>0</v>
      </c>
      <c r="AM18" s="808">
        <f t="shared" ref="AM18" si="82">AL17*IF($B$18&gt;$C$5,0,1)</f>
        <v>0</v>
      </c>
      <c r="AN18" s="808">
        <f t="shared" ref="AN18" si="83">AM17*IF($B$18&gt;$C$5,0,1)</f>
        <v>0</v>
      </c>
      <c r="AO18" s="808">
        <f t="shared" ref="AO18" si="84">AN17*IF($B$18&gt;$C$5,0,1)</f>
        <v>0</v>
      </c>
      <c r="AP18" s="808">
        <f t="shared" ref="AP18" si="85">AO17*IF($B$18&gt;$C$5,0,1)</f>
        <v>0</v>
      </c>
      <c r="AQ18" s="808">
        <f t="shared" ref="AQ18" si="86">AP17*IF($B$18&gt;$C$5,0,1)</f>
        <v>0</v>
      </c>
    </row>
    <row r="19" spans="2:43">
      <c r="B19" s="400" t="s">
        <v>323</v>
      </c>
      <c r="H19" s="814">
        <f>SUM(H15:H18)</f>
        <v>0</v>
      </c>
      <c r="I19" s="814">
        <f t="shared" ref="I19:Q19" si="87">SUM(I15:I18)</f>
        <v>1</v>
      </c>
      <c r="J19" s="814">
        <f t="shared" si="87"/>
        <v>5</v>
      </c>
      <c r="K19" s="814">
        <f t="shared" si="87"/>
        <v>10</v>
      </c>
      <c r="L19" s="814">
        <f t="shared" si="87"/>
        <v>9</v>
      </c>
      <c r="M19" s="814">
        <f t="shared" si="87"/>
        <v>5</v>
      </c>
      <c r="N19" s="814">
        <f t="shared" si="87"/>
        <v>0</v>
      </c>
      <c r="O19" s="814">
        <f t="shared" si="87"/>
        <v>0</v>
      </c>
      <c r="P19" s="814">
        <f t="shared" si="87"/>
        <v>0</v>
      </c>
      <c r="Q19" s="814">
        <f t="shared" si="87"/>
        <v>0</v>
      </c>
      <c r="R19" s="814">
        <f t="shared" ref="R19:AC19" si="88">SUM(R15:R18)</f>
        <v>0</v>
      </c>
      <c r="S19" s="814">
        <f t="shared" si="88"/>
        <v>0</v>
      </c>
      <c r="T19" s="814">
        <f t="shared" si="88"/>
        <v>5</v>
      </c>
      <c r="U19" s="814">
        <f t="shared" si="88"/>
        <v>10</v>
      </c>
      <c r="V19" s="814">
        <f t="shared" si="88"/>
        <v>10</v>
      </c>
      <c r="W19" s="814">
        <f t="shared" si="88"/>
        <v>10</v>
      </c>
      <c r="X19" s="814">
        <f t="shared" si="88"/>
        <v>5</v>
      </c>
      <c r="Y19" s="814">
        <f t="shared" si="88"/>
        <v>5</v>
      </c>
      <c r="Z19" s="814">
        <f t="shared" si="88"/>
        <v>0</v>
      </c>
      <c r="AA19" s="814">
        <f t="shared" si="88"/>
        <v>0</v>
      </c>
      <c r="AB19" s="814">
        <f t="shared" si="88"/>
        <v>0</v>
      </c>
      <c r="AC19" s="814">
        <f t="shared" si="88"/>
        <v>0</v>
      </c>
      <c r="AD19" s="814">
        <f t="shared" ref="AD19:AQ19" si="89">SUM(AD15:AD18)</f>
        <v>0</v>
      </c>
      <c r="AE19" s="814">
        <f t="shared" si="89"/>
        <v>0</v>
      </c>
      <c r="AF19" s="814">
        <f t="shared" si="89"/>
        <v>0</v>
      </c>
      <c r="AG19" s="814">
        <f t="shared" si="89"/>
        <v>0</v>
      </c>
      <c r="AH19" s="814">
        <f t="shared" si="89"/>
        <v>0</v>
      </c>
      <c r="AI19" s="814">
        <f t="shared" si="89"/>
        <v>4</v>
      </c>
      <c r="AJ19" s="814">
        <f t="shared" si="89"/>
        <v>4</v>
      </c>
      <c r="AK19" s="814">
        <f t="shared" si="89"/>
        <v>5</v>
      </c>
      <c r="AL19" s="814">
        <f t="shared" si="89"/>
        <v>1</v>
      </c>
      <c r="AM19" s="814">
        <f t="shared" si="89"/>
        <v>1</v>
      </c>
      <c r="AN19" s="814">
        <f t="shared" si="89"/>
        <v>0</v>
      </c>
      <c r="AO19" s="814">
        <f t="shared" si="89"/>
        <v>0</v>
      </c>
      <c r="AP19" s="814">
        <f t="shared" si="89"/>
        <v>0</v>
      </c>
      <c r="AQ19" s="814">
        <f t="shared" si="89"/>
        <v>0</v>
      </c>
    </row>
    <row r="20" spans="2:43">
      <c r="F20" s="816" t="s">
        <v>10</v>
      </c>
    </row>
    <row r="21" spans="2:43">
      <c r="B21" s="400" t="s">
        <v>319</v>
      </c>
      <c r="F21" s="817">
        <f>SUM(H21:Q21)</f>
        <v>-24225</v>
      </c>
      <c r="H21" s="815">
        <f t="shared" ref="H21:Q21" si="90">-H19*H9*$J$4</f>
        <v>0</v>
      </c>
      <c r="I21" s="815">
        <f t="shared" si="90"/>
        <v>-807.50000000000011</v>
      </c>
      <c r="J21" s="815">
        <f t="shared" si="90"/>
        <v>-4037.5</v>
      </c>
      <c r="K21" s="815">
        <f t="shared" si="90"/>
        <v>-8075</v>
      </c>
      <c r="L21" s="815">
        <f t="shared" si="90"/>
        <v>-7267.5000000000009</v>
      </c>
      <c r="M21" s="815">
        <f t="shared" si="90"/>
        <v>-4037.5</v>
      </c>
      <c r="N21" s="815">
        <f t="shared" si="90"/>
        <v>0</v>
      </c>
      <c r="O21" s="815">
        <f t="shared" si="90"/>
        <v>0</v>
      </c>
      <c r="P21" s="815">
        <f t="shared" si="90"/>
        <v>0</v>
      </c>
      <c r="Q21" s="815">
        <f t="shared" si="90"/>
        <v>0</v>
      </c>
      <c r="R21" s="815">
        <f t="shared" ref="R21:AC21" si="91">-R19*R9*$J$4</f>
        <v>0</v>
      </c>
      <c r="S21" s="815">
        <f t="shared" si="91"/>
        <v>0</v>
      </c>
      <c r="T21" s="815">
        <f t="shared" si="91"/>
        <v>-4227.2625000000007</v>
      </c>
      <c r="U21" s="815">
        <f t="shared" si="91"/>
        <v>-8454.5250000000015</v>
      </c>
      <c r="V21" s="815">
        <f t="shared" si="91"/>
        <v>-8454.5250000000015</v>
      </c>
      <c r="W21" s="815">
        <f t="shared" si="91"/>
        <v>-8454.5250000000015</v>
      </c>
      <c r="X21" s="815">
        <f t="shared" si="91"/>
        <v>-4227.2625000000007</v>
      </c>
      <c r="Y21" s="815">
        <f t="shared" si="91"/>
        <v>-4227.2625000000007</v>
      </c>
      <c r="Z21" s="815">
        <f t="shared" si="91"/>
        <v>0</v>
      </c>
      <c r="AA21" s="815">
        <f t="shared" si="91"/>
        <v>0</v>
      </c>
      <c r="AB21" s="815">
        <f t="shared" si="91"/>
        <v>0</v>
      </c>
      <c r="AC21" s="815">
        <f t="shared" si="91"/>
        <v>0</v>
      </c>
      <c r="AD21" s="815">
        <f t="shared" ref="AD21:AQ21" si="92">-AD19*AD9*$J$4</f>
        <v>0</v>
      </c>
      <c r="AE21" s="815">
        <f t="shared" si="92"/>
        <v>0</v>
      </c>
      <c r="AF21" s="815">
        <f t="shared" si="92"/>
        <v>0</v>
      </c>
      <c r="AG21" s="815">
        <f t="shared" si="92"/>
        <v>0</v>
      </c>
      <c r="AH21" s="815">
        <f t="shared" si="92"/>
        <v>0</v>
      </c>
      <c r="AI21" s="815">
        <f t="shared" si="92"/>
        <v>-3540.7550700000002</v>
      </c>
      <c r="AJ21" s="815">
        <f t="shared" si="92"/>
        <v>-3540.7550700000002</v>
      </c>
      <c r="AK21" s="815">
        <f t="shared" si="92"/>
        <v>-4425.9438375</v>
      </c>
      <c r="AL21" s="815">
        <f t="shared" si="92"/>
        <v>-885.18876750000004</v>
      </c>
      <c r="AM21" s="815">
        <f t="shared" si="92"/>
        <v>-885.18876750000004</v>
      </c>
      <c r="AN21" s="815">
        <f t="shared" si="92"/>
        <v>0</v>
      </c>
      <c r="AO21" s="815">
        <f t="shared" si="92"/>
        <v>0</v>
      </c>
      <c r="AP21" s="815">
        <f t="shared" si="92"/>
        <v>0</v>
      </c>
      <c r="AQ21" s="815">
        <f t="shared" si="92"/>
        <v>0</v>
      </c>
    </row>
  </sheetData>
  <mergeCells count="1">
    <mergeCell ref="I2:Q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Cover</vt:lpstr>
      <vt:lpstr>Rent Growth Variables</vt:lpstr>
      <vt:lpstr>Assumptions Overview</vt:lpstr>
      <vt:lpstr>Rent Roll</vt:lpstr>
      <vt:lpstr>Assumptions</vt:lpstr>
      <vt:lpstr>Renovation Timing</vt:lpstr>
      <vt:lpstr>Cash Flow Overview</vt:lpstr>
      <vt:lpstr>Monthly Cash Flow Exercise</vt:lpstr>
      <vt:lpstr>Amortized Renovated Unit Losses</vt:lpstr>
      <vt:lpstr>Monthly Cash Flow Solution</vt:lpstr>
      <vt:lpstr>Annual Cash Flow</vt:lpstr>
      <vt:lpstr>Amort Schedule - Acqn Loan</vt:lpstr>
      <vt:lpstr>Amort Sched - Permanent Loan</vt:lpstr>
      <vt:lpstr>'Assumptions Overview'!name</vt:lpstr>
      <vt:lpstr>name</vt:lpstr>
      <vt:lpstr>'Annual Cash Flow'!Print_Area</vt:lpstr>
      <vt:lpstr>Assumptions!Print_Area</vt:lpstr>
      <vt:lpstr>'Assumptions Overview'!Print_Area</vt:lpstr>
      <vt:lpstr>'Cash Flow Overview'!Print_Area</vt:lpstr>
      <vt:lpstr>Cover!Print_Area</vt:lpstr>
      <vt:lpstr>'Monthly Cash Flow Exercise'!Print_Area</vt:lpstr>
      <vt:lpstr>'Monthly Cash Flow Solution'!Print_Area</vt:lpstr>
      <vt:lpstr>'Rent Growth Variables'!Print_Area</vt:lpstr>
      <vt:lpstr>'Rent Roll'!Print_Area</vt:lpstr>
      <vt:lpstr>'Annual Cash Flow'!Print_Titles</vt:lpstr>
      <vt:lpstr>Assumptions!Print_Titles</vt:lpstr>
      <vt:lpstr>'Assumptions Overview'!Print_Titles</vt:lpstr>
      <vt:lpstr>'Cash Flow Overview'!Print_Titles</vt:lpstr>
      <vt:lpstr>'Monthly Cash Flow Exercise'!Print_Titles</vt:lpstr>
      <vt:lpstr>'Monthly Cash Flow Solution'!Print_Titles</vt:lpstr>
      <vt:lpstr>'Assumptions Overview'!SF</vt:lpstr>
      <vt:lpstr>SF</vt:lpstr>
      <vt:lpstr>'Assumptions Overview'!unit</vt:lpstr>
      <vt:lpstr>unit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Kirsch REFM</dc:creator>
  <cp:lastModifiedBy>REFM_MacAir</cp:lastModifiedBy>
  <cp:lastPrinted>2011-02-15T22:04:44Z</cp:lastPrinted>
  <dcterms:created xsi:type="dcterms:W3CDTF">2000-02-08T15:38:25Z</dcterms:created>
  <dcterms:modified xsi:type="dcterms:W3CDTF">2012-03-29T15:27:41Z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 linkTarget="prop_name">
    <vt:lpwstr>#VALUE!</vt:lpwstr>
  </property>
</Properties>
</file>