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omments5.xml" ContentType="application/vnd.openxmlformats-officedocument.spreadsheetml.comment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omments6.xml" ContentType="application/vnd.openxmlformats-officedocument.spreadsheetml.comments+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5.xml" ContentType="application/vnd.openxmlformats-officedocument.drawing+xml"/>
  <Override PartName="/xl/comments7.xml" ContentType="application/vnd.openxmlformats-officedocument.spreadsheetml.comment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omments8.xml" ContentType="application/vnd.openxmlformats-officedocument.spreadsheetml.comments+xml"/>
  <Override PartName="/xl/drawings/drawing6.xml" ContentType="application/vnd.openxmlformats-officedocument.drawing+xml"/>
  <Override PartName="/xl/comments9.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autoCompressPictures="0"/>
  <bookViews>
    <workbookView xWindow="165" yWindow="0" windowWidth="28545" windowHeight="17475" tabRatio="742"/>
  </bookViews>
  <sheets>
    <sheet name="Excel for Real Estate Bootcamp" sheetId="27" r:id="rId1"/>
    <sheet name="Arithmetic" sheetId="1" r:id="rId2"/>
    <sheet name="Statistics" sheetId="24" r:id="rId3"/>
    <sheet name="Relative vs Absolute References" sheetId="3" r:id="rId4"/>
    <sheet name="Insert and Delete Rows Columns" sheetId="5" r:id="rId5"/>
    <sheet name="Dates" sheetId="6" r:id="rId6"/>
    <sheet name="Conditional Statements" sheetId="7" r:id="rId7"/>
    <sheet name="Conditional Statements Solution" sheetId="31" r:id="rId8"/>
    <sheet name="SUMIF and COUNTIF" sheetId="8" r:id="rId9"/>
    <sheet name="Conditional Formatting" sheetId="9" r:id="rId10"/>
    <sheet name="Custom Formatting" sheetId="13" r:id="rId11"/>
    <sheet name="Paste Special, Transpose" sheetId="12" r:id="rId12"/>
    <sheet name="VLOOKUP and HLOOKUP" sheetId="10" r:id="rId13"/>
    <sheet name="TVM and Financial Functions" sheetId="17" r:id="rId14"/>
    <sheet name="Financial Functions Exercise" sheetId="25" r:id="rId15"/>
    <sheet name="Mortgage Payment" sheetId="19" r:id="rId16"/>
    <sheet name="Mortgage Payment Exercise" sheetId="26" r:id="rId17"/>
    <sheet name="Mortgage Payment Ex. Solution" sheetId="29" r:id="rId18"/>
    <sheet name="Formula Auditing" sheetId="20" r:id="rId19"/>
    <sheet name="Data Source" sheetId="21" r:id="rId20"/>
    <sheet name="Data Tables" sheetId="22" r:id="rId21"/>
    <sheet name="Circular References" sheetId="30" r:id="rId22"/>
    <sheet name="Best Practices" sheetId="28" r:id="rId23"/>
    <sheet name="Keyboard Shortcuts" sheetId="18" r:id="rId24"/>
  </sheets>
  <definedNames>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"c39"</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"c1471"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UDITOR_NAME" hidden="1">"c1539"</definedName>
    <definedName name="IQ_AUDITOR_OPINION" hidden="1">"c1540"</definedName>
    <definedName name="IQ_AUTO_WRITTEN" hidden="1">"c62"</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UE_BANKS" hidden="1">"c118"</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 hidden="1">5000</definedName>
    <definedName name="IQ_CREDIT_CARD_FEE_BNK" hidden="1">"c231"</definedName>
    <definedName name="IQ_CREDIT_CARD_FEE_FIN" hidden="1">"c1583"</definedName>
    <definedName name="IQ_CREDIT_LOSS_CF" hidden="1">"c232"</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POSITS_FIN" hidden="1">"c321"</definedName>
    <definedName name="IQ_DEPRE_AMORT" hidden="1">"c247"</definedName>
    <definedName name="IQ_DEPRE_AMORT_SUPPL" hidden="1">"c1593"</definedName>
    <definedName name="IQ_DEPRE_DEPLE" hidden="1">"c261"</definedName>
    <definedName name="IQ_DEPRE_SUPP" hidden="1">"c1443"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NUM_EST" hidden="1">"c374"</definedName>
    <definedName name="IQ_EBITDA_OVER_TOTAL_IE" hidden="1">"c373"</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MPLOYEES" hidden="1">"c392"</definedName>
    <definedName name="IQ_ENTERPRISE_VALUE"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PS_HIGH_EST" hidden="1">"c400"</definedName>
    <definedName name="IQ_EPS_LOW_EST" hidden="1">"c401"</definedName>
    <definedName name="IQ_EPS_NUM_EST" hidden="1">"c402"</definedName>
    <definedName name="IQ_EPS_STDDEV_EST" hidden="1">"c403"</definedName>
    <definedName name="IQ_EQUITY_AFFIL" hidden="1">"c552"</definedName>
    <definedName name="IQ_EQUITY_METHOD" hidden="1">"c404"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2YR" hidden="1">"c1637"</definedName>
    <definedName name="IQ_EST_EPS_GROWTH_Q_1YR" hidden="1">"c1641"</definedName>
    <definedName name="IQ_EST_EPS_SURPRISE" hidden="1">"c1635"</definedName>
    <definedName name="IQ_EST_REV_GROWTH_1YR" hidden="1">"c1638"</definedName>
    <definedName name="IQ_EST_REV_GROWTH_2YR" hidden="1">"c1639"</definedName>
    <definedName name="IQ_EST_REV_GROWTH_Q_1YR" hidden="1">"c1640"</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FDIC" hidden="1">"c417"</definedName>
    <definedName name="IQ_FFO" hidden="1">"c1574"</definedName>
    <definedName name="IQ_FFO_EST" hidden="1">"c418"</definedName>
    <definedName name="IQ_FFO_HIGH_EST" hidden="1">"c419"</definedName>
    <definedName name="IQ_FFO_LOW_EST" hidden="1">"c420"</definedName>
    <definedName name="IQ_FFO_NUM_EST" hidden="1">"c421"</definedName>
    <definedName name="IQ_FFO_STDDEV_EST" hidden="1">"c422"</definedName>
    <definedName name="IQ_FHLB_DEBT" hidden="1">"c423"</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"c451"</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"c907"</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"c751"</definedName>
    <definedName name="IQ_ISS_STOCK_NET" hidden="1">"c1601"</definedName>
    <definedName name="IQ_LAND" hidden="1">"c645"</definedName>
    <definedName name="IQ_LASTSALEPRICE" hidden="1">"c646"</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OR" hidden="1">"c655"</definedName>
    <definedName name="IQ_LL" hidden="1">"c656"</definedName>
    <definedName name="IQ_LOAN_LEASE_RECEIV" hidden="1">"c657"</definedName>
    <definedName name="IQ_LOAN_LOSS" hidden="1">"c656"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"c1304"</definedName>
    <definedName name="IQ_MACHINERY" hidden="1">"c711"</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RMAL_INC_AFTER" hidden="1">"c1605"</definedName>
    <definedName name="IQ_NORMAL_INC_AVAIL" hidden="1">"c1606"</definedName>
    <definedName name="IQ_NORMAL_INC_BEFORE" hidden="1">"c1607"</definedName>
    <definedName name="IQ_NOTES_PAY" hidden="1">"c1176"</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"c868"</definedName>
    <definedName name="IQ_OTHER_CURRENT_LIAB" hidden="1">"c877"</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PART_TIME" hidden="1">"c1024"</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MIUMS_ANNUITY_REV" hidden="1">"c1067"</definedName>
    <definedName name="IQ_PREPAID_EXP" hidden="1">"c1068"</definedName>
    <definedName name="IQ_PREPAID_EXPEN" hidden="1">"c1068"</definedName>
    <definedName name="IQ_PRICE_OVER_BVPS" hidden="1">"c1026"</definedName>
    <definedName name="IQ_PRICE_OVER_LTM_EPS" hidden="1">"c1029"</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NED_EARN" hidden="1">"c1092"</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"c1117"</definedName>
    <definedName name="IQ_REV" hidden="1">"c1122"</definedName>
    <definedName name="IQ_REV_BEFORE_LL" hidden="1">"c1123"</definedName>
    <definedName name="IQ_REV_STDDEV_EST" hidden="1">"c1124"</definedName>
    <definedName name="IQ_REV_UTI" hidden="1">"c1125"</definedName>
    <definedName name="IQ_REVENUE" hidden="1">"c1122"</definedName>
    <definedName name="IQ_REVENUE_EST" hidden="1">"c1126"</definedName>
    <definedName name="IQ_REVENUE_HIGH_EST" hidden="1">"c1127"</definedName>
    <definedName name="IQ_REVENUE_LOW_EST" hidden="1">"c1128"</definedName>
    <definedName name="IQ_REVENUE_NUM_EST" hidden="1">"c1129"</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SPECIAL" hidden="1">"c1618"</definedName>
    <definedName name="IQ_TOTAL_ST_BORROW" hidden="1">"c1177"</definedName>
    <definedName name="IQ_TOTAL_UNUSUAL" hidden="1">"c1508"</definedName>
    <definedName name="IQ_TRADE_AR" hidden="1">"c40"</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UST_INC" hidden="1">"c1319"</definedName>
    <definedName name="IQ_TRUST_PREF" hidden="1">"c1320"</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PAID_CLAIMS" hidden="1">"c1330"</definedName>
    <definedName name="IQ_UNREALIZED_GAIN" hidden="1">"c1619"</definedName>
    <definedName name="IQ_US_GAAP" hidden="1">"c1331"</definedName>
    <definedName name="IQ_UTIL_PPE_NET" hidden="1">"c1620"</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IGHTED_AVG_PRICE" hidden="1">"c1334"</definedName>
    <definedName name="IQ_WIP_INV" hidden="1">"c1335"</definedName>
    <definedName name="IQ_WORKMEN_WRITTEN" hidden="1">"c1336"</definedName>
    <definedName name="IQ_YEARHIGH" hidden="1">"c1337"</definedName>
    <definedName name="IQ_YEARLOW" hidden="1">"c1338"</definedName>
    <definedName name="IQ_YTD" hidden="1">3000</definedName>
    <definedName name="IQ_Z_SCORE" hidden="1">"c1339"</definedName>
    <definedName name="wrn.Print." localSheetId="22" hidden="1">{#N/A,#N/A,TRUE,"Cover";#N/A,#N/A,TRUE,"Stack";#N/A,#N/A,TRUE,"Cost S";#N/A,#N/A,TRUE,"Financing";#N/A,#N/A,TRUE," CF";#N/A,#N/A,TRUE,"CF Mnthly";#N/A,#N/A,TRUE,"CF assum";#N/A,#N/A,TRUE,"Unit Sales";#N/A,#N/A,TRUE,"REV";#N/A,#N/A,TRUE,"Bdgt Backup"}</definedName>
    <definedName name="wrn.Print." localSheetId="21" hidden="1">{#N/A,#N/A,TRUE,"Cover";#N/A,#N/A,TRUE,"Stack";#N/A,#N/A,TRUE,"Cost S";#N/A,#N/A,TRUE,"Financing";#N/A,#N/A,TRUE," CF";#N/A,#N/A,TRUE,"CF Mnthly";#N/A,#N/A,TRUE,"CF assum";#N/A,#N/A,TRUE,"Unit Sales";#N/A,#N/A,TRUE,"REV";#N/A,#N/A,TRUE,"Bdgt Backup"}</definedName>
    <definedName name="wrn.Print." localSheetId="0" hidden="1">{#N/A,#N/A,TRUE,"Cover";#N/A,#N/A,TRUE,"Stack";#N/A,#N/A,TRUE,"Cost S";#N/A,#N/A,TRUE,"Financing";#N/A,#N/A,TRUE," CF";#N/A,#N/A,TRUE,"CF Mnthly";#N/A,#N/A,TRUE,"CF assum";#N/A,#N/A,TRUE,"Unit Sales";#N/A,#N/A,TRUE,"REV";#N/A,#N/A,TRUE,"Bdgt Backup"}</definedName>
    <definedName name="wrn.Print." localSheetId="15" hidden="1">{#N/A,#N/A,TRUE,"Cover";#N/A,#N/A,TRUE,"Stack";#N/A,#N/A,TRUE,"Cost S";#N/A,#N/A,TRUE,"Financing";#N/A,#N/A,TRUE," CF";#N/A,#N/A,TRUE,"CF Mnthly";#N/A,#N/A,TRUE,"CF assum";#N/A,#N/A,TRUE,"Unit Sales";#N/A,#N/A,TRUE,"REV";#N/A,#N/A,TRUE,"Bdgt Backup"}</definedName>
    <definedName name="wrn.Print." localSheetId="17" hidden="1">{#N/A,#N/A,TRUE,"Cover";#N/A,#N/A,TRUE,"Stack";#N/A,#N/A,TRUE,"Cost S";#N/A,#N/A,TRUE,"Financing";#N/A,#N/A,TRUE," CF";#N/A,#N/A,TRUE,"CF Mnthly";#N/A,#N/A,TRUE,"CF assum";#N/A,#N/A,TRUE,"Unit Sales";#N/A,#N/A,TRUE,"REV";#N/A,#N/A,TRUE,"Bdgt Backup"}</definedName>
    <definedName name="wrn.Print." localSheetId="16" hidden="1">{#N/A,#N/A,TRUE,"Cover";#N/A,#N/A,TRUE,"Stack";#N/A,#N/A,TRUE,"Cost S";#N/A,#N/A,TRUE,"Financing";#N/A,#N/A,TRUE," CF";#N/A,#N/A,TRUE,"CF Mnthly";#N/A,#N/A,TRUE,"CF assum";#N/A,#N/A,TRUE,"Unit Sales";#N/A,#N/A,TRUE,"REV";#N/A,#N/A,TRUE,"Bdgt Backup"}</definedName>
    <definedName name="wrn.Print." hidden="1">{#N/A,#N/A,TRUE,"Cover";#N/A,#N/A,TRUE,"Stack";#N/A,#N/A,TRUE,"Cost S";#N/A,#N/A,TRUE,"Financing";#N/A,#N/A,TRUE," CF";#N/A,#N/A,TRUE,"CF Mnthly";#N/A,#N/A,TRUE,"CF assum";#N/A,#N/A,TRUE,"Unit Sales";#N/A,#N/A,TRUE,"REV";#N/A,#N/A,TRUE,"Bdgt Backup"}</definedName>
    <definedName name="wrn.Short._.Print." localSheetId="22" hidden="1">{#N/A,#N/A,FALSE,"Cover";#N/A,#N/A,FALSE,"Stack";#N/A,#N/A,FALSE,"Cost S";#N/A,#N/A,FALSE," CF";#N/A,#N/A,FALSE,"Investor"}</definedName>
    <definedName name="wrn.Short._.Print." localSheetId="21" hidden="1">{#N/A,#N/A,FALSE,"Cover";#N/A,#N/A,FALSE,"Stack";#N/A,#N/A,FALSE,"Cost S";#N/A,#N/A,FALSE," CF";#N/A,#N/A,FALSE,"Investor"}</definedName>
    <definedName name="wrn.Short._.Print." localSheetId="0" hidden="1">{#N/A,#N/A,FALSE,"Cover";#N/A,#N/A,FALSE,"Stack";#N/A,#N/A,FALSE,"Cost S";#N/A,#N/A,FALSE," CF";#N/A,#N/A,FALSE,"Investor"}</definedName>
    <definedName name="wrn.Short._.Print." localSheetId="15" hidden="1">{#N/A,#N/A,FALSE,"Cover";#N/A,#N/A,FALSE,"Stack";#N/A,#N/A,FALSE,"Cost S";#N/A,#N/A,FALSE," CF";#N/A,#N/A,FALSE,"Investor"}</definedName>
    <definedName name="wrn.Short._.Print." localSheetId="17" hidden="1">{#N/A,#N/A,FALSE,"Cover";#N/A,#N/A,FALSE,"Stack";#N/A,#N/A,FALSE,"Cost S";#N/A,#N/A,FALSE," CF";#N/A,#N/A,FALSE,"Investor"}</definedName>
    <definedName name="wrn.Short._.Print." localSheetId="16" hidden="1">{#N/A,#N/A,FALSE,"Cover";#N/A,#N/A,FALSE,"Stack";#N/A,#N/A,FALSE,"Cost S";#N/A,#N/A,FALSE," CF";#N/A,#N/A,FALSE,"Investor"}</definedName>
    <definedName name="wrn.Short._.Print." hidden="1">{#N/A,#N/A,FALSE,"Cover";#N/A,#N/A,FALSE,"Stack";#N/A,#N/A,FALSE,"Cost S";#N/A,#N/A,FALSE," CF";#N/A,#N/A,FALSE,"Investor"}</definedName>
  </definedNames>
  <calcPr calcId="145621"/>
  <extLst>
    <ext xmlns:mx="http://schemas.microsoft.com/office/mac/excel/2008/main" uri="{7523E5D3-25F3-A5E0-1632-64F254C22452}">
      <mx:ArchID Flags="2"/>
    </ext>
  </extLst>
</workbook>
</file>

<file path=xl/calcChain.xml><?xml version="1.0" encoding="utf-8"?>
<calcChain xmlns="http://schemas.openxmlformats.org/spreadsheetml/2006/main">
  <c r="H7" i="25" l="1"/>
  <c r="K12" i="29"/>
  <c r="G12" i="29"/>
  <c r="C13" i="29"/>
  <c r="K13" i="29"/>
  <c r="C14" i="29"/>
  <c r="K14" i="29"/>
  <c r="C15" i="29"/>
  <c r="K15" i="29"/>
  <c r="C16" i="29"/>
  <c r="K16" i="29"/>
  <c r="C17" i="29"/>
  <c r="K17" i="29"/>
  <c r="C18" i="29"/>
  <c r="K18" i="29"/>
  <c r="C19" i="29"/>
  <c r="K19" i="29"/>
  <c r="C20" i="29"/>
  <c r="K20" i="29"/>
  <c r="C21" i="29"/>
  <c r="K21" i="29"/>
  <c r="C22" i="29"/>
  <c r="K22" i="29"/>
  <c r="C23" i="29"/>
  <c r="K23" i="29"/>
  <c r="C24" i="29"/>
  <c r="K24" i="29"/>
  <c r="C25" i="29"/>
  <c r="K25" i="29"/>
  <c r="C26" i="29"/>
  <c r="K26" i="29"/>
  <c r="C27" i="29"/>
  <c r="K27" i="29"/>
  <c r="C28" i="29"/>
  <c r="K28" i="29"/>
  <c r="C29" i="29"/>
  <c r="K29" i="29"/>
  <c r="C30" i="29"/>
  <c r="K30" i="29"/>
  <c r="C31" i="29"/>
  <c r="K31" i="29"/>
  <c r="C32" i="29"/>
  <c r="K32" i="29"/>
  <c r="C33" i="29"/>
  <c r="K33" i="29"/>
  <c r="C34" i="29"/>
  <c r="K34" i="29"/>
  <c r="C35" i="29"/>
  <c r="K35" i="29"/>
  <c r="C36" i="29"/>
  <c r="K36" i="29"/>
  <c r="C37" i="29"/>
  <c r="K37" i="29"/>
  <c r="C38" i="29"/>
  <c r="K38" i="29"/>
  <c r="C39" i="29"/>
  <c r="K39" i="29"/>
  <c r="C40" i="29"/>
  <c r="K40" i="29"/>
  <c r="C41" i="29"/>
  <c r="K41" i="29"/>
  <c r="C42" i="29"/>
  <c r="K42" i="29"/>
  <c r="C43" i="29"/>
  <c r="K43" i="29"/>
  <c r="C44" i="29"/>
  <c r="K44" i="29"/>
  <c r="C45" i="29"/>
  <c r="K45" i="29"/>
  <c r="C46" i="29"/>
  <c r="K46" i="29"/>
  <c r="C47" i="29"/>
  <c r="K47" i="29"/>
  <c r="C48" i="29"/>
  <c r="K48" i="29"/>
  <c r="C49" i="29"/>
  <c r="K49" i="29"/>
  <c r="C50" i="29"/>
  <c r="K50" i="29"/>
  <c r="C51" i="29"/>
  <c r="K51" i="29"/>
  <c r="C52" i="29"/>
  <c r="K52" i="29"/>
  <c r="C53" i="29"/>
  <c r="K53" i="29"/>
  <c r="C54" i="29"/>
  <c r="K54" i="29"/>
  <c r="C55" i="29"/>
  <c r="K55" i="29"/>
  <c r="C56" i="29"/>
  <c r="K56" i="29"/>
  <c r="C57" i="29"/>
  <c r="K57" i="29"/>
  <c r="C58" i="29"/>
  <c r="K58" i="29"/>
  <c r="C59" i="29"/>
  <c r="K59" i="29"/>
  <c r="C60" i="29"/>
  <c r="K60" i="29"/>
  <c r="C61" i="29"/>
  <c r="K61" i="29"/>
  <c r="C62" i="29"/>
  <c r="K62" i="29"/>
  <c r="C63" i="29"/>
  <c r="K63" i="29"/>
  <c r="C64" i="29"/>
  <c r="K64" i="29"/>
  <c r="C65" i="29"/>
  <c r="K65" i="29"/>
  <c r="C66" i="29"/>
  <c r="K66" i="29"/>
  <c r="C67" i="29"/>
  <c r="K67" i="29"/>
  <c r="C68" i="29"/>
  <c r="K68" i="29"/>
  <c r="C69" i="29"/>
  <c r="K69" i="29"/>
  <c r="C70" i="29"/>
  <c r="K70" i="29"/>
  <c r="C71" i="29"/>
  <c r="K71" i="29"/>
  <c r="C72" i="29"/>
  <c r="K72" i="29"/>
  <c r="C73" i="29"/>
  <c r="K73" i="29"/>
  <c r="C74" i="29"/>
  <c r="K74" i="29"/>
  <c r="C75" i="29"/>
  <c r="K75" i="29"/>
  <c r="C76" i="29"/>
  <c r="K76" i="29"/>
  <c r="C77" i="29"/>
  <c r="K77" i="29"/>
  <c r="C78" i="29"/>
  <c r="K78" i="29"/>
  <c r="C79" i="29"/>
  <c r="K79" i="29"/>
  <c r="C80" i="29"/>
  <c r="K80" i="29"/>
  <c r="C81" i="29"/>
  <c r="K81" i="29"/>
  <c r="C82" i="29"/>
  <c r="K82" i="29"/>
  <c r="C83" i="29"/>
  <c r="K83" i="29"/>
  <c r="C84" i="29"/>
  <c r="K84" i="29"/>
  <c r="C85" i="29"/>
  <c r="K85" i="29"/>
  <c r="C86" i="29"/>
  <c r="K86" i="29"/>
  <c r="C87" i="29"/>
  <c r="K87" i="29"/>
  <c r="C88" i="29"/>
  <c r="K88" i="29"/>
  <c r="C89" i="29"/>
  <c r="K89" i="29"/>
  <c r="C90" i="29"/>
  <c r="K90" i="29"/>
  <c r="C91" i="29"/>
  <c r="K91" i="29"/>
  <c r="C92" i="29"/>
  <c r="K92" i="29"/>
  <c r="C93" i="29"/>
  <c r="K93" i="29"/>
  <c r="C94" i="29"/>
  <c r="K94" i="29"/>
  <c r="C95" i="29"/>
  <c r="K95" i="29"/>
  <c r="C96" i="29"/>
  <c r="K96" i="29"/>
  <c r="C97" i="29"/>
  <c r="K97" i="29"/>
  <c r="C98" i="29"/>
  <c r="K98" i="29"/>
  <c r="C99" i="29"/>
  <c r="K99" i="29"/>
  <c r="C100" i="29"/>
  <c r="K100" i="29"/>
  <c r="C101" i="29"/>
  <c r="K101" i="29"/>
  <c r="C102" i="29"/>
  <c r="K102" i="29"/>
  <c r="C103" i="29"/>
  <c r="K103" i="29"/>
  <c r="C104" i="29"/>
  <c r="K104" i="29"/>
  <c r="C105" i="29"/>
  <c r="K105" i="29"/>
  <c r="C106" i="29"/>
  <c r="K106" i="29"/>
  <c r="C107" i="29"/>
  <c r="K107" i="29"/>
  <c r="C108" i="29"/>
  <c r="K108" i="29"/>
  <c r="C109" i="29"/>
  <c r="K109" i="29"/>
  <c r="C110" i="29"/>
  <c r="K110" i="29"/>
  <c r="C111" i="29"/>
  <c r="K111" i="29"/>
  <c r="C112" i="29"/>
  <c r="K112" i="29"/>
  <c r="C113" i="29"/>
  <c r="K113" i="29"/>
  <c r="C114" i="29"/>
  <c r="K114" i="29"/>
  <c r="C115" i="29"/>
  <c r="K115" i="29"/>
  <c r="C116" i="29"/>
  <c r="K116" i="29"/>
  <c r="C117" i="29"/>
  <c r="K117" i="29"/>
  <c r="C118" i="29"/>
  <c r="K118" i="29"/>
  <c r="C119" i="29"/>
  <c r="K119" i="29"/>
  <c r="C120" i="29"/>
  <c r="K120" i="29"/>
  <c r="C121" i="29"/>
  <c r="K121" i="29"/>
  <c r="C122" i="29"/>
  <c r="K122" i="29"/>
  <c r="C123" i="29"/>
  <c r="K123" i="29"/>
  <c r="C124" i="29"/>
  <c r="K124" i="29"/>
  <c r="C125" i="29"/>
  <c r="K125" i="29"/>
  <c r="C126" i="29"/>
  <c r="K126" i="29"/>
  <c r="C127" i="29"/>
  <c r="K127" i="29"/>
  <c r="C128" i="29"/>
  <c r="K128" i="29"/>
  <c r="C129" i="29"/>
  <c r="K129" i="29"/>
  <c r="C130" i="29"/>
  <c r="K130" i="29"/>
  <c r="C131" i="29"/>
  <c r="K131" i="29"/>
  <c r="C132" i="29"/>
  <c r="K132" i="29"/>
  <c r="C133" i="29"/>
  <c r="K133" i="29"/>
  <c r="C134" i="29"/>
  <c r="K134" i="29"/>
  <c r="C135" i="29"/>
  <c r="K135" i="29"/>
  <c r="C136" i="29"/>
  <c r="K136" i="29"/>
  <c r="C137" i="29"/>
  <c r="K137" i="29"/>
  <c r="C138" i="29"/>
  <c r="K138" i="29"/>
  <c r="C139" i="29"/>
  <c r="K139" i="29"/>
  <c r="C140" i="29"/>
  <c r="K140" i="29"/>
  <c r="C141" i="29"/>
  <c r="K141" i="29"/>
  <c r="C142" i="29"/>
  <c r="K142" i="29"/>
  <c r="C143" i="29"/>
  <c r="K143" i="29"/>
  <c r="C144" i="29"/>
  <c r="K144" i="29"/>
  <c r="C145" i="29"/>
  <c r="K145" i="29"/>
  <c r="C146" i="29"/>
  <c r="K146" i="29"/>
  <c r="C147" i="29"/>
  <c r="K147" i="29"/>
  <c r="C148" i="29"/>
  <c r="K148" i="29"/>
  <c r="C149" i="29"/>
  <c r="K149" i="29"/>
  <c r="C150" i="29"/>
  <c r="K150" i="29"/>
  <c r="C151" i="29"/>
  <c r="K151" i="29"/>
  <c r="C152" i="29"/>
  <c r="K152" i="29"/>
  <c r="C153" i="29"/>
  <c r="K153" i="29"/>
  <c r="C154" i="29"/>
  <c r="K154" i="29"/>
  <c r="C155" i="29"/>
  <c r="K155" i="29"/>
  <c r="C156" i="29"/>
  <c r="K156" i="29"/>
  <c r="C157" i="29"/>
  <c r="K157" i="29"/>
  <c r="C158" i="29"/>
  <c r="K158" i="29"/>
  <c r="C159" i="29"/>
  <c r="K159" i="29"/>
  <c r="C160" i="29"/>
  <c r="K160" i="29"/>
  <c r="C161" i="29"/>
  <c r="K161" i="29"/>
  <c r="C162" i="29"/>
  <c r="K162" i="29"/>
  <c r="C163" i="29"/>
  <c r="K163" i="29"/>
  <c r="C164" i="29"/>
  <c r="K164" i="29"/>
  <c r="C165" i="29"/>
  <c r="K165" i="29"/>
  <c r="C166" i="29"/>
  <c r="K166" i="29"/>
  <c r="C167" i="29"/>
  <c r="K167" i="29"/>
  <c r="C168" i="29"/>
  <c r="K168" i="29"/>
  <c r="C169" i="29"/>
  <c r="K169" i="29"/>
  <c r="C170" i="29"/>
  <c r="K170" i="29"/>
  <c r="C171" i="29"/>
  <c r="K171" i="29"/>
  <c r="C172" i="29"/>
  <c r="K172" i="29"/>
  <c r="C173" i="29"/>
  <c r="K173" i="29"/>
  <c r="C174" i="29"/>
  <c r="K174" i="29"/>
  <c r="C175" i="29"/>
  <c r="K175" i="29"/>
  <c r="C176" i="29"/>
  <c r="K176" i="29"/>
  <c r="C177" i="29"/>
  <c r="K177" i="29"/>
  <c r="C178" i="29"/>
  <c r="K178" i="29"/>
  <c r="C179" i="29"/>
  <c r="K179" i="29"/>
  <c r="C180" i="29"/>
  <c r="K180" i="29"/>
  <c r="C181" i="29"/>
  <c r="K181" i="29"/>
  <c r="C182" i="29"/>
  <c r="K182" i="29"/>
  <c r="C183" i="29"/>
  <c r="K183" i="29"/>
  <c r="C184" i="29"/>
  <c r="K184" i="29"/>
  <c r="C185" i="29"/>
  <c r="K185" i="29"/>
  <c r="C186" i="29"/>
  <c r="K186" i="29"/>
  <c r="C187" i="29"/>
  <c r="K187" i="29"/>
  <c r="C188" i="29"/>
  <c r="K188" i="29"/>
  <c r="C189" i="29"/>
  <c r="K189" i="29"/>
  <c r="C190" i="29"/>
  <c r="K190" i="29"/>
  <c r="C191" i="29"/>
  <c r="K191" i="29"/>
  <c r="C192" i="29"/>
  <c r="K192" i="29"/>
  <c r="C193" i="29"/>
  <c r="K193" i="29"/>
  <c r="C194" i="29"/>
  <c r="K194" i="29"/>
  <c r="C195" i="29"/>
  <c r="K195" i="29"/>
  <c r="C196" i="29"/>
  <c r="K196" i="29"/>
  <c r="C197" i="29"/>
  <c r="K197" i="29"/>
  <c r="C198" i="29"/>
  <c r="K198" i="29"/>
  <c r="C199" i="29"/>
  <c r="K199" i="29"/>
  <c r="C200" i="29"/>
  <c r="K200" i="29"/>
  <c r="C201" i="29"/>
  <c r="K201" i="29"/>
  <c r="C202" i="29"/>
  <c r="K202" i="29"/>
  <c r="C203" i="29"/>
  <c r="K203" i="29"/>
  <c r="C204" i="29"/>
  <c r="K204" i="29"/>
  <c r="C205" i="29"/>
  <c r="K205" i="29"/>
  <c r="C206" i="29"/>
  <c r="K206" i="29"/>
  <c r="C207" i="29"/>
  <c r="K207" i="29"/>
  <c r="C208" i="29"/>
  <c r="K208" i="29"/>
  <c r="C209" i="29"/>
  <c r="K209" i="29"/>
  <c r="C210" i="29"/>
  <c r="K210" i="29"/>
  <c r="C211" i="29"/>
  <c r="K211" i="29"/>
  <c r="C212" i="29"/>
  <c r="K212" i="29"/>
  <c r="C213" i="29"/>
  <c r="K213" i="29"/>
  <c r="C214" i="29"/>
  <c r="K214" i="29"/>
  <c r="C215" i="29"/>
  <c r="K215" i="29"/>
  <c r="C216" i="29"/>
  <c r="K216" i="29"/>
  <c r="C217" i="29"/>
  <c r="K217" i="29"/>
  <c r="C218" i="29"/>
  <c r="K218" i="29"/>
  <c r="C219" i="29"/>
  <c r="K219" i="29"/>
  <c r="C220" i="29"/>
  <c r="K220" i="29"/>
  <c r="C221" i="29"/>
  <c r="K221" i="29"/>
  <c r="C222" i="29"/>
  <c r="K222" i="29"/>
  <c r="C223" i="29"/>
  <c r="K223" i="29"/>
  <c r="C224" i="29"/>
  <c r="K224" i="29"/>
  <c r="C225" i="29"/>
  <c r="K225" i="29"/>
  <c r="C226" i="29"/>
  <c r="K226" i="29"/>
  <c r="C227" i="29"/>
  <c r="K227" i="29"/>
  <c r="C228" i="29"/>
  <c r="K228" i="29"/>
  <c r="C229" i="29"/>
  <c r="K229" i="29"/>
  <c r="C230" i="29"/>
  <c r="K230" i="29"/>
  <c r="C231" i="29"/>
  <c r="K231" i="29"/>
  <c r="C232" i="29"/>
  <c r="K232" i="29"/>
  <c r="C233" i="29"/>
  <c r="K233" i="29"/>
  <c r="C234" i="29"/>
  <c r="K234" i="29"/>
  <c r="C235" i="29"/>
  <c r="K235" i="29"/>
  <c r="C236" i="29"/>
  <c r="K236" i="29"/>
  <c r="C237" i="29"/>
  <c r="K237" i="29"/>
  <c r="C238" i="29"/>
  <c r="K238" i="29"/>
  <c r="C239" i="29"/>
  <c r="K239" i="29"/>
  <c r="C240" i="29"/>
  <c r="K240" i="29"/>
  <c r="C241" i="29"/>
  <c r="K241" i="29"/>
  <c r="C242" i="29"/>
  <c r="K242" i="29"/>
  <c r="C243" i="29"/>
  <c r="K243" i="29"/>
  <c r="C244" i="29"/>
  <c r="K244" i="29"/>
  <c r="C245" i="29"/>
  <c r="K245" i="29"/>
  <c r="C246" i="29"/>
  <c r="K246" i="29"/>
  <c r="C247" i="29"/>
  <c r="K247" i="29"/>
  <c r="C248" i="29"/>
  <c r="K248" i="29"/>
  <c r="C249" i="29"/>
  <c r="K249" i="29"/>
  <c r="C250" i="29"/>
  <c r="K250" i="29"/>
  <c r="C251" i="29"/>
  <c r="K251" i="29"/>
  <c r="C252" i="29"/>
  <c r="K252" i="29"/>
  <c r="C253" i="29"/>
  <c r="K253" i="29"/>
  <c r="C254" i="29"/>
  <c r="K254" i="29"/>
  <c r="C255" i="29"/>
  <c r="K255" i="29"/>
  <c r="C256" i="29"/>
  <c r="K256" i="29"/>
  <c r="C257" i="29"/>
  <c r="K257" i="29"/>
  <c r="C258" i="29"/>
  <c r="K258" i="29"/>
  <c r="C259" i="29"/>
  <c r="K259" i="29"/>
  <c r="C260" i="29"/>
  <c r="K260" i="29"/>
  <c r="C261" i="29"/>
  <c r="K261" i="29"/>
  <c r="C262" i="29"/>
  <c r="K262" i="29"/>
  <c r="C263" i="29"/>
  <c r="K263" i="29"/>
  <c r="C264" i="29"/>
  <c r="K264" i="29"/>
  <c r="C265" i="29"/>
  <c r="K265" i="29"/>
  <c r="C266" i="29"/>
  <c r="K266" i="29"/>
  <c r="C267" i="29"/>
  <c r="K267" i="29"/>
  <c r="C268" i="29"/>
  <c r="K268" i="29"/>
  <c r="C269" i="29"/>
  <c r="K269" i="29"/>
  <c r="C270" i="29"/>
  <c r="K270" i="29"/>
  <c r="C271" i="29"/>
  <c r="K271" i="29"/>
  <c r="C272" i="29"/>
  <c r="K272" i="29"/>
  <c r="C273" i="29"/>
  <c r="K273" i="29"/>
  <c r="C274" i="29"/>
  <c r="K274" i="29"/>
  <c r="C275" i="29"/>
  <c r="K275" i="29"/>
  <c r="C276" i="29"/>
  <c r="K276" i="29"/>
  <c r="C277" i="29"/>
  <c r="K277" i="29"/>
  <c r="C278" i="29"/>
  <c r="K278" i="29"/>
  <c r="C279" i="29"/>
  <c r="K279" i="29"/>
  <c r="C280" i="29"/>
  <c r="K280" i="29"/>
  <c r="C281" i="29"/>
  <c r="K281" i="29"/>
  <c r="C282" i="29"/>
  <c r="K282" i="29"/>
  <c r="C283" i="29"/>
  <c r="K283" i="29"/>
  <c r="C284" i="29"/>
  <c r="K284" i="29"/>
  <c r="C285" i="29"/>
  <c r="K285" i="29"/>
  <c r="C286" i="29"/>
  <c r="K286" i="29"/>
  <c r="C287" i="29"/>
  <c r="K287" i="29"/>
  <c r="C288" i="29"/>
  <c r="K288" i="29"/>
  <c r="C289" i="29"/>
  <c r="K289" i="29"/>
  <c r="C290" i="29"/>
  <c r="K290" i="29"/>
  <c r="C291" i="29"/>
  <c r="K291" i="29"/>
  <c r="C292" i="29"/>
  <c r="K292" i="29"/>
  <c r="C293" i="29"/>
  <c r="K293" i="29"/>
  <c r="C294" i="29"/>
  <c r="K294" i="29"/>
  <c r="C295" i="29"/>
  <c r="K295" i="29"/>
  <c r="C296" i="29"/>
  <c r="K296" i="29"/>
  <c r="C297" i="29"/>
  <c r="K297" i="29"/>
  <c r="C298" i="29"/>
  <c r="K298" i="29"/>
  <c r="C299" i="29"/>
  <c r="K299" i="29"/>
  <c r="C300" i="29"/>
  <c r="K300" i="29"/>
  <c r="C301" i="29"/>
  <c r="K301" i="29"/>
  <c r="C302" i="29"/>
  <c r="K302" i="29"/>
  <c r="C303" i="29"/>
  <c r="K303" i="29"/>
  <c r="C304" i="29"/>
  <c r="K304" i="29"/>
  <c r="C305" i="29"/>
  <c r="K305" i="29"/>
  <c r="C306" i="29"/>
  <c r="K306" i="29"/>
  <c r="C307" i="29"/>
  <c r="K307" i="29"/>
  <c r="C308" i="29"/>
  <c r="K308" i="29"/>
  <c r="C309" i="29"/>
  <c r="K309" i="29"/>
  <c r="C310" i="29"/>
  <c r="K310" i="29"/>
  <c r="C311" i="29"/>
  <c r="K311" i="29"/>
  <c r="C312" i="29"/>
  <c r="K312" i="29"/>
  <c r="C313" i="29"/>
  <c r="K313" i="29"/>
  <c r="C314" i="29"/>
  <c r="K314" i="29"/>
  <c r="C315" i="29"/>
  <c r="K315" i="29"/>
  <c r="C316" i="29"/>
  <c r="K316" i="29"/>
  <c r="C317" i="29"/>
  <c r="K317" i="29"/>
  <c r="C318" i="29"/>
  <c r="K318" i="29"/>
  <c r="C319" i="29"/>
  <c r="K319" i="29"/>
  <c r="C320" i="29"/>
  <c r="K320" i="29"/>
  <c r="C321" i="29"/>
  <c r="K321" i="29"/>
  <c r="C322" i="29"/>
  <c r="K322" i="29"/>
  <c r="C323" i="29"/>
  <c r="K323" i="29"/>
  <c r="C324" i="29"/>
  <c r="K324" i="29"/>
  <c r="C325" i="29"/>
  <c r="K325" i="29"/>
  <c r="C326" i="29"/>
  <c r="K326" i="29"/>
  <c r="C327" i="29"/>
  <c r="K327" i="29"/>
  <c r="C328" i="29"/>
  <c r="K328" i="29"/>
  <c r="C329" i="29"/>
  <c r="K329" i="29"/>
  <c r="C330" i="29"/>
  <c r="K330" i="29"/>
  <c r="C331" i="29"/>
  <c r="K331" i="29"/>
  <c r="C332" i="29"/>
  <c r="K332" i="29"/>
  <c r="C333" i="29"/>
  <c r="K333" i="29"/>
  <c r="C334" i="29"/>
  <c r="K334" i="29"/>
  <c r="C335" i="29"/>
  <c r="K335" i="29"/>
  <c r="C336" i="29"/>
  <c r="K336" i="29"/>
  <c r="C337" i="29"/>
  <c r="K337" i="29"/>
  <c r="C338" i="29"/>
  <c r="K338" i="29"/>
  <c r="C339" i="29"/>
  <c r="K339" i="29"/>
  <c r="C340" i="29"/>
  <c r="K340" i="29"/>
  <c r="C341" i="29"/>
  <c r="K341" i="29"/>
  <c r="C342" i="29"/>
  <c r="K342" i="29"/>
  <c r="C343" i="29"/>
  <c r="K343" i="29"/>
  <c r="C344" i="29"/>
  <c r="K344" i="29"/>
  <c r="C345" i="29"/>
  <c r="K345" i="29"/>
  <c r="C346" i="29"/>
  <c r="K346" i="29"/>
  <c r="C347" i="29"/>
  <c r="K347" i="29"/>
  <c r="C348" i="29"/>
  <c r="K348" i="29"/>
  <c r="C349" i="29"/>
  <c r="K349" i="29"/>
  <c r="C350" i="29"/>
  <c r="K350" i="29"/>
  <c r="C351" i="29"/>
  <c r="K351" i="29"/>
  <c r="C352" i="29"/>
  <c r="K352" i="29"/>
  <c r="C353" i="29"/>
  <c r="K353" i="29"/>
  <c r="C354" i="29"/>
  <c r="K354" i="29"/>
  <c r="C355" i="29"/>
  <c r="K355" i="29"/>
  <c r="C356" i="29"/>
  <c r="K356" i="29"/>
  <c r="C357" i="29"/>
  <c r="K357" i="29"/>
  <c r="C358" i="29"/>
  <c r="K358" i="29"/>
  <c r="C359" i="29"/>
  <c r="K359" i="29"/>
  <c r="C360" i="29"/>
  <c r="K360" i="29"/>
  <c r="C361" i="29"/>
  <c r="K361" i="29"/>
  <c r="C362" i="29"/>
  <c r="K362" i="29"/>
  <c r="C363" i="29"/>
  <c r="K363" i="29"/>
  <c r="C364" i="29"/>
  <c r="K364" i="29"/>
  <c r="C365" i="29"/>
  <c r="K365" i="29"/>
  <c r="C366" i="29"/>
  <c r="K366" i="29"/>
  <c r="C367" i="29"/>
  <c r="K367" i="29"/>
  <c r="C368" i="29"/>
  <c r="K368" i="29"/>
  <c r="C369" i="29"/>
  <c r="K369" i="29"/>
  <c r="C370" i="29"/>
  <c r="K370" i="29"/>
  <c r="C371" i="29"/>
  <c r="K371" i="29"/>
  <c r="G13" i="29"/>
  <c r="G14" i="29"/>
  <c r="G15" i="29"/>
  <c r="G16" i="29"/>
  <c r="G17" i="29"/>
  <c r="G18" i="29"/>
  <c r="G19" i="29"/>
  <c r="G20" i="29"/>
  <c r="G21" i="29"/>
  <c r="G22" i="29"/>
  <c r="G23" i="29"/>
  <c r="C78" i="8"/>
  <c r="H27" i="31"/>
  <c r="G27" i="31"/>
  <c r="H13" i="30"/>
  <c r="B7" i="20"/>
  <c r="B9" i="20"/>
  <c r="E7" i="19"/>
  <c r="G5" i="19"/>
  <c r="E12" i="19"/>
  <c r="B13" i="19"/>
  <c r="E13" i="19"/>
  <c r="B14" i="19"/>
  <c r="E14" i="19"/>
  <c r="B15" i="19"/>
  <c r="E15" i="19"/>
  <c r="B16" i="19"/>
  <c r="E16" i="19"/>
  <c r="B17" i="19"/>
  <c r="E17" i="19"/>
  <c r="B18" i="19"/>
  <c r="E18" i="19"/>
  <c r="B19" i="19"/>
  <c r="E19" i="19"/>
  <c r="B20" i="19"/>
  <c r="E20" i="19"/>
  <c r="B21" i="19"/>
  <c r="E21" i="19"/>
  <c r="B22" i="19"/>
  <c r="E22" i="19"/>
  <c r="B23" i="19"/>
  <c r="E23" i="19"/>
  <c r="B24" i="19"/>
  <c r="E24" i="19"/>
  <c r="B25" i="19"/>
  <c r="E25" i="19"/>
  <c r="B26" i="19"/>
  <c r="E26" i="19"/>
  <c r="B27" i="19"/>
  <c r="E27" i="19"/>
  <c r="B28" i="19"/>
  <c r="E28" i="19"/>
  <c r="B29" i="19"/>
  <c r="E29" i="19"/>
  <c r="B30" i="19"/>
  <c r="E30" i="19"/>
  <c r="B31" i="19"/>
  <c r="E31" i="19"/>
  <c r="B32" i="19"/>
  <c r="E32" i="19"/>
  <c r="B33" i="19"/>
  <c r="E33" i="19"/>
  <c r="B34" i="19"/>
  <c r="E34" i="19"/>
  <c r="B35" i="19"/>
  <c r="E35" i="19"/>
  <c r="B36" i="19"/>
  <c r="E36" i="19"/>
  <c r="B37" i="19"/>
  <c r="E37" i="19"/>
  <c r="B38" i="19"/>
  <c r="E38" i="19"/>
  <c r="B39" i="19"/>
  <c r="E39" i="19"/>
  <c r="B40" i="19"/>
  <c r="E40" i="19"/>
  <c r="B41" i="19"/>
  <c r="E41" i="19"/>
  <c r="B42" i="19"/>
  <c r="E42" i="19"/>
  <c r="B43" i="19"/>
  <c r="E43" i="19"/>
  <c r="B44" i="19"/>
  <c r="E44" i="19"/>
  <c r="B45" i="19"/>
  <c r="E45" i="19"/>
  <c r="B46" i="19"/>
  <c r="E46" i="19"/>
  <c r="B47" i="19"/>
  <c r="E47" i="19"/>
  <c r="B48" i="19"/>
  <c r="E48" i="19"/>
  <c r="B49" i="19"/>
  <c r="E49" i="19"/>
  <c r="B50" i="19"/>
  <c r="E50" i="19"/>
  <c r="B51" i="19"/>
  <c r="E51" i="19"/>
  <c r="B52" i="19"/>
  <c r="E52" i="19"/>
  <c r="B53" i="19"/>
  <c r="E53" i="19"/>
  <c r="B54" i="19"/>
  <c r="E54" i="19"/>
  <c r="B55" i="19"/>
  <c r="E55" i="19"/>
  <c r="B56" i="19"/>
  <c r="E56" i="19"/>
  <c r="B57" i="19"/>
  <c r="E57" i="19"/>
  <c r="B58" i="19"/>
  <c r="E58" i="19"/>
  <c r="B59" i="19"/>
  <c r="E59" i="19"/>
  <c r="B60" i="19"/>
  <c r="E60" i="19"/>
  <c r="B61" i="19"/>
  <c r="E61" i="19"/>
  <c r="B62" i="19"/>
  <c r="E62" i="19"/>
  <c r="B63" i="19"/>
  <c r="E63" i="19"/>
  <c r="B64" i="19"/>
  <c r="E64" i="19"/>
  <c r="B65" i="19"/>
  <c r="E65" i="19"/>
  <c r="B66" i="19"/>
  <c r="E66" i="19"/>
  <c r="B67" i="19"/>
  <c r="E67" i="19"/>
  <c r="B68" i="19"/>
  <c r="E68" i="19"/>
  <c r="B69" i="19"/>
  <c r="E69" i="19"/>
  <c r="B70" i="19"/>
  <c r="E70" i="19"/>
  <c r="B71" i="19"/>
  <c r="E71" i="19"/>
  <c r="B72" i="19"/>
  <c r="E72" i="19"/>
  <c r="B73" i="19"/>
  <c r="E73" i="19"/>
  <c r="B74" i="19"/>
  <c r="E74" i="19"/>
  <c r="B75" i="19"/>
  <c r="E75" i="19"/>
  <c r="B76" i="19"/>
  <c r="E76" i="19"/>
  <c r="B77" i="19"/>
  <c r="E77" i="19"/>
  <c r="B78" i="19"/>
  <c r="E78" i="19"/>
  <c r="B79" i="19"/>
  <c r="E79" i="19"/>
  <c r="B80" i="19"/>
  <c r="E80" i="19"/>
  <c r="B81" i="19"/>
  <c r="E81" i="19"/>
  <c r="B82" i="19"/>
  <c r="E82" i="19"/>
  <c r="B83" i="19"/>
  <c r="E83" i="19"/>
  <c r="B84" i="19"/>
  <c r="E84" i="19"/>
  <c r="B85" i="19"/>
  <c r="E85" i="19"/>
  <c r="B86" i="19"/>
  <c r="E86" i="19"/>
  <c r="B87" i="19"/>
  <c r="E87" i="19"/>
  <c r="B88" i="19"/>
  <c r="E88" i="19"/>
  <c r="B89" i="19"/>
  <c r="E89" i="19"/>
  <c r="B90" i="19"/>
  <c r="E90" i="19"/>
  <c r="B91" i="19"/>
  <c r="E91" i="19"/>
  <c r="B92" i="19"/>
  <c r="E92" i="19"/>
  <c r="B93" i="19"/>
  <c r="E93" i="19"/>
  <c r="B94" i="19"/>
  <c r="E94" i="19"/>
  <c r="B95" i="19"/>
  <c r="E95" i="19"/>
  <c r="B96" i="19"/>
  <c r="E96" i="19"/>
  <c r="B97" i="19"/>
  <c r="E97" i="19"/>
  <c r="B98" i="19"/>
  <c r="E98" i="19"/>
  <c r="B99" i="19"/>
  <c r="E99" i="19"/>
  <c r="B100" i="19"/>
  <c r="E100" i="19"/>
  <c r="B101" i="19"/>
  <c r="E101" i="19"/>
  <c r="B102" i="19"/>
  <c r="E102" i="19"/>
  <c r="B103" i="19"/>
  <c r="E103" i="19"/>
  <c r="B104" i="19"/>
  <c r="E104" i="19"/>
  <c r="B105" i="19"/>
  <c r="E105" i="19"/>
  <c r="B106" i="19"/>
  <c r="E106" i="19"/>
  <c r="B107" i="19"/>
  <c r="E107" i="19"/>
  <c r="B108" i="19"/>
  <c r="E108" i="19"/>
  <c r="B109" i="19"/>
  <c r="E109" i="19"/>
  <c r="B110" i="19"/>
  <c r="E110" i="19"/>
  <c r="B111" i="19"/>
  <c r="E111" i="19"/>
  <c r="B112" i="19"/>
  <c r="E112" i="19"/>
  <c r="B113" i="19"/>
  <c r="E113" i="19"/>
  <c r="B114" i="19"/>
  <c r="E114" i="19"/>
  <c r="B115" i="19"/>
  <c r="E115" i="19"/>
  <c r="B116" i="19"/>
  <c r="E116" i="19"/>
  <c r="B117" i="19"/>
  <c r="E117" i="19"/>
  <c r="B118" i="19"/>
  <c r="E118" i="19"/>
  <c r="B119" i="19"/>
  <c r="E119" i="19"/>
  <c r="B120" i="19"/>
  <c r="E120" i="19"/>
  <c r="B121" i="19"/>
  <c r="E121" i="19"/>
  <c r="B122" i="19"/>
  <c r="E122" i="19"/>
  <c r="B123" i="19"/>
  <c r="E123" i="19"/>
  <c r="B124" i="19"/>
  <c r="E124" i="19"/>
  <c r="B125" i="19"/>
  <c r="E125" i="19"/>
  <c r="B126" i="19"/>
  <c r="E126" i="19"/>
  <c r="B127" i="19"/>
  <c r="E127" i="19"/>
  <c r="B128" i="19"/>
  <c r="E128" i="19"/>
  <c r="B129" i="19"/>
  <c r="E129" i="19"/>
  <c r="B130" i="19"/>
  <c r="E130" i="19"/>
  <c r="B131" i="19"/>
  <c r="E131" i="19"/>
  <c r="B132" i="19"/>
  <c r="E132" i="19"/>
  <c r="B133" i="19"/>
  <c r="E133" i="19"/>
  <c r="B134" i="19"/>
  <c r="E134" i="19"/>
  <c r="B135" i="19"/>
  <c r="E135" i="19"/>
  <c r="B136" i="19"/>
  <c r="E136" i="19"/>
  <c r="B137" i="19"/>
  <c r="E137" i="19"/>
  <c r="B138" i="19"/>
  <c r="E138" i="19"/>
  <c r="B139" i="19"/>
  <c r="E139" i="19"/>
  <c r="B140" i="19"/>
  <c r="E140" i="19"/>
  <c r="B141" i="19"/>
  <c r="E141" i="19"/>
  <c r="B142" i="19"/>
  <c r="E142" i="19"/>
  <c r="B143" i="19"/>
  <c r="E143" i="19"/>
  <c r="B144" i="19"/>
  <c r="E144" i="19"/>
  <c r="B145" i="19"/>
  <c r="E145" i="19"/>
  <c r="B146" i="19"/>
  <c r="E146" i="19"/>
  <c r="B147" i="19"/>
  <c r="E147" i="19"/>
  <c r="B148" i="19"/>
  <c r="E148" i="19"/>
  <c r="B149" i="19"/>
  <c r="E149" i="19"/>
  <c r="B150" i="19"/>
  <c r="E150" i="19"/>
  <c r="B151" i="19"/>
  <c r="E151" i="19"/>
  <c r="B152" i="19"/>
  <c r="E152" i="19"/>
  <c r="B153" i="19"/>
  <c r="E153" i="19"/>
  <c r="B154" i="19"/>
  <c r="E154" i="19"/>
  <c r="B155" i="19"/>
  <c r="E155" i="19"/>
  <c r="B156" i="19"/>
  <c r="E156" i="19"/>
  <c r="B157" i="19"/>
  <c r="E157" i="19"/>
  <c r="B158" i="19"/>
  <c r="E158" i="19"/>
  <c r="B159" i="19"/>
  <c r="E159" i="19"/>
  <c r="B160" i="19"/>
  <c r="E160" i="19"/>
  <c r="B161" i="19"/>
  <c r="E161" i="19"/>
  <c r="B162" i="19"/>
  <c r="E162" i="19"/>
  <c r="B163" i="19"/>
  <c r="E163" i="19"/>
  <c r="B164" i="19"/>
  <c r="E164" i="19"/>
  <c r="B165" i="19"/>
  <c r="E165" i="19"/>
  <c r="B166" i="19"/>
  <c r="E166" i="19"/>
  <c r="B167" i="19"/>
  <c r="E167" i="19"/>
  <c r="B168" i="19"/>
  <c r="E168" i="19"/>
  <c r="B169" i="19"/>
  <c r="E169" i="19"/>
  <c r="B170" i="19"/>
  <c r="E170" i="19"/>
  <c r="B171" i="19"/>
  <c r="E171" i="19"/>
  <c r="B172" i="19"/>
  <c r="E172" i="19"/>
  <c r="B173" i="19"/>
  <c r="E173" i="19"/>
  <c r="B174" i="19"/>
  <c r="E174" i="19"/>
  <c r="B175" i="19"/>
  <c r="E175" i="19"/>
  <c r="B176" i="19"/>
  <c r="E176" i="19"/>
  <c r="B177" i="19"/>
  <c r="E177" i="19"/>
  <c r="B178" i="19"/>
  <c r="E178" i="19"/>
  <c r="B179" i="19"/>
  <c r="E179" i="19"/>
  <c r="B180" i="19"/>
  <c r="E180" i="19"/>
  <c r="B181" i="19"/>
  <c r="E181" i="19"/>
  <c r="B182" i="19"/>
  <c r="E182" i="19"/>
  <c r="B183" i="19"/>
  <c r="E183" i="19"/>
  <c r="B184" i="19"/>
  <c r="E184" i="19"/>
  <c r="B185" i="19"/>
  <c r="E185" i="19"/>
  <c r="B186" i="19"/>
  <c r="E186" i="19"/>
  <c r="B187" i="19"/>
  <c r="E187" i="19"/>
  <c r="B188" i="19"/>
  <c r="E188" i="19"/>
  <c r="B189" i="19"/>
  <c r="E189" i="19"/>
  <c r="B190" i="19"/>
  <c r="E190" i="19"/>
  <c r="B191" i="19"/>
  <c r="E191" i="19"/>
  <c r="B192" i="19"/>
  <c r="E192" i="19"/>
  <c r="B193" i="19"/>
  <c r="E193" i="19"/>
  <c r="B194" i="19"/>
  <c r="E194" i="19"/>
  <c r="B195" i="19"/>
  <c r="E195" i="19"/>
  <c r="B196" i="19"/>
  <c r="E196" i="19"/>
  <c r="B197" i="19"/>
  <c r="E197" i="19"/>
  <c r="B198" i="19"/>
  <c r="E198" i="19"/>
  <c r="B199" i="19"/>
  <c r="E199" i="19"/>
  <c r="B200" i="19"/>
  <c r="E200" i="19"/>
  <c r="B201" i="19"/>
  <c r="E201" i="19"/>
  <c r="B202" i="19"/>
  <c r="E202" i="19"/>
  <c r="B203" i="19"/>
  <c r="E203" i="19"/>
  <c r="B204" i="19"/>
  <c r="E204" i="19"/>
  <c r="B205" i="19"/>
  <c r="E205" i="19"/>
  <c r="B206" i="19"/>
  <c r="E206" i="19"/>
  <c r="B207" i="19"/>
  <c r="E207" i="19"/>
  <c r="B208" i="19"/>
  <c r="E208" i="19"/>
  <c r="B209" i="19"/>
  <c r="E209" i="19"/>
  <c r="B210" i="19"/>
  <c r="E210" i="19"/>
  <c r="B211" i="19"/>
  <c r="E211" i="19"/>
  <c r="B212" i="19"/>
  <c r="E212" i="19"/>
  <c r="B213" i="19"/>
  <c r="E213" i="19"/>
  <c r="B214" i="19"/>
  <c r="E214" i="19"/>
  <c r="B215" i="19"/>
  <c r="E215" i="19"/>
  <c r="B216" i="19"/>
  <c r="E216" i="19"/>
  <c r="B217" i="19"/>
  <c r="E217" i="19"/>
  <c r="B218" i="19"/>
  <c r="E218" i="19"/>
  <c r="B219" i="19"/>
  <c r="E219" i="19"/>
  <c r="B220" i="19"/>
  <c r="E220" i="19"/>
  <c r="B221" i="19"/>
  <c r="E221" i="19"/>
  <c r="B222" i="19"/>
  <c r="E222" i="19"/>
  <c r="B223" i="19"/>
  <c r="E223" i="19"/>
  <c r="B224" i="19"/>
  <c r="E224" i="19"/>
  <c r="B225" i="19"/>
  <c r="E225" i="19"/>
  <c r="B226" i="19"/>
  <c r="E226" i="19"/>
  <c r="B227" i="19"/>
  <c r="E227" i="19"/>
  <c r="B228" i="19"/>
  <c r="E228" i="19"/>
  <c r="B229" i="19"/>
  <c r="E229" i="19"/>
  <c r="B230" i="19"/>
  <c r="E230" i="19"/>
  <c r="B231" i="19"/>
  <c r="E231" i="19"/>
  <c r="B232" i="19"/>
  <c r="E232" i="19"/>
  <c r="B233" i="19"/>
  <c r="E233" i="19"/>
  <c r="B234" i="19"/>
  <c r="E234" i="19"/>
  <c r="B235" i="19"/>
  <c r="E235" i="19"/>
  <c r="B236" i="19"/>
  <c r="E236" i="19"/>
  <c r="B237" i="19"/>
  <c r="E237" i="19"/>
  <c r="B238" i="19"/>
  <c r="E238" i="19"/>
  <c r="B239" i="19"/>
  <c r="E239" i="19"/>
  <c r="B240" i="19"/>
  <c r="E240" i="19"/>
  <c r="B241" i="19"/>
  <c r="E241" i="19"/>
  <c r="B242" i="19"/>
  <c r="E242" i="19"/>
  <c r="B243" i="19"/>
  <c r="E243" i="19"/>
  <c r="B244" i="19"/>
  <c r="E244" i="19"/>
  <c r="B245" i="19"/>
  <c r="E245" i="19"/>
  <c r="B246" i="19"/>
  <c r="E246" i="19"/>
  <c r="B247" i="19"/>
  <c r="E247" i="19"/>
  <c r="B248" i="19"/>
  <c r="E248" i="19"/>
  <c r="B249" i="19"/>
  <c r="E249" i="19"/>
  <c r="B250" i="19"/>
  <c r="E250" i="19"/>
  <c r="B251" i="19"/>
  <c r="E251" i="19"/>
  <c r="B252" i="19"/>
  <c r="E252" i="19"/>
  <c r="B253" i="19"/>
  <c r="E253" i="19"/>
  <c r="B254" i="19"/>
  <c r="E254" i="19"/>
  <c r="B255" i="19"/>
  <c r="E255" i="19"/>
  <c r="B256" i="19"/>
  <c r="E256" i="19"/>
  <c r="B257" i="19"/>
  <c r="E257" i="19"/>
  <c r="B258" i="19"/>
  <c r="E258" i="19"/>
  <c r="B259" i="19"/>
  <c r="E259" i="19"/>
  <c r="B260" i="19"/>
  <c r="E260" i="19"/>
  <c r="B261" i="19"/>
  <c r="E261" i="19"/>
  <c r="B262" i="19"/>
  <c r="E262" i="19"/>
  <c r="B263" i="19"/>
  <c r="E263" i="19"/>
  <c r="B264" i="19"/>
  <c r="E264" i="19"/>
  <c r="B265" i="19"/>
  <c r="E265" i="19"/>
  <c r="B266" i="19"/>
  <c r="E266" i="19"/>
  <c r="B267" i="19"/>
  <c r="E267" i="19"/>
  <c r="B268" i="19"/>
  <c r="E268" i="19"/>
  <c r="B269" i="19"/>
  <c r="E269" i="19"/>
  <c r="B270" i="19"/>
  <c r="E270" i="19"/>
  <c r="B271" i="19"/>
  <c r="E271" i="19"/>
  <c r="B272" i="19"/>
  <c r="E272" i="19"/>
  <c r="B273" i="19"/>
  <c r="E273" i="19"/>
  <c r="B274" i="19"/>
  <c r="E274" i="19"/>
  <c r="B275" i="19"/>
  <c r="E275" i="19"/>
  <c r="B276" i="19"/>
  <c r="E276" i="19"/>
  <c r="B277" i="19"/>
  <c r="E277" i="19"/>
  <c r="B278" i="19"/>
  <c r="E278" i="19"/>
  <c r="B279" i="19"/>
  <c r="E279" i="19"/>
  <c r="B280" i="19"/>
  <c r="E280" i="19"/>
  <c r="B281" i="19"/>
  <c r="E281" i="19"/>
  <c r="B282" i="19"/>
  <c r="E282" i="19"/>
  <c r="B283" i="19"/>
  <c r="E283" i="19"/>
  <c r="B284" i="19"/>
  <c r="E284" i="19"/>
  <c r="B285" i="19"/>
  <c r="E285" i="19"/>
  <c r="B286" i="19"/>
  <c r="E286" i="19"/>
  <c r="B287" i="19"/>
  <c r="E287" i="19"/>
  <c r="B288" i="19"/>
  <c r="E288" i="19"/>
  <c r="B289" i="19"/>
  <c r="E289" i="19"/>
  <c r="B290" i="19"/>
  <c r="E290" i="19"/>
  <c r="B291" i="19"/>
  <c r="E291" i="19"/>
  <c r="B292" i="19"/>
  <c r="E292" i="19"/>
  <c r="B293" i="19"/>
  <c r="E293" i="19"/>
  <c r="B294" i="19"/>
  <c r="E294" i="19"/>
  <c r="B295" i="19"/>
  <c r="E295" i="19"/>
  <c r="B296" i="19"/>
  <c r="E296" i="19"/>
  <c r="B297" i="19"/>
  <c r="E297" i="19"/>
  <c r="B298" i="19"/>
  <c r="E298" i="19"/>
  <c r="B299" i="19"/>
  <c r="E299" i="19"/>
  <c r="B300" i="19"/>
  <c r="E300" i="19"/>
  <c r="B301" i="19"/>
  <c r="E301" i="19"/>
  <c r="B302" i="19"/>
  <c r="E302" i="19"/>
  <c r="B303" i="19"/>
  <c r="E303" i="19"/>
  <c r="B304" i="19"/>
  <c r="E304" i="19"/>
  <c r="B305" i="19"/>
  <c r="E305" i="19"/>
  <c r="B306" i="19"/>
  <c r="E306" i="19"/>
  <c r="B307" i="19"/>
  <c r="E307" i="19"/>
  <c r="B308" i="19"/>
  <c r="E308" i="19"/>
  <c r="B309" i="19"/>
  <c r="E309" i="19"/>
  <c r="B310" i="19"/>
  <c r="E310" i="19"/>
  <c r="B311" i="19"/>
  <c r="E311" i="19"/>
  <c r="E9" i="19"/>
  <c r="G12" i="19"/>
  <c r="G13" i="19"/>
  <c r="G14" i="19"/>
  <c r="G15" i="19"/>
  <c r="G16" i="19"/>
  <c r="G17" i="19"/>
  <c r="G18" i="19"/>
  <c r="G19" i="19"/>
  <c r="G2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9" i="19"/>
  <c r="I12" i="19"/>
  <c r="I13" i="19"/>
  <c r="I14" i="19"/>
  <c r="I15" i="19"/>
  <c r="I16" i="19"/>
  <c r="I17" i="19"/>
  <c r="I18" i="19"/>
  <c r="I19" i="19"/>
  <c r="I20" i="19"/>
  <c r="I21" i="19"/>
  <c r="I22" i="19"/>
  <c r="I23" i="19"/>
  <c r="I24" i="19"/>
  <c r="I25" i="19"/>
  <c r="I26" i="19"/>
  <c r="I27" i="19"/>
  <c r="I28" i="19"/>
  <c r="I29" i="19"/>
  <c r="I30" i="19"/>
  <c r="I31" i="19"/>
  <c r="I32" i="19"/>
  <c r="I33" i="19"/>
  <c r="I34" i="19"/>
  <c r="I35" i="19"/>
  <c r="I36" i="19"/>
  <c r="I37" i="19"/>
  <c r="I38" i="19"/>
  <c r="I39" i="19"/>
  <c r="I40" i="19"/>
  <c r="I41" i="19"/>
  <c r="I42" i="19"/>
  <c r="I43" i="19"/>
  <c r="I44" i="19"/>
  <c r="I45" i="19"/>
  <c r="I46" i="19"/>
  <c r="I47" i="19"/>
  <c r="I48" i="19"/>
  <c r="I49" i="19"/>
  <c r="I50" i="19"/>
  <c r="I51" i="19"/>
  <c r="I52" i="19"/>
  <c r="I53" i="19"/>
  <c r="I54" i="19"/>
  <c r="I55" i="19"/>
  <c r="I56" i="19"/>
  <c r="I57" i="19"/>
  <c r="I58" i="19"/>
  <c r="I59" i="19"/>
  <c r="I60" i="19"/>
  <c r="I61" i="19"/>
  <c r="I62" i="19"/>
  <c r="I63" i="19"/>
  <c r="I64" i="19"/>
  <c r="I65" i="19"/>
  <c r="I66" i="19"/>
  <c r="I67" i="19"/>
  <c r="I68" i="19"/>
  <c r="I69" i="19"/>
  <c r="I70" i="19"/>
  <c r="I71" i="19"/>
  <c r="I72" i="19"/>
  <c r="I73" i="19"/>
  <c r="I74" i="19"/>
  <c r="I75" i="19"/>
  <c r="I76" i="19"/>
  <c r="I77" i="19"/>
  <c r="I78" i="19"/>
  <c r="I79" i="19"/>
  <c r="I80" i="19"/>
  <c r="I81" i="19"/>
  <c r="I82" i="19"/>
  <c r="I83" i="19"/>
  <c r="I84" i="19"/>
  <c r="I85" i="19"/>
  <c r="I86" i="19"/>
  <c r="I87" i="19"/>
  <c r="I88" i="19"/>
  <c r="I89" i="19"/>
  <c r="I90" i="19"/>
  <c r="I91" i="19"/>
  <c r="I92" i="19"/>
  <c r="I93" i="19"/>
  <c r="I94" i="19"/>
  <c r="I95" i="19"/>
  <c r="I96" i="19"/>
  <c r="I97" i="19"/>
  <c r="I98" i="19"/>
  <c r="I99" i="19"/>
  <c r="I100" i="19"/>
  <c r="I101" i="19"/>
  <c r="I102" i="19"/>
  <c r="I103" i="19"/>
  <c r="I104" i="19"/>
  <c r="I105" i="19"/>
  <c r="I106" i="19"/>
  <c r="I107" i="19"/>
  <c r="I108" i="19"/>
  <c r="I109" i="19"/>
  <c r="I110" i="19"/>
  <c r="I111" i="19"/>
  <c r="I112" i="19"/>
  <c r="I113" i="19"/>
  <c r="I114" i="19"/>
  <c r="I115" i="19"/>
  <c r="I116" i="19"/>
  <c r="I117" i="19"/>
  <c r="I118" i="19"/>
  <c r="I119" i="19"/>
  <c r="I120" i="19"/>
  <c r="I121" i="19"/>
  <c r="I122" i="19"/>
  <c r="I123" i="19"/>
  <c r="I124" i="19"/>
  <c r="I125" i="19"/>
  <c r="I126" i="19"/>
  <c r="I127" i="19"/>
  <c r="I128" i="19"/>
  <c r="I129" i="19"/>
  <c r="I130" i="19"/>
  <c r="I131" i="19"/>
  <c r="I132" i="19"/>
  <c r="I133" i="19"/>
  <c r="I134" i="19"/>
  <c r="I135" i="19"/>
  <c r="I136" i="19"/>
  <c r="I137" i="19"/>
  <c r="I138" i="19"/>
  <c r="I139" i="19"/>
  <c r="I140" i="19"/>
  <c r="I141" i="19"/>
  <c r="I142" i="19"/>
  <c r="I143" i="19"/>
  <c r="I144" i="19"/>
  <c r="I145" i="19"/>
  <c r="I146" i="19"/>
  <c r="I147" i="19"/>
  <c r="I148" i="19"/>
  <c r="I149" i="19"/>
  <c r="I150" i="19"/>
  <c r="I151" i="19"/>
  <c r="I152" i="19"/>
  <c r="I153" i="19"/>
  <c r="I154" i="19"/>
  <c r="I155" i="19"/>
  <c r="I156" i="19"/>
  <c r="I157" i="19"/>
  <c r="I158" i="19"/>
  <c r="I159" i="19"/>
  <c r="I160" i="19"/>
  <c r="I161" i="19"/>
  <c r="I162" i="19"/>
  <c r="I163" i="19"/>
  <c r="I164" i="19"/>
  <c r="I165" i="19"/>
  <c r="I166" i="19"/>
  <c r="I167" i="19"/>
  <c r="I168" i="19"/>
  <c r="I169" i="19"/>
  <c r="I170" i="19"/>
  <c r="I171" i="19"/>
  <c r="I172" i="19"/>
  <c r="I173" i="19"/>
  <c r="I174" i="19"/>
  <c r="I175" i="19"/>
  <c r="I176" i="19"/>
  <c r="I177" i="19"/>
  <c r="I178" i="19"/>
  <c r="I179" i="19"/>
  <c r="I180" i="19"/>
  <c r="I181" i="19"/>
  <c r="I182" i="19"/>
  <c r="I183" i="19"/>
  <c r="I184" i="19"/>
  <c r="I185" i="19"/>
  <c r="I186" i="19"/>
  <c r="I187" i="19"/>
  <c r="I188" i="19"/>
  <c r="I189" i="19"/>
  <c r="I190" i="19"/>
  <c r="I191" i="19"/>
  <c r="I192" i="19"/>
  <c r="I193" i="19"/>
  <c r="I194" i="19"/>
  <c r="I195" i="19"/>
  <c r="I196" i="19"/>
  <c r="I197" i="19"/>
  <c r="I198" i="19"/>
  <c r="I199" i="19"/>
  <c r="I200" i="19"/>
  <c r="I201" i="19"/>
  <c r="I202" i="19"/>
  <c r="I203" i="19"/>
  <c r="I204" i="19"/>
  <c r="I205" i="19"/>
  <c r="I206" i="19"/>
  <c r="I207" i="19"/>
  <c r="I208" i="19"/>
  <c r="I209" i="19"/>
  <c r="I210" i="19"/>
  <c r="I211" i="19"/>
  <c r="I212" i="19"/>
  <c r="I213" i="19"/>
  <c r="I214" i="19"/>
  <c r="I215" i="19"/>
  <c r="I216" i="19"/>
  <c r="I217" i="19"/>
  <c r="I218" i="19"/>
  <c r="I219" i="19"/>
  <c r="I220" i="19"/>
  <c r="I221" i="19"/>
  <c r="I222" i="19"/>
  <c r="I223" i="19"/>
  <c r="I224" i="19"/>
  <c r="I225" i="19"/>
  <c r="I226" i="19"/>
  <c r="I227" i="19"/>
  <c r="I228" i="19"/>
  <c r="I229" i="19"/>
  <c r="I230" i="19"/>
  <c r="I231" i="19"/>
  <c r="I232" i="19"/>
  <c r="I233" i="19"/>
  <c r="I234" i="19"/>
  <c r="I235" i="19"/>
  <c r="I236" i="19"/>
  <c r="I237" i="19"/>
  <c r="I238" i="19"/>
  <c r="I239" i="19"/>
  <c r="I240" i="19"/>
  <c r="I241" i="19"/>
  <c r="I242" i="19"/>
  <c r="I243" i="19"/>
  <c r="I244" i="19"/>
  <c r="I245" i="19"/>
  <c r="I246" i="19"/>
  <c r="I247" i="19"/>
  <c r="I248" i="19"/>
  <c r="I249" i="19"/>
  <c r="I250" i="19"/>
  <c r="I251" i="19"/>
  <c r="I252" i="19"/>
  <c r="I253" i="19"/>
  <c r="I254" i="19"/>
  <c r="I255" i="19"/>
  <c r="I256" i="19"/>
  <c r="I257" i="19"/>
  <c r="I258" i="19"/>
  <c r="I259" i="19"/>
  <c r="I260" i="19"/>
  <c r="I261" i="19"/>
  <c r="I262" i="19"/>
  <c r="I263" i="19"/>
  <c r="I264" i="19"/>
  <c r="I265" i="19"/>
  <c r="I266" i="19"/>
  <c r="I267" i="19"/>
  <c r="I268" i="19"/>
  <c r="I269" i="19"/>
  <c r="I270" i="19"/>
  <c r="I271" i="19"/>
  <c r="I272" i="19"/>
  <c r="I273" i="19"/>
  <c r="I274" i="19"/>
  <c r="I275" i="19"/>
  <c r="I276" i="19"/>
  <c r="I277" i="19"/>
  <c r="I278" i="19"/>
  <c r="I279" i="19"/>
  <c r="I280" i="19"/>
  <c r="I281" i="19"/>
  <c r="I282" i="19"/>
  <c r="I283" i="19"/>
  <c r="I284" i="19"/>
  <c r="I285" i="19"/>
  <c r="I286" i="19"/>
  <c r="I287" i="19"/>
  <c r="I288" i="19"/>
  <c r="I289" i="19"/>
  <c r="I290" i="19"/>
  <c r="I291" i="19"/>
  <c r="I292" i="19"/>
  <c r="I293" i="19"/>
  <c r="I294" i="19"/>
  <c r="I295" i="19"/>
  <c r="I296" i="19"/>
  <c r="I297" i="19"/>
  <c r="I298" i="19"/>
  <c r="I299" i="19"/>
  <c r="I300" i="19"/>
  <c r="I301" i="19"/>
  <c r="I302" i="19"/>
  <c r="I303" i="19"/>
  <c r="I304" i="19"/>
  <c r="I305" i="19"/>
  <c r="I306" i="19"/>
  <c r="I307" i="19"/>
  <c r="I308" i="19"/>
  <c r="I309" i="19"/>
  <c r="I310" i="19"/>
  <c r="I311" i="19"/>
  <c r="I9" i="19"/>
  <c r="C12" i="19"/>
  <c r="M12" i="19"/>
  <c r="C13" i="19"/>
  <c r="M13" i="19"/>
  <c r="C14" i="19"/>
  <c r="M14" i="19"/>
  <c r="C15" i="19"/>
  <c r="M15" i="19"/>
  <c r="C16" i="19"/>
  <c r="M16" i="19"/>
  <c r="C17" i="19"/>
  <c r="M17" i="19"/>
  <c r="C18" i="19"/>
  <c r="M18" i="19"/>
  <c r="C19" i="19"/>
  <c r="M19" i="19"/>
  <c r="C20" i="19"/>
  <c r="M20" i="19"/>
  <c r="C21" i="19"/>
  <c r="M21" i="19"/>
  <c r="C22" i="19"/>
  <c r="M22" i="19"/>
  <c r="C23" i="19"/>
  <c r="M23" i="19"/>
  <c r="C24" i="19"/>
  <c r="M24" i="19"/>
  <c r="C25" i="19"/>
  <c r="M25" i="19"/>
  <c r="C26" i="19"/>
  <c r="M26" i="19"/>
  <c r="C27" i="19"/>
  <c r="M27" i="19"/>
  <c r="C28" i="19"/>
  <c r="M28" i="19"/>
  <c r="C29" i="19"/>
  <c r="M29" i="19"/>
  <c r="C30" i="19"/>
  <c r="M30" i="19"/>
  <c r="C31" i="19"/>
  <c r="M31" i="19"/>
  <c r="C32" i="19"/>
  <c r="M32" i="19"/>
  <c r="C33" i="19"/>
  <c r="M33" i="19"/>
  <c r="C34" i="19"/>
  <c r="M34" i="19"/>
  <c r="C35" i="19"/>
  <c r="M35" i="19"/>
  <c r="C36" i="19"/>
  <c r="M36" i="19"/>
  <c r="C37" i="19"/>
  <c r="M37" i="19"/>
  <c r="C38" i="19"/>
  <c r="M38" i="19"/>
  <c r="C39" i="19"/>
  <c r="M39" i="19"/>
  <c r="C40" i="19"/>
  <c r="M40" i="19"/>
  <c r="C41" i="19"/>
  <c r="M41" i="19"/>
  <c r="C42" i="19"/>
  <c r="M42" i="19"/>
  <c r="C43" i="19"/>
  <c r="M43" i="19"/>
  <c r="C44" i="19"/>
  <c r="M44" i="19"/>
  <c r="C45" i="19"/>
  <c r="M45" i="19"/>
  <c r="C46" i="19"/>
  <c r="M46" i="19"/>
  <c r="C47" i="19"/>
  <c r="M47" i="19"/>
  <c r="C48" i="19"/>
  <c r="M48" i="19"/>
  <c r="C49" i="19"/>
  <c r="M49" i="19"/>
  <c r="C50" i="19"/>
  <c r="M50" i="19"/>
  <c r="C51" i="19"/>
  <c r="M51" i="19"/>
  <c r="C52" i="19"/>
  <c r="M52" i="19"/>
  <c r="C53" i="19"/>
  <c r="M53" i="19"/>
  <c r="C54" i="19"/>
  <c r="M54" i="19"/>
  <c r="C55" i="19"/>
  <c r="M55" i="19"/>
  <c r="C56" i="19"/>
  <c r="M56" i="19"/>
  <c r="C57" i="19"/>
  <c r="M57" i="19"/>
  <c r="C58" i="19"/>
  <c r="M58" i="19"/>
  <c r="C59" i="19"/>
  <c r="M59" i="19"/>
  <c r="C60" i="19"/>
  <c r="M60" i="19"/>
  <c r="C61" i="19"/>
  <c r="M61" i="19"/>
  <c r="C62" i="19"/>
  <c r="M62" i="19"/>
  <c r="C63" i="19"/>
  <c r="M63" i="19"/>
  <c r="C64" i="19"/>
  <c r="M64" i="19"/>
  <c r="C65" i="19"/>
  <c r="M65" i="19"/>
  <c r="C66" i="19"/>
  <c r="M66" i="19"/>
  <c r="C67" i="19"/>
  <c r="M67" i="19"/>
  <c r="C68" i="19"/>
  <c r="M68" i="19"/>
  <c r="C69" i="19"/>
  <c r="M69" i="19"/>
  <c r="C70" i="19"/>
  <c r="M70" i="19"/>
  <c r="C71" i="19"/>
  <c r="M71" i="19"/>
  <c r="C72" i="19"/>
  <c r="M72" i="19"/>
  <c r="C73" i="19"/>
  <c r="M73" i="19"/>
  <c r="C74" i="19"/>
  <c r="M74" i="19"/>
  <c r="C75" i="19"/>
  <c r="M75" i="19"/>
  <c r="C76" i="19"/>
  <c r="M76" i="19"/>
  <c r="C77" i="19"/>
  <c r="M77" i="19"/>
  <c r="C78" i="19"/>
  <c r="M78" i="19"/>
  <c r="C79" i="19"/>
  <c r="M79" i="19"/>
  <c r="C80" i="19"/>
  <c r="M80" i="19"/>
  <c r="C81" i="19"/>
  <c r="M81" i="19"/>
  <c r="C82" i="19"/>
  <c r="M82" i="19"/>
  <c r="C83" i="19"/>
  <c r="M83" i="19"/>
  <c r="C84" i="19"/>
  <c r="M84" i="19"/>
  <c r="C85" i="19"/>
  <c r="M85" i="19"/>
  <c r="C86" i="19"/>
  <c r="M86" i="19"/>
  <c r="C87" i="19"/>
  <c r="M87" i="19"/>
  <c r="C88" i="19"/>
  <c r="M88" i="19"/>
  <c r="C89" i="19"/>
  <c r="M89" i="19"/>
  <c r="C90" i="19"/>
  <c r="M90" i="19"/>
  <c r="C91" i="19"/>
  <c r="M91" i="19"/>
  <c r="C92" i="19"/>
  <c r="M92" i="19"/>
  <c r="C93" i="19"/>
  <c r="M93" i="19"/>
  <c r="C94" i="19"/>
  <c r="M94" i="19"/>
  <c r="C95" i="19"/>
  <c r="M95" i="19"/>
  <c r="C96" i="19"/>
  <c r="M96" i="19"/>
  <c r="C97" i="19"/>
  <c r="M97" i="19"/>
  <c r="C98" i="19"/>
  <c r="M98" i="19"/>
  <c r="C99" i="19"/>
  <c r="M99" i="19"/>
  <c r="C100" i="19"/>
  <c r="M100" i="19"/>
  <c r="C101" i="19"/>
  <c r="M101" i="19"/>
  <c r="C102" i="19"/>
  <c r="M102" i="19"/>
  <c r="C103" i="19"/>
  <c r="M103" i="19"/>
  <c r="C104" i="19"/>
  <c r="M104" i="19"/>
  <c r="C105" i="19"/>
  <c r="M105" i="19"/>
  <c r="C106" i="19"/>
  <c r="M106" i="19"/>
  <c r="C107" i="19"/>
  <c r="M107" i="19"/>
  <c r="C108" i="19"/>
  <c r="M108" i="19"/>
  <c r="C109" i="19"/>
  <c r="M109" i="19"/>
  <c r="C110" i="19"/>
  <c r="M110" i="19"/>
  <c r="C111" i="19"/>
  <c r="M111" i="19"/>
  <c r="C112" i="19"/>
  <c r="M112" i="19"/>
  <c r="C113" i="19"/>
  <c r="M113" i="19"/>
  <c r="C114" i="19"/>
  <c r="M114" i="19"/>
  <c r="C115" i="19"/>
  <c r="M115" i="19"/>
  <c r="C116" i="19"/>
  <c r="M116" i="19"/>
  <c r="C117" i="19"/>
  <c r="M117" i="19"/>
  <c r="C118" i="19"/>
  <c r="M118" i="19"/>
  <c r="C119" i="19"/>
  <c r="M119" i="19"/>
  <c r="C120" i="19"/>
  <c r="M120" i="19"/>
  <c r="C121" i="19"/>
  <c r="M121" i="19"/>
  <c r="C122" i="19"/>
  <c r="M122" i="19"/>
  <c r="C123" i="19"/>
  <c r="M123" i="19"/>
  <c r="C124" i="19"/>
  <c r="M124" i="19"/>
  <c r="C125" i="19"/>
  <c r="M125" i="19"/>
  <c r="C126" i="19"/>
  <c r="M126" i="19"/>
  <c r="C127" i="19"/>
  <c r="M127" i="19"/>
  <c r="C128" i="19"/>
  <c r="M128" i="19"/>
  <c r="C129" i="19"/>
  <c r="M129" i="19"/>
  <c r="C130" i="19"/>
  <c r="M130" i="19"/>
  <c r="C131" i="19"/>
  <c r="M131" i="19"/>
  <c r="C132" i="19"/>
  <c r="M132" i="19"/>
  <c r="C133" i="19"/>
  <c r="M133" i="19"/>
  <c r="C134" i="19"/>
  <c r="M134" i="19"/>
  <c r="C135" i="19"/>
  <c r="M135" i="19"/>
  <c r="C136" i="19"/>
  <c r="M136" i="19"/>
  <c r="C137" i="19"/>
  <c r="M137" i="19"/>
  <c r="C138" i="19"/>
  <c r="M138" i="19"/>
  <c r="C139" i="19"/>
  <c r="M139" i="19"/>
  <c r="C140" i="19"/>
  <c r="M140" i="19"/>
  <c r="C141" i="19"/>
  <c r="M141" i="19"/>
  <c r="C142" i="19"/>
  <c r="M142" i="19"/>
  <c r="C143" i="19"/>
  <c r="M143" i="19"/>
  <c r="C144" i="19"/>
  <c r="M144" i="19"/>
  <c r="C145" i="19"/>
  <c r="M145" i="19"/>
  <c r="C146" i="19"/>
  <c r="M146" i="19"/>
  <c r="C147" i="19"/>
  <c r="M147" i="19"/>
  <c r="C148" i="19"/>
  <c r="M148" i="19"/>
  <c r="C149" i="19"/>
  <c r="M149" i="19"/>
  <c r="C150" i="19"/>
  <c r="M150" i="19"/>
  <c r="C151" i="19"/>
  <c r="M151" i="19"/>
  <c r="C152" i="19"/>
  <c r="M152" i="19"/>
  <c r="C153" i="19"/>
  <c r="M153" i="19"/>
  <c r="C154" i="19"/>
  <c r="M154" i="19"/>
  <c r="C155" i="19"/>
  <c r="M155" i="19"/>
  <c r="C156" i="19"/>
  <c r="M156" i="19"/>
  <c r="C157" i="19"/>
  <c r="M157" i="19"/>
  <c r="C158" i="19"/>
  <c r="M158" i="19"/>
  <c r="C159" i="19"/>
  <c r="M159" i="19"/>
  <c r="C160" i="19"/>
  <c r="M160" i="19"/>
  <c r="C161" i="19"/>
  <c r="M161" i="19"/>
  <c r="C162" i="19"/>
  <c r="M162" i="19"/>
  <c r="C163" i="19"/>
  <c r="M163" i="19"/>
  <c r="C164" i="19"/>
  <c r="M164" i="19"/>
  <c r="C165" i="19"/>
  <c r="M165" i="19"/>
  <c r="C166" i="19"/>
  <c r="M166" i="19"/>
  <c r="C167" i="19"/>
  <c r="M167" i="19"/>
  <c r="C168" i="19"/>
  <c r="M168" i="19"/>
  <c r="C169" i="19"/>
  <c r="M169" i="19"/>
  <c r="C170" i="19"/>
  <c r="M170" i="19"/>
  <c r="C171" i="19"/>
  <c r="M171" i="19"/>
  <c r="C172" i="19"/>
  <c r="M172" i="19"/>
  <c r="C173" i="19"/>
  <c r="M173" i="19"/>
  <c r="C174" i="19"/>
  <c r="M174" i="19"/>
  <c r="C175" i="19"/>
  <c r="M175" i="19"/>
  <c r="C176" i="19"/>
  <c r="M176" i="19"/>
  <c r="C177" i="19"/>
  <c r="M177" i="19"/>
  <c r="C178" i="19"/>
  <c r="M178" i="19"/>
  <c r="C179" i="19"/>
  <c r="M179" i="19"/>
  <c r="C180" i="19"/>
  <c r="M180" i="19"/>
  <c r="C181" i="19"/>
  <c r="M181" i="19"/>
  <c r="C182" i="19"/>
  <c r="M182" i="19"/>
  <c r="C183" i="19"/>
  <c r="M183" i="19"/>
  <c r="C184" i="19"/>
  <c r="M184" i="19"/>
  <c r="C185" i="19"/>
  <c r="M185" i="19"/>
  <c r="C186" i="19"/>
  <c r="M186" i="19"/>
  <c r="C187" i="19"/>
  <c r="M187" i="19"/>
  <c r="C188" i="19"/>
  <c r="M188" i="19"/>
  <c r="C189" i="19"/>
  <c r="M189" i="19"/>
  <c r="C190" i="19"/>
  <c r="M190" i="19"/>
  <c r="C191" i="19"/>
  <c r="M191" i="19"/>
  <c r="C192" i="19"/>
  <c r="M192" i="19"/>
  <c r="C193" i="19"/>
  <c r="M193" i="19"/>
  <c r="C194" i="19"/>
  <c r="M194" i="19"/>
  <c r="C195" i="19"/>
  <c r="M195" i="19"/>
  <c r="C196" i="19"/>
  <c r="M196" i="19"/>
  <c r="C197" i="19"/>
  <c r="M197" i="19"/>
  <c r="C198" i="19"/>
  <c r="M198" i="19"/>
  <c r="C199" i="19"/>
  <c r="M199" i="19"/>
  <c r="C200" i="19"/>
  <c r="M200" i="19"/>
  <c r="C201" i="19"/>
  <c r="M201" i="19"/>
  <c r="C202" i="19"/>
  <c r="M202" i="19"/>
  <c r="C203" i="19"/>
  <c r="M203" i="19"/>
  <c r="C204" i="19"/>
  <c r="M204" i="19"/>
  <c r="C205" i="19"/>
  <c r="M205" i="19"/>
  <c r="C206" i="19"/>
  <c r="M206" i="19"/>
  <c r="C207" i="19"/>
  <c r="M207" i="19"/>
  <c r="C208" i="19"/>
  <c r="M208" i="19"/>
  <c r="C209" i="19"/>
  <c r="M209" i="19"/>
  <c r="C210" i="19"/>
  <c r="M210" i="19"/>
  <c r="C211" i="19"/>
  <c r="M211" i="19"/>
  <c r="C212" i="19"/>
  <c r="M212" i="19"/>
  <c r="C213" i="19"/>
  <c r="M213" i="19"/>
  <c r="C214" i="19"/>
  <c r="M214" i="19"/>
  <c r="C215" i="19"/>
  <c r="M215" i="19"/>
  <c r="C216" i="19"/>
  <c r="M216" i="19"/>
  <c r="C217" i="19"/>
  <c r="M217" i="19"/>
  <c r="C218" i="19"/>
  <c r="M218" i="19"/>
  <c r="C219" i="19"/>
  <c r="M219" i="19"/>
  <c r="C220" i="19"/>
  <c r="M220" i="19"/>
  <c r="C221" i="19"/>
  <c r="M221" i="19"/>
  <c r="C222" i="19"/>
  <c r="M222" i="19"/>
  <c r="C223" i="19"/>
  <c r="M223" i="19"/>
  <c r="C224" i="19"/>
  <c r="M224" i="19"/>
  <c r="C225" i="19"/>
  <c r="M225" i="19"/>
  <c r="C226" i="19"/>
  <c r="M226" i="19"/>
  <c r="C227" i="19"/>
  <c r="M227" i="19"/>
  <c r="C228" i="19"/>
  <c r="M228" i="19"/>
  <c r="C229" i="19"/>
  <c r="M229" i="19"/>
  <c r="C230" i="19"/>
  <c r="M230" i="19"/>
  <c r="C231" i="19"/>
  <c r="M231" i="19"/>
  <c r="C232" i="19"/>
  <c r="M232" i="19"/>
  <c r="C233" i="19"/>
  <c r="M233" i="19"/>
  <c r="C234" i="19"/>
  <c r="M234" i="19"/>
  <c r="C235" i="19"/>
  <c r="M235" i="19"/>
  <c r="C236" i="19"/>
  <c r="M236" i="19"/>
  <c r="C237" i="19"/>
  <c r="M237" i="19"/>
  <c r="C238" i="19"/>
  <c r="M238" i="19"/>
  <c r="C239" i="19"/>
  <c r="M239" i="19"/>
  <c r="C240" i="19"/>
  <c r="M240" i="19"/>
  <c r="C241" i="19"/>
  <c r="M241" i="19"/>
  <c r="C242" i="19"/>
  <c r="M242" i="19"/>
  <c r="C243" i="19"/>
  <c r="M243" i="19"/>
  <c r="C244" i="19"/>
  <c r="M244" i="19"/>
  <c r="C245" i="19"/>
  <c r="M245" i="19"/>
  <c r="C246" i="19"/>
  <c r="M246" i="19"/>
  <c r="C247" i="19"/>
  <c r="M247" i="19"/>
  <c r="C248" i="19"/>
  <c r="M248" i="19"/>
  <c r="C249" i="19"/>
  <c r="M249" i="19"/>
  <c r="C250" i="19"/>
  <c r="M250" i="19"/>
  <c r="C251" i="19"/>
  <c r="M251" i="19"/>
  <c r="C252" i="19"/>
  <c r="M252" i="19"/>
  <c r="C253" i="19"/>
  <c r="M253" i="19"/>
  <c r="C254" i="19"/>
  <c r="M254" i="19"/>
  <c r="C255" i="19"/>
  <c r="M255" i="19"/>
  <c r="C256" i="19"/>
  <c r="M256" i="19"/>
  <c r="C257" i="19"/>
  <c r="M257" i="19"/>
  <c r="C258" i="19"/>
  <c r="M258" i="19"/>
  <c r="C259" i="19"/>
  <c r="M259" i="19"/>
  <c r="C260" i="19"/>
  <c r="M260" i="19"/>
  <c r="C261" i="19"/>
  <c r="M261" i="19"/>
  <c r="C262" i="19"/>
  <c r="M262" i="19"/>
  <c r="C263" i="19"/>
  <c r="M263" i="19"/>
  <c r="C264" i="19"/>
  <c r="M264" i="19"/>
  <c r="C265" i="19"/>
  <c r="M265" i="19"/>
  <c r="C266" i="19"/>
  <c r="M266" i="19"/>
  <c r="C267" i="19"/>
  <c r="M267" i="19"/>
  <c r="C268" i="19"/>
  <c r="M268" i="19"/>
  <c r="C269" i="19"/>
  <c r="M269" i="19"/>
  <c r="C270" i="19"/>
  <c r="M270" i="19"/>
  <c r="C271" i="19"/>
  <c r="M271" i="19"/>
  <c r="C272" i="19"/>
  <c r="M272" i="19"/>
  <c r="C273" i="19"/>
  <c r="M273" i="19"/>
  <c r="C274" i="19"/>
  <c r="M274" i="19"/>
  <c r="C275" i="19"/>
  <c r="M275" i="19"/>
  <c r="C276" i="19"/>
  <c r="M276" i="19"/>
  <c r="C277" i="19"/>
  <c r="M277" i="19"/>
  <c r="C278" i="19"/>
  <c r="M278" i="19"/>
  <c r="C279" i="19"/>
  <c r="M279" i="19"/>
  <c r="C280" i="19"/>
  <c r="M280" i="19"/>
  <c r="C281" i="19"/>
  <c r="M281" i="19"/>
  <c r="C282" i="19"/>
  <c r="M282" i="19"/>
  <c r="C283" i="19"/>
  <c r="M283" i="19"/>
  <c r="C284" i="19"/>
  <c r="M284" i="19"/>
  <c r="C285" i="19"/>
  <c r="M285" i="19"/>
  <c r="C286" i="19"/>
  <c r="M286" i="19"/>
  <c r="C287" i="19"/>
  <c r="M287" i="19"/>
  <c r="C288" i="19"/>
  <c r="M288" i="19"/>
  <c r="C289" i="19"/>
  <c r="M289" i="19"/>
  <c r="C290" i="19"/>
  <c r="L290" i="19"/>
  <c r="M290" i="19"/>
  <c r="C291" i="19"/>
  <c r="L291" i="19"/>
  <c r="M291" i="19"/>
  <c r="C292" i="19"/>
  <c r="L292" i="19"/>
  <c r="M292" i="19"/>
  <c r="C293" i="19"/>
  <c r="L293" i="19"/>
  <c r="M293" i="19"/>
  <c r="C294" i="19"/>
  <c r="L294" i="19"/>
  <c r="M294" i="19"/>
  <c r="C295" i="19"/>
  <c r="L295" i="19"/>
  <c r="M295" i="19"/>
  <c r="C296" i="19"/>
  <c r="L296" i="19"/>
  <c r="M296" i="19"/>
  <c r="C297" i="19"/>
  <c r="L297" i="19"/>
  <c r="M297" i="19"/>
  <c r="C298" i="19"/>
  <c r="L298" i="19"/>
  <c r="M298" i="19"/>
  <c r="C299" i="19"/>
  <c r="L299" i="19"/>
  <c r="M299" i="19"/>
  <c r="C300" i="19"/>
  <c r="L300" i="19"/>
  <c r="M300" i="19"/>
  <c r="C301" i="19"/>
  <c r="L301" i="19"/>
  <c r="M301" i="19"/>
  <c r="C302" i="19"/>
  <c r="L302" i="19"/>
  <c r="M302" i="19"/>
  <c r="C303" i="19"/>
  <c r="L303" i="19"/>
  <c r="M303" i="19"/>
  <c r="C304" i="19"/>
  <c r="L304" i="19"/>
  <c r="M304" i="19"/>
  <c r="C305" i="19"/>
  <c r="L305" i="19"/>
  <c r="M305" i="19"/>
  <c r="C306" i="19"/>
  <c r="L306" i="19"/>
  <c r="M306" i="19"/>
  <c r="C307" i="19"/>
  <c r="L307" i="19"/>
  <c r="M307" i="19"/>
  <c r="C308" i="19"/>
  <c r="L308" i="19"/>
  <c r="M308" i="19"/>
  <c r="C309" i="19"/>
  <c r="L309" i="19"/>
  <c r="M309" i="19"/>
  <c r="C310" i="19"/>
  <c r="L310" i="19"/>
  <c r="M310" i="19"/>
  <c r="C311" i="19"/>
  <c r="L311" i="19"/>
  <c r="M311" i="19"/>
  <c r="L271" i="19"/>
  <c r="L272" i="19"/>
  <c r="L273" i="19"/>
  <c r="L274" i="19"/>
  <c r="L275" i="19"/>
  <c r="L276" i="19"/>
  <c r="L277" i="19"/>
  <c r="L278" i="19"/>
  <c r="L279" i="19"/>
  <c r="L280" i="19"/>
  <c r="L281" i="19"/>
  <c r="L282" i="19"/>
  <c r="L283" i="19"/>
  <c r="L284" i="19"/>
  <c r="L285" i="19"/>
  <c r="L286" i="19"/>
  <c r="L287" i="19"/>
  <c r="L288" i="19"/>
  <c r="L289" i="19"/>
  <c r="L157" i="19"/>
  <c r="L158" i="19"/>
  <c r="L159" i="19"/>
  <c r="L160" i="19"/>
  <c r="L161" i="19"/>
  <c r="L162" i="19"/>
  <c r="L163" i="19"/>
  <c r="L164" i="19"/>
  <c r="L165" i="19"/>
  <c r="L166" i="19"/>
  <c r="L167" i="19"/>
  <c r="L168" i="19"/>
  <c r="L169" i="19"/>
  <c r="L170" i="19"/>
  <c r="L171" i="19"/>
  <c r="L172" i="19"/>
  <c r="L173" i="19"/>
  <c r="L174" i="19"/>
  <c r="L175" i="19"/>
  <c r="L176" i="19"/>
  <c r="L177" i="19"/>
  <c r="L178" i="19"/>
  <c r="L179" i="19"/>
  <c r="L180" i="19"/>
  <c r="L181" i="19"/>
  <c r="L182" i="19"/>
  <c r="L183" i="19"/>
  <c r="L184" i="19"/>
  <c r="L185" i="19"/>
  <c r="L186" i="19"/>
  <c r="L187" i="19"/>
  <c r="L188" i="19"/>
  <c r="L189" i="19"/>
  <c r="L190" i="19"/>
  <c r="L191" i="19"/>
  <c r="L192" i="19"/>
  <c r="L193" i="19"/>
  <c r="L194" i="19"/>
  <c r="L195" i="19"/>
  <c r="L196" i="19"/>
  <c r="L197" i="19"/>
  <c r="L198" i="19"/>
  <c r="L199" i="19"/>
  <c r="L200" i="19"/>
  <c r="L201" i="19"/>
  <c r="L202" i="19"/>
  <c r="L203" i="19"/>
  <c r="L204" i="19"/>
  <c r="L205" i="19"/>
  <c r="L206" i="19"/>
  <c r="L207" i="19"/>
  <c r="L208" i="19"/>
  <c r="L209" i="19"/>
  <c r="L210" i="19"/>
  <c r="L211" i="19"/>
  <c r="L212" i="19"/>
  <c r="L213" i="19"/>
  <c r="L214" i="19"/>
  <c r="L215" i="19"/>
  <c r="L216" i="19"/>
  <c r="L217" i="19"/>
  <c r="L218" i="19"/>
  <c r="L219" i="19"/>
  <c r="L220" i="19"/>
  <c r="L221" i="19"/>
  <c r="L222" i="19"/>
  <c r="L223" i="19"/>
  <c r="L224" i="19"/>
  <c r="L225" i="19"/>
  <c r="L226" i="19"/>
  <c r="L227" i="19"/>
  <c r="L228" i="19"/>
  <c r="L229" i="19"/>
  <c r="L230" i="19"/>
  <c r="L231" i="19"/>
  <c r="L232" i="19"/>
  <c r="L233" i="19"/>
  <c r="L234" i="19"/>
  <c r="L235" i="19"/>
  <c r="L236" i="19"/>
  <c r="L237" i="19"/>
  <c r="L238" i="19"/>
  <c r="L239" i="19"/>
  <c r="L240" i="19"/>
  <c r="L241" i="19"/>
  <c r="L242" i="19"/>
  <c r="L243" i="19"/>
  <c r="L244" i="19"/>
  <c r="L245" i="19"/>
  <c r="L246" i="19"/>
  <c r="L247" i="19"/>
  <c r="L248" i="19"/>
  <c r="L249" i="19"/>
  <c r="L250" i="19"/>
  <c r="L251" i="19"/>
  <c r="L252" i="19"/>
  <c r="L253" i="19"/>
  <c r="L254" i="19"/>
  <c r="L255" i="19"/>
  <c r="L256" i="19"/>
  <c r="L257" i="19"/>
  <c r="L258" i="19"/>
  <c r="L259" i="19"/>
  <c r="L260" i="19"/>
  <c r="L261" i="19"/>
  <c r="L262" i="19"/>
  <c r="L263" i="19"/>
  <c r="L264" i="19"/>
  <c r="L265" i="19"/>
  <c r="L266" i="19"/>
  <c r="L267" i="19"/>
  <c r="L268" i="19"/>
  <c r="L269" i="19"/>
  <c r="L270" i="19"/>
  <c r="H25" i="17"/>
  <c r="H23" i="17"/>
  <c r="H17" i="17"/>
  <c r="I4" i="17"/>
  <c r="J4" i="17"/>
  <c r="K4" i="17"/>
  <c r="H10" i="17"/>
  <c r="H13" i="17"/>
  <c r="H11" i="17"/>
  <c r="D58" i="10"/>
  <c r="E6" i="10"/>
  <c r="F6" i="10"/>
  <c r="G6" i="10"/>
  <c r="H6" i="10"/>
  <c r="I6" i="10"/>
  <c r="J6" i="10"/>
  <c r="K6" i="10"/>
  <c r="L6" i="10"/>
  <c r="M6" i="10"/>
  <c r="D7" i="10"/>
  <c r="E7" i="10"/>
  <c r="F7" i="10"/>
  <c r="G7" i="10"/>
  <c r="H7" i="10"/>
  <c r="I7" i="10"/>
  <c r="J7" i="10"/>
  <c r="K7" i="10"/>
  <c r="L7" i="10"/>
  <c r="M7" i="10"/>
  <c r="D8" i="10"/>
  <c r="E8" i="10"/>
  <c r="F8" i="10"/>
  <c r="G8" i="10"/>
  <c r="H8" i="10"/>
  <c r="I8" i="10"/>
  <c r="J8" i="10"/>
  <c r="K8" i="10"/>
  <c r="L8" i="10"/>
  <c r="M8" i="10"/>
  <c r="D24" i="10"/>
  <c r="D13" i="9"/>
  <c r="B6" i="9"/>
  <c r="D8" i="8"/>
  <c r="E6" i="8"/>
  <c r="E8" i="8"/>
  <c r="F6" i="8"/>
  <c r="F8" i="8"/>
  <c r="F9" i="8"/>
  <c r="G6" i="8"/>
  <c r="G8" i="8"/>
  <c r="H6" i="8"/>
  <c r="H8" i="8"/>
  <c r="I6" i="8"/>
  <c r="I8" i="8"/>
  <c r="J6" i="8"/>
  <c r="J8" i="8"/>
  <c r="K6" i="8"/>
  <c r="K8" i="8"/>
  <c r="L6" i="8"/>
  <c r="L8" i="8"/>
  <c r="M6" i="8"/>
  <c r="M8" i="8"/>
  <c r="N6" i="8"/>
  <c r="N8" i="8"/>
  <c r="O6" i="8"/>
  <c r="O8" i="8"/>
  <c r="D9" i="8"/>
  <c r="E9" i="8"/>
  <c r="G9" i="8"/>
  <c r="H9" i="8"/>
  <c r="I9" i="8"/>
  <c r="J9" i="8"/>
  <c r="K9" i="8"/>
  <c r="L9" i="8"/>
  <c r="M9" i="8"/>
  <c r="N9" i="8"/>
  <c r="O9" i="8"/>
  <c r="C36" i="8"/>
  <c r="C17" i="8"/>
  <c r="G33" i="7"/>
  <c r="H26" i="7"/>
  <c r="G35" i="7"/>
  <c r="G40" i="7"/>
  <c r="H30" i="7"/>
  <c r="G34" i="7"/>
  <c r="J16" i="7"/>
  <c r="E30" i="6"/>
  <c r="F30" i="6"/>
  <c r="G30" i="6"/>
  <c r="H30" i="6"/>
  <c r="I30" i="6"/>
  <c r="J30" i="6"/>
  <c r="E25" i="6"/>
  <c r="F25" i="6"/>
  <c r="G25" i="6"/>
  <c r="H25" i="6"/>
  <c r="I25" i="6"/>
  <c r="J25" i="6"/>
  <c r="E26" i="6"/>
  <c r="F26" i="6"/>
  <c r="G26" i="6"/>
  <c r="H26" i="6"/>
  <c r="I26" i="6"/>
  <c r="J26" i="6"/>
  <c r="E29" i="6"/>
  <c r="F29" i="6"/>
  <c r="G29" i="6"/>
  <c r="H29" i="6"/>
  <c r="I29" i="6"/>
  <c r="J29" i="6"/>
  <c r="E28" i="6"/>
  <c r="F28" i="6"/>
  <c r="G28" i="6"/>
  <c r="H28" i="6"/>
  <c r="I28" i="6"/>
  <c r="J28" i="6"/>
  <c r="E24" i="6"/>
  <c r="D58" i="1"/>
  <c r="G11" i="1"/>
  <c r="G6" i="1"/>
  <c r="G5" i="1"/>
  <c r="C7" i="22"/>
  <c r="C10" i="22" s="1"/>
  <c r="J5" i="25"/>
  <c r="K5" i="25"/>
  <c r="L5" i="25"/>
  <c r="M5" i="25"/>
  <c r="I4" i="25"/>
  <c r="J4" i="25"/>
  <c r="K4" i="25"/>
  <c r="L4" i="25"/>
  <c r="M4" i="25"/>
  <c r="H13" i="12"/>
  <c r="I17" i="31"/>
  <c r="J10" i="31"/>
  <c r="I19" i="31"/>
  <c r="I27" i="31"/>
  <c r="J17" i="31"/>
  <c r="J19" i="31"/>
  <c r="J27" i="31"/>
  <c r="K17" i="31"/>
  <c r="K19" i="31"/>
  <c r="K27" i="31"/>
  <c r="L17" i="31"/>
  <c r="J14" i="31"/>
  <c r="L19" i="31"/>
  <c r="L27" i="31"/>
  <c r="M17" i="31"/>
  <c r="M19" i="31"/>
  <c r="M27" i="31"/>
  <c r="N17" i="31"/>
  <c r="N19" i="31"/>
  <c r="N27" i="31"/>
  <c r="O17" i="31"/>
  <c r="O19" i="31"/>
  <c r="O27" i="31"/>
  <c r="P17" i="31"/>
  <c r="P19" i="31"/>
  <c r="P27" i="31"/>
  <c r="Q17" i="31"/>
  <c r="Q19" i="31"/>
  <c r="Q27" i="31"/>
  <c r="R17" i="31"/>
  <c r="R19" i="31"/>
  <c r="R27" i="31"/>
  <c r="S17" i="31"/>
  <c r="S19" i="31"/>
  <c r="S27" i="31"/>
  <c r="T17" i="31"/>
  <c r="T19" i="31"/>
  <c r="T27" i="31"/>
  <c r="J54" i="31"/>
  <c r="I54" i="31"/>
  <c r="F54" i="31"/>
  <c r="E54" i="31"/>
  <c r="D54" i="31"/>
  <c r="D48" i="31"/>
  <c r="J42" i="31"/>
  <c r="I42" i="31"/>
  <c r="F42" i="31"/>
  <c r="E42" i="31"/>
  <c r="D42" i="31"/>
  <c r="D35" i="31"/>
  <c r="T24" i="31"/>
  <c r="S24" i="31"/>
  <c r="R24" i="31"/>
  <c r="Q24" i="31"/>
  <c r="P24" i="31"/>
  <c r="O24" i="31"/>
  <c r="N24" i="31"/>
  <c r="M24" i="31"/>
  <c r="L24" i="31"/>
  <c r="K24" i="31"/>
  <c r="J24" i="31"/>
  <c r="I24" i="31"/>
  <c r="T20" i="31"/>
  <c r="S20" i="31"/>
  <c r="R20" i="31"/>
  <c r="Q20" i="31"/>
  <c r="P20" i="31"/>
  <c r="O20" i="31"/>
  <c r="N20" i="31"/>
  <c r="M20" i="31"/>
  <c r="L20" i="31"/>
  <c r="K20" i="31"/>
  <c r="J20" i="31"/>
  <c r="I20" i="31"/>
  <c r="T18" i="31"/>
  <c r="S18" i="31"/>
  <c r="R18" i="31"/>
  <c r="Q18" i="31"/>
  <c r="P18" i="31"/>
  <c r="K18" i="31"/>
  <c r="L18" i="31"/>
  <c r="M18" i="31"/>
  <c r="N18" i="31"/>
  <c r="O18" i="31"/>
  <c r="J18" i="31"/>
  <c r="I18" i="31"/>
  <c r="J13" i="31"/>
  <c r="H33" i="7"/>
  <c r="I33" i="7"/>
  <c r="J33" i="7"/>
  <c r="K33" i="7"/>
  <c r="L33" i="7"/>
  <c r="M33" i="7"/>
  <c r="N33" i="7"/>
  <c r="O33" i="7"/>
  <c r="P33" i="7"/>
  <c r="Q33" i="7"/>
  <c r="R33" i="7"/>
  <c r="R35" i="7"/>
  <c r="R40" i="7"/>
  <c r="Q35" i="7"/>
  <c r="Q40" i="7"/>
  <c r="P35" i="7"/>
  <c r="P40" i="7"/>
  <c r="O35" i="7"/>
  <c r="O40" i="7"/>
  <c r="N35" i="7"/>
  <c r="N40" i="7"/>
  <c r="M35" i="7"/>
  <c r="M40" i="7"/>
  <c r="L35" i="7"/>
  <c r="L40" i="7"/>
  <c r="K35" i="7"/>
  <c r="K40" i="7"/>
  <c r="J35" i="7"/>
  <c r="J40" i="7"/>
  <c r="I35" i="7"/>
  <c r="I40" i="7"/>
  <c r="H35" i="7"/>
  <c r="H40" i="7"/>
  <c r="R34" i="7"/>
  <c r="Q34" i="7"/>
  <c r="P34" i="7"/>
  <c r="O34" i="7"/>
  <c r="N34" i="7"/>
  <c r="I34" i="7"/>
  <c r="J34" i="7"/>
  <c r="K34" i="7"/>
  <c r="L34" i="7"/>
  <c r="M34" i="7"/>
  <c r="H34" i="7"/>
  <c r="R36" i="7"/>
  <c r="Q36" i="7"/>
  <c r="P36" i="7"/>
  <c r="O36" i="7"/>
  <c r="N36" i="7"/>
  <c r="M36" i="7"/>
  <c r="L36" i="7"/>
  <c r="K36" i="7"/>
  <c r="J36" i="7"/>
  <c r="I36" i="7"/>
  <c r="H36" i="7"/>
  <c r="G36" i="7"/>
  <c r="H29" i="7"/>
  <c r="J13" i="7"/>
  <c r="F24" i="6"/>
  <c r="G24" i="6"/>
  <c r="H24" i="6"/>
  <c r="I24" i="6"/>
  <c r="J24" i="6"/>
  <c r="C27" i="24"/>
  <c r="C26" i="24"/>
  <c r="C25" i="24"/>
  <c r="C24" i="24"/>
  <c r="D28" i="1"/>
  <c r="G13" i="1"/>
  <c r="G9" i="1"/>
  <c r="G8" i="1"/>
  <c r="G36" i="1"/>
  <c r="C55" i="8"/>
  <c r="C74" i="8"/>
  <c r="H15" i="17"/>
  <c r="H7" i="17"/>
  <c r="E42" i="10"/>
  <c r="C10" i="8"/>
  <c r="D64" i="7"/>
  <c r="D70" i="7"/>
  <c r="D58" i="7"/>
  <c r="D51" i="7"/>
  <c r="E22" i="6"/>
  <c r="F22" i="6"/>
  <c r="G22" i="6"/>
  <c r="H22" i="6"/>
  <c r="I22" i="6"/>
  <c r="E16" i="6"/>
  <c r="C9" i="6"/>
  <c r="C7" i="6"/>
  <c r="B14" i="3"/>
  <c r="D12" i="24"/>
  <c r="D11" i="24"/>
  <c r="D10" i="24"/>
  <c r="D9" i="24"/>
  <c r="E52" i="1"/>
  <c r="K13" i="30"/>
  <c r="K14" i="30"/>
  <c r="N13" i="30"/>
  <c r="N14" i="30"/>
  <c r="Q13" i="30"/>
  <c r="Q14" i="30"/>
  <c r="T13" i="30"/>
  <c r="T14" i="30"/>
  <c r="B7" i="12"/>
  <c r="H70" i="7"/>
  <c r="G70" i="7"/>
  <c r="F70" i="7"/>
  <c r="E70" i="7"/>
  <c r="H58" i="7"/>
  <c r="G58" i="7"/>
  <c r="F58" i="7"/>
  <c r="E58" i="7"/>
  <c r="F51" i="1"/>
  <c r="F50" i="1"/>
  <c r="F52" i="1"/>
  <c r="F78" i="1"/>
  <c r="E78" i="1"/>
  <c r="D78" i="1"/>
  <c r="F77" i="1"/>
  <c r="E77" i="1"/>
  <c r="D77" i="1"/>
  <c r="F61" i="1"/>
  <c r="E61" i="1"/>
  <c r="F60" i="1"/>
  <c r="E60" i="1"/>
  <c r="D61" i="1"/>
  <c r="D60" i="1"/>
  <c r="B13" i="29"/>
  <c r="B14" i="29"/>
  <c r="O5" i="29"/>
  <c r="C12" i="29"/>
  <c r="E7" i="29"/>
  <c r="G5" i="29"/>
  <c r="E12" i="29"/>
  <c r="V31" i="10"/>
  <c r="V32" i="10"/>
  <c r="V33" i="10"/>
  <c r="V34" i="10"/>
  <c r="V35" i="10"/>
  <c r="V36" i="10"/>
  <c r="V37" i="10"/>
  <c r="D46" i="6"/>
  <c r="D43" i="6"/>
  <c r="E45" i="6"/>
  <c r="E46" i="6"/>
  <c r="E42" i="6"/>
  <c r="F42" i="6"/>
  <c r="F43" i="3"/>
  <c r="F76" i="1"/>
  <c r="E76" i="1"/>
  <c r="D76" i="1"/>
  <c r="F75" i="1"/>
  <c r="E75" i="1"/>
  <c r="D75" i="1"/>
  <c r="F74" i="1"/>
  <c r="E74" i="1"/>
  <c r="D74" i="1"/>
  <c r="G41" i="3"/>
  <c r="G43" i="3"/>
  <c r="C12" i="22"/>
  <c r="C35" i="22" s="1"/>
  <c r="G5" i="26"/>
  <c r="E7" i="26"/>
  <c r="C12" i="26"/>
  <c r="B13" i="26"/>
  <c r="B14" i="26"/>
  <c r="J5" i="17"/>
  <c r="K5" i="17"/>
  <c r="L5" i="17"/>
  <c r="M5" i="17"/>
  <c r="D11" i="10"/>
  <c r="E11" i="10"/>
  <c r="F11" i="10"/>
  <c r="G11" i="10"/>
  <c r="H11" i="10"/>
  <c r="I11" i="10"/>
  <c r="J11" i="10"/>
  <c r="K11" i="10"/>
  <c r="L11" i="10"/>
  <c r="M12" i="10"/>
  <c r="M13" i="10"/>
  <c r="M14" i="10"/>
  <c r="M15" i="10"/>
  <c r="M16" i="10"/>
  <c r="M17" i="10"/>
  <c r="M18" i="10"/>
  <c r="D30" i="10"/>
  <c r="E30" i="10"/>
  <c r="F30" i="10"/>
  <c r="G30" i="10"/>
  <c r="H30" i="10"/>
  <c r="I30" i="10"/>
  <c r="J30" i="10"/>
  <c r="K30" i="10"/>
  <c r="L30" i="10"/>
  <c r="M30" i="10"/>
  <c r="N30" i="10"/>
  <c r="O30" i="10"/>
  <c r="P30" i="10"/>
  <c r="Q30" i="10"/>
  <c r="R30" i="10"/>
  <c r="S30" i="10"/>
  <c r="T30" i="10"/>
  <c r="U30" i="10"/>
  <c r="D7" i="8"/>
  <c r="F16" i="6"/>
  <c r="G16" i="6"/>
  <c r="H16" i="6"/>
  <c r="I16" i="6"/>
  <c r="G35" i="3"/>
  <c r="H35" i="3"/>
  <c r="D57" i="1"/>
  <c r="E57" i="1"/>
  <c r="F57" i="1"/>
  <c r="E58" i="1"/>
  <c r="F58" i="1"/>
  <c r="D59" i="1"/>
  <c r="E59" i="1"/>
  <c r="F59" i="1"/>
  <c r="B15" i="26"/>
  <c r="B16" i="26"/>
  <c r="B17" i="26"/>
  <c r="B18" i="26"/>
  <c r="B19" i="26"/>
  <c r="B20" i="26"/>
  <c r="B21" i="26"/>
  <c r="B22" i="26"/>
  <c r="B23" i="26"/>
  <c r="B24" i="26"/>
  <c r="B25" i="26"/>
  <c r="B26" i="26"/>
  <c r="B27" i="26"/>
  <c r="B28" i="26"/>
  <c r="B29" i="26"/>
  <c r="B30" i="26"/>
  <c r="B31" i="26"/>
  <c r="B32" i="26"/>
  <c r="B33" i="26"/>
  <c r="B34" i="26"/>
  <c r="B15" i="29"/>
  <c r="B16" i="29"/>
  <c r="B17" i="29"/>
  <c r="F43" i="6"/>
  <c r="G42" i="6"/>
  <c r="H42" i="6"/>
  <c r="E43" i="6"/>
  <c r="F45" i="6"/>
  <c r="F46" i="6"/>
  <c r="G43" i="6"/>
  <c r="G45" i="6"/>
  <c r="G46" i="6"/>
  <c r="H45" i="6"/>
  <c r="H46" i="6"/>
  <c r="I45" i="6"/>
  <c r="I46" i="6"/>
  <c r="J45" i="6"/>
  <c r="J46" i="6"/>
  <c r="K45" i="6"/>
  <c r="K46" i="6"/>
  <c r="L45" i="6"/>
  <c r="L46" i="6"/>
  <c r="M45" i="6"/>
  <c r="M46" i="6"/>
  <c r="N45" i="6"/>
  <c r="O45" i="6"/>
  <c r="N46" i="6"/>
  <c r="F7" i="8"/>
  <c r="E7" i="8"/>
  <c r="G7" i="8"/>
  <c r="H43" i="6"/>
  <c r="I42" i="6"/>
  <c r="P45" i="6"/>
  <c r="P46" i="6"/>
  <c r="O46" i="6"/>
  <c r="L4" i="17"/>
  <c r="M4" i="17"/>
  <c r="I12" i="29"/>
  <c r="L13" i="19"/>
  <c r="K13" i="19"/>
  <c r="L12" i="19"/>
  <c r="G34" i="26"/>
  <c r="G32" i="26"/>
  <c r="G30" i="26"/>
  <c r="G28" i="26"/>
  <c r="G26" i="26"/>
  <c r="G24" i="26"/>
  <c r="G22" i="26"/>
  <c r="G20" i="26"/>
  <c r="G18" i="26"/>
  <c r="G16" i="26"/>
  <c r="G14" i="26"/>
  <c r="G12" i="26"/>
  <c r="K12" i="26"/>
  <c r="C13" i="26"/>
  <c r="E370" i="26"/>
  <c r="E368" i="26"/>
  <c r="E366" i="26"/>
  <c r="E364" i="26"/>
  <c r="E362" i="26"/>
  <c r="E360" i="26"/>
  <c r="E358" i="26"/>
  <c r="E356" i="26"/>
  <c r="E354" i="26"/>
  <c r="E352" i="26"/>
  <c r="E350" i="26"/>
  <c r="E348" i="26"/>
  <c r="E346" i="26"/>
  <c r="E344" i="26"/>
  <c r="E342" i="26"/>
  <c r="E340" i="26"/>
  <c r="E338" i="26"/>
  <c r="E336" i="26"/>
  <c r="E334" i="26"/>
  <c r="E332" i="26"/>
  <c r="E330" i="26"/>
  <c r="E328" i="26"/>
  <c r="E326" i="26"/>
  <c r="E324" i="26"/>
  <c r="E322" i="26"/>
  <c r="E320" i="26"/>
  <c r="E318" i="26"/>
  <c r="E316" i="26"/>
  <c r="E314" i="26"/>
  <c r="E312" i="26"/>
  <c r="E310" i="26"/>
  <c r="E308" i="26"/>
  <c r="E306" i="26"/>
  <c r="E304" i="26"/>
  <c r="E302" i="26"/>
  <c r="G33" i="26"/>
  <c r="G31" i="26"/>
  <c r="G29" i="26"/>
  <c r="G27" i="26"/>
  <c r="G25" i="26"/>
  <c r="G23" i="26"/>
  <c r="G21" i="26"/>
  <c r="G19" i="26"/>
  <c r="G17" i="26"/>
  <c r="G15" i="26"/>
  <c r="G13" i="26"/>
  <c r="E371" i="26"/>
  <c r="E369" i="26"/>
  <c r="E367" i="26"/>
  <c r="E365" i="26"/>
  <c r="E363" i="26"/>
  <c r="E361" i="26"/>
  <c r="E359" i="26"/>
  <c r="E357" i="26"/>
  <c r="E355" i="26"/>
  <c r="E353" i="26"/>
  <c r="E351" i="26"/>
  <c r="E349" i="26"/>
  <c r="E347" i="26"/>
  <c r="E345" i="26"/>
  <c r="E343" i="26"/>
  <c r="E341" i="26"/>
  <c r="E339" i="26"/>
  <c r="E337" i="26"/>
  <c r="E335" i="26"/>
  <c r="E333" i="26"/>
  <c r="E331" i="26"/>
  <c r="E329" i="26"/>
  <c r="E327" i="26"/>
  <c r="E325" i="26"/>
  <c r="E323" i="26"/>
  <c r="E321" i="26"/>
  <c r="E319" i="26"/>
  <c r="E317" i="26"/>
  <c r="E315" i="26"/>
  <c r="E313" i="26"/>
  <c r="E311" i="26"/>
  <c r="E309" i="26"/>
  <c r="E307" i="26"/>
  <c r="E305" i="26"/>
  <c r="E303" i="26"/>
  <c r="E301" i="26"/>
  <c r="E299" i="26"/>
  <c r="E297" i="26"/>
  <c r="E295" i="26"/>
  <c r="E293" i="26"/>
  <c r="E291" i="26"/>
  <c r="E289" i="26"/>
  <c r="E287" i="26"/>
  <c r="E285" i="26"/>
  <c r="E283" i="26"/>
  <c r="E281" i="26"/>
  <c r="E279" i="26"/>
  <c r="E277" i="26"/>
  <c r="E275" i="26"/>
  <c r="E273" i="26"/>
  <c r="E271" i="26"/>
  <c r="E269" i="26"/>
  <c r="E267" i="26"/>
  <c r="E265" i="26"/>
  <c r="E263" i="26"/>
  <c r="E261" i="26"/>
  <c r="E259" i="26"/>
  <c r="E257" i="26"/>
  <c r="E255" i="26"/>
  <c r="E253" i="26"/>
  <c r="E251" i="26"/>
  <c r="E249" i="26"/>
  <c r="E247" i="26"/>
  <c r="E245" i="26"/>
  <c r="E243" i="26"/>
  <c r="E241" i="26"/>
  <c r="E239" i="26"/>
  <c r="E237" i="26"/>
  <c r="E235" i="26"/>
  <c r="E233" i="26"/>
  <c r="E231" i="26"/>
  <c r="E229" i="26"/>
  <c r="E227" i="26"/>
  <c r="E225" i="26"/>
  <c r="E223" i="26"/>
  <c r="E221" i="26"/>
  <c r="E298" i="26"/>
  <c r="E294" i="26"/>
  <c r="E290" i="26"/>
  <c r="E286" i="26"/>
  <c r="E282" i="26"/>
  <c r="E278" i="26"/>
  <c r="E274" i="26"/>
  <c r="E270" i="26"/>
  <c r="E266" i="26"/>
  <c r="E262" i="26"/>
  <c r="E258" i="26"/>
  <c r="E254" i="26"/>
  <c r="E250" i="26"/>
  <c r="E246" i="26"/>
  <c r="E242" i="26"/>
  <c r="E238" i="26"/>
  <c r="E234" i="26"/>
  <c r="E230" i="26"/>
  <c r="E226" i="26"/>
  <c r="E222" i="26"/>
  <c r="E219" i="26"/>
  <c r="E217" i="26"/>
  <c r="E215" i="26"/>
  <c r="E213" i="26"/>
  <c r="E211" i="26"/>
  <c r="E209" i="26"/>
  <c r="E207" i="26"/>
  <c r="E205" i="26"/>
  <c r="E203" i="26"/>
  <c r="E201" i="26"/>
  <c r="E199" i="26"/>
  <c r="E197" i="26"/>
  <c r="E195" i="26"/>
  <c r="E193" i="26"/>
  <c r="E191" i="26"/>
  <c r="E189" i="26"/>
  <c r="E187" i="26"/>
  <c r="E185" i="26"/>
  <c r="E183" i="26"/>
  <c r="E181" i="26"/>
  <c r="E179" i="26"/>
  <c r="E177" i="26"/>
  <c r="E175" i="26"/>
  <c r="E173" i="26"/>
  <c r="E171" i="26"/>
  <c r="E169" i="26"/>
  <c r="E167" i="26"/>
  <c r="E165" i="26"/>
  <c r="E163" i="26"/>
  <c r="E161" i="26"/>
  <c r="E159" i="26"/>
  <c r="E157" i="26"/>
  <c r="E155" i="26"/>
  <c r="E153" i="26"/>
  <c r="E151" i="26"/>
  <c r="E149" i="26"/>
  <c r="E147" i="26"/>
  <c r="E145" i="26"/>
  <c r="E143" i="26"/>
  <c r="E141" i="26"/>
  <c r="E139" i="26"/>
  <c r="E137" i="26"/>
  <c r="E135" i="26"/>
  <c r="E133" i="26"/>
  <c r="E131" i="26"/>
  <c r="E129" i="26"/>
  <c r="E127" i="26"/>
  <c r="E125" i="26"/>
  <c r="E123" i="26"/>
  <c r="E121" i="26"/>
  <c r="E119" i="26"/>
  <c r="E117" i="26"/>
  <c r="E115" i="26"/>
  <c r="E113" i="26"/>
  <c r="E111" i="26"/>
  <c r="E109" i="26"/>
  <c r="E107" i="26"/>
  <c r="E105" i="26"/>
  <c r="E103" i="26"/>
  <c r="E101" i="26"/>
  <c r="E99" i="26"/>
  <c r="E97" i="26"/>
  <c r="E95" i="26"/>
  <c r="E93" i="26"/>
  <c r="E91" i="26"/>
  <c r="E89" i="26"/>
  <c r="E87" i="26"/>
  <c r="E85" i="26"/>
  <c r="E83" i="26"/>
  <c r="E81" i="26"/>
  <c r="E79" i="26"/>
  <c r="E77" i="26"/>
  <c r="E75" i="26"/>
  <c r="E73" i="26"/>
  <c r="E71" i="26"/>
  <c r="E69" i="26"/>
  <c r="E67" i="26"/>
  <c r="E65" i="26"/>
  <c r="E63" i="26"/>
  <c r="E61" i="26"/>
  <c r="E59" i="26"/>
  <c r="E57" i="26"/>
  <c r="E55" i="26"/>
  <c r="E53" i="26"/>
  <c r="E51" i="26"/>
  <c r="E49" i="26"/>
  <c r="E47" i="26"/>
  <c r="E45" i="26"/>
  <c r="E43" i="26"/>
  <c r="E41" i="26"/>
  <c r="E39" i="26"/>
  <c r="E37" i="26"/>
  <c r="E35" i="26"/>
  <c r="E33" i="26"/>
  <c r="E13" i="26"/>
  <c r="I13" i="26"/>
  <c r="J13" i="26"/>
  <c r="E15" i="26"/>
  <c r="I15" i="26"/>
  <c r="J15" i="26"/>
  <c r="E17" i="26"/>
  <c r="I17" i="26"/>
  <c r="J17" i="26"/>
  <c r="E19" i="26"/>
  <c r="I19" i="26"/>
  <c r="J19" i="26"/>
  <c r="E21" i="26"/>
  <c r="I21" i="26"/>
  <c r="J21" i="26"/>
  <c r="E23" i="26"/>
  <c r="I23" i="26"/>
  <c r="J23" i="26"/>
  <c r="E25" i="26"/>
  <c r="I25" i="26"/>
  <c r="J25" i="26"/>
  <c r="E27" i="26"/>
  <c r="I27" i="26"/>
  <c r="J27" i="26"/>
  <c r="E29" i="26"/>
  <c r="I29" i="26"/>
  <c r="J29" i="26"/>
  <c r="E31" i="26"/>
  <c r="I31" i="26"/>
  <c r="J31" i="26"/>
  <c r="E12" i="26"/>
  <c r="I12" i="26"/>
  <c r="E300" i="26"/>
  <c r="E296" i="26"/>
  <c r="E292" i="26"/>
  <c r="E288" i="26"/>
  <c r="E284" i="26"/>
  <c r="E280" i="26"/>
  <c r="E276" i="26"/>
  <c r="E272" i="26"/>
  <c r="E268" i="26"/>
  <c r="E264" i="26"/>
  <c r="E260" i="26"/>
  <c r="E256" i="26"/>
  <c r="E252" i="26"/>
  <c r="E248" i="26"/>
  <c r="E244" i="26"/>
  <c r="E240" i="26"/>
  <c r="E236" i="26"/>
  <c r="E232" i="26"/>
  <c r="E228" i="26"/>
  <c r="E224" i="26"/>
  <c r="E220" i="26"/>
  <c r="E218" i="26"/>
  <c r="E216" i="26"/>
  <c r="E214" i="26"/>
  <c r="E212" i="26"/>
  <c r="E210" i="26"/>
  <c r="E208" i="26"/>
  <c r="E206" i="26"/>
  <c r="E204" i="26"/>
  <c r="E202" i="26"/>
  <c r="E200" i="26"/>
  <c r="E198" i="26"/>
  <c r="E196" i="26"/>
  <c r="E194" i="26"/>
  <c r="E192" i="26"/>
  <c r="E190" i="26"/>
  <c r="E188" i="26"/>
  <c r="E186" i="26"/>
  <c r="E184" i="26"/>
  <c r="E182" i="26"/>
  <c r="E180" i="26"/>
  <c r="E178" i="26"/>
  <c r="E176" i="26"/>
  <c r="E174" i="26"/>
  <c r="E172" i="26"/>
  <c r="E170" i="26"/>
  <c r="E168" i="26"/>
  <c r="E166" i="26"/>
  <c r="E164" i="26"/>
  <c r="E162" i="26"/>
  <c r="E160" i="26"/>
  <c r="E158" i="26"/>
  <c r="E156" i="26"/>
  <c r="E154" i="26"/>
  <c r="E152" i="26"/>
  <c r="E150" i="26"/>
  <c r="E148" i="26"/>
  <c r="E146" i="26"/>
  <c r="E144" i="26"/>
  <c r="E142" i="26"/>
  <c r="E140" i="26"/>
  <c r="E138" i="26"/>
  <c r="E136" i="26"/>
  <c r="E134" i="26"/>
  <c r="E132" i="26"/>
  <c r="E130" i="26"/>
  <c r="E128" i="26"/>
  <c r="E126" i="26"/>
  <c r="E124" i="26"/>
  <c r="E122" i="26"/>
  <c r="E120" i="26"/>
  <c r="E118" i="26"/>
  <c r="E116" i="26"/>
  <c r="E114" i="26"/>
  <c r="E112" i="26"/>
  <c r="E110" i="26"/>
  <c r="E108" i="26"/>
  <c r="E106" i="26"/>
  <c r="E104" i="26"/>
  <c r="E102" i="26"/>
  <c r="E100" i="26"/>
  <c r="E98" i="26"/>
  <c r="E96" i="26"/>
  <c r="E94" i="26"/>
  <c r="E92" i="26"/>
  <c r="E90" i="26"/>
  <c r="E88" i="26"/>
  <c r="E86" i="26"/>
  <c r="E84" i="26"/>
  <c r="E82" i="26"/>
  <c r="E80" i="26"/>
  <c r="E78" i="26"/>
  <c r="E76" i="26"/>
  <c r="E74" i="26"/>
  <c r="E72" i="26"/>
  <c r="E70" i="26"/>
  <c r="E68" i="26"/>
  <c r="E66" i="26"/>
  <c r="E64" i="26"/>
  <c r="E62" i="26"/>
  <c r="E60" i="26"/>
  <c r="E58" i="26"/>
  <c r="E56" i="26"/>
  <c r="E54" i="26"/>
  <c r="E52" i="26"/>
  <c r="E50" i="26"/>
  <c r="E48" i="26"/>
  <c r="E46" i="26"/>
  <c r="E44" i="26"/>
  <c r="E42" i="26"/>
  <c r="E40" i="26"/>
  <c r="E38" i="26"/>
  <c r="E36" i="26"/>
  <c r="E34" i="26"/>
  <c r="E14" i="26"/>
  <c r="E16" i="26"/>
  <c r="E18" i="26"/>
  <c r="E20" i="26"/>
  <c r="E22" i="26"/>
  <c r="E24" i="26"/>
  <c r="E26" i="26"/>
  <c r="E28" i="26"/>
  <c r="E30" i="26"/>
  <c r="E32" i="26"/>
  <c r="B18" i="29"/>
  <c r="I35" i="3"/>
  <c r="H41" i="3"/>
  <c r="E14" i="29"/>
  <c r="E16" i="29"/>
  <c r="L15" i="19"/>
  <c r="E13" i="29"/>
  <c r="E15" i="29"/>
  <c r="E17" i="29"/>
  <c r="C27" i="22"/>
  <c r="B35" i="26"/>
  <c r="G35" i="26"/>
  <c r="I34" i="26"/>
  <c r="J34" i="26"/>
  <c r="I33" i="26"/>
  <c r="J33" i="26"/>
  <c r="E9" i="26"/>
  <c r="K13" i="26"/>
  <c r="C14" i="26"/>
  <c r="K14" i="26"/>
  <c r="C15" i="26"/>
  <c r="K15" i="26"/>
  <c r="C16" i="26"/>
  <c r="K16" i="26"/>
  <c r="C17" i="26"/>
  <c r="K17" i="26"/>
  <c r="C18" i="26"/>
  <c r="K18" i="26"/>
  <c r="C19" i="26"/>
  <c r="K19" i="26"/>
  <c r="C20" i="26"/>
  <c r="K20" i="26"/>
  <c r="C21" i="26"/>
  <c r="K21" i="26"/>
  <c r="C22" i="26"/>
  <c r="K22" i="26"/>
  <c r="C23" i="26"/>
  <c r="K23" i="26"/>
  <c r="C24" i="26"/>
  <c r="K24" i="26"/>
  <c r="C25" i="26"/>
  <c r="K25" i="26"/>
  <c r="C26" i="26"/>
  <c r="K26" i="26"/>
  <c r="C27" i="26"/>
  <c r="K27" i="26"/>
  <c r="C28" i="26"/>
  <c r="K28" i="26"/>
  <c r="C29" i="26"/>
  <c r="K29" i="26"/>
  <c r="C30" i="26"/>
  <c r="K30" i="26"/>
  <c r="C31" i="26"/>
  <c r="K31" i="26"/>
  <c r="C32" i="26"/>
  <c r="K32" i="26"/>
  <c r="C33" i="26"/>
  <c r="K33" i="26"/>
  <c r="C34" i="26"/>
  <c r="K34" i="26"/>
  <c r="J12" i="26"/>
  <c r="J13" i="19"/>
  <c r="H7" i="8"/>
  <c r="I17" i="29"/>
  <c r="J17" i="29"/>
  <c r="I13" i="29"/>
  <c r="J13" i="29"/>
  <c r="I16" i="29"/>
  <c r="J16" i="29"/>
  <c r="H43" i="3"/>
  <c r="I41" i="3"/>
  <c r="J35" i="3"/>
  <c r="I16" i="26"/>
  <c r="J16" i="26"/>
  <c r="I20" i="26"/>
  <c r="J20" i="26"/>
  <c r="I24" i="26"/>
  <c r="J24" i="26"/>
  <c r="I28" i="26"/>
  <c r="J28" i="26"/>
  <c r="I32" i="26"/>
  <c r="J32" i="26"/>
  <c r="I15" i="29"/>
  <c r="J15" i="29"/>
  <c r="I14" i="29"/>
  <c r="J14" i="29"/>
  <c r="B19" i="29"/>
  <c r="E18" i="29"/>
  <c r="J12" i="29"/>
  <c r="J42" i="6"/>
  <c r="I43" i="6"/>
  <c r="I14" i="26"/>
  <c r="J14" i="26"/>
  <c r="I18" i="26"/>
  <c r="J18" i="26"/>
  <c r="I22" i="26"/>
  <c r="J22" i="26"/>
  <c r="I26" i="26"/>
  <c r="J26" i="26"/>
  <c r="I30" i="26"/>
  <c r="J30" i="26"/>
  <c r="L14" i="19"/>
  <c r="B36" i="26"/>
  <c r="G36" i="26"/>
  <c r="I35" i="26"/>
  <c r="J35" i="26"/>
  <c r="C35" i="26"/>
  <c r="K35" i="26"/>
  <c r="I7" i="8"/>
  <c r="J43" i="6"/>
  <c r="K42" i="6"/>
  <c r="I18" i="29"/>
  <c r="E19" i="29"/>
  <c r="B20" i="29"/>
  <c r="I43" i="3"/>
  <c r="J41" i="3"/>
  <c r="J43" i="3"/>
  <c r="B37" i="26"/>
  <c r="G37" i="26"/>
  <c r="I36" i="26"/>
  <c r="J36" i="26"/>
  <c r="C36" i="26"/>
  <c r="L16" i="19"/>
  <c r="J7" i="8"/>
  <c r="E20" i="29"/>
  <c r="B21" i="29"/>
  <c r="J18" i="29"/>
  <c r="I19" i="29"/>
  <c r="J19" i="29"/>
  <c r="L42" i="6"/>
  <c r="K43" i="6"/>
  <c r="B38" i="26"/>
  <c r="G38" i="26"/>
  <c r="I37" i="26"/>
  <c r="J37" i="26"/>
  <c r="K36" i="26"/>
  <c r="C37" i="26"/>
  <c r="K37" i="26"/>
  <c r="L17" i="19"/>
  <c r="K7" i="8"/>
  <c r="L43" i="6"/>
  <c r="M42" i="6"/>
  <c r="I20" i="29"/>
  <c r="E21" i="29"/>
  <c r="B22" i="29"/>
  <c r="B39" i="26"/>
  <c r="G39" i="26"/>
  <c r="I38" i="26"/>
  <c r="J38" i="26"/>
  <c r="C38" i="26"/>
  <c r="K38" i="26"/>
  <c r="L18" i="19"/>
  <c r="L7" i="8"/>
  <c r="I21" i="29"/>
  <c r="J21" i="29"/>
  <c r="E22" i="29"/>
  <c r="B23" i="29"/>
  <c r="J20" i="29"/>
  <c r="N42" i="6"/>
  <c r="M43" i="6"/>
  <c r="L19" i="19"/>
  <c r="B40" i="26"/>
  <c r="G40" i="26"/>
  <c r="I39" i="26"/>
  <c r="J39" i="26"/>
  <c r="C39" i="26"/>
  <c r="M7" i="8"/>
  <c r="N43" i="6"/>
  <c r="O42" i="6"/>
  <c r="E23" i="29"/>
  <c r="B24" i="29"/>
  <c r="I22" i="29"/>
  <c r="B41" i="26"/>
  <c r="G41" i="26"/>
  <c r="I40" i="26"/>
  <c r="J40" i="26"/>
  <c r="K39" i="26"/>
  <c r="C40" i="26"/>
  <c r="K40" i="26"/>
  <c r="L20" i="19"/>
  <c r="N7" i="8"/>
  <c r="E24" i="29"/>
  <c r="B25" i="29"/>
  <c r="J22" i="29"/>
  <c r="I23" i="29"/>
  <c r="J23" i="29"/>
  <c r="P42" i="6"/>
  <c r="P43" i="6"/>
  <c r="O43" i="6"/>
  <c r="B42" i="26"/>
  <c r="G42" i="26"/>
  <c r="I41" i="26"/>
  <c r="J41" i="26"/>
  <c r="C41" i="26"/>
  <c r="L21" i="19"/>
  <c r="O7" i="8"/>
  <c r="E25" i="29"/>
  <c r="B26" i="29"/>
  <c r="B43" i="26"/>
  <c r="G43" i="26"/>
  <c r="I42" i="26"/>
  <c r="J42" i="26"/>
  <c r="K41" i="26"/>
  <c r="C42" i="26"/>
  <c r="K42" i="26"/>
  <c r="L22" i="19"/>
  <c r="D20" i="8"/>
  <c r="C20" i="8"/>
  <c r="E20" i="8"/>
  <c r="F20" i="8"/>
  <c r="F17" i="8"/>
  <c r="E26" i="29"/>
  <c r="B27" i="29"/>
  <c r="L23" i="19"/>
  <c r="B44" i="26"/>
  <c r="G44" i="26"/>
  <c r="I43" i="26"/>
  <c r="J43" i="26"/>
  <c r="C43" i="26"/>
  <c r="E27" i="29"/>
  <c r="B28" i="29"/>
  <c r="B45" i="26"/>
  <c r="G45" i="26"/>
  <c r="I44" i="26"/>
  <c r="J44" i="26"/>
  <c r="K43" i="26"/>
  <c r="C44" i="26"/>
  <c r="K44" i="26"/>
  <c r="L24" i="19"/>
  <c r="E28" i="29"/>
  <c r="B29" i="29"/>
  <c r="B46" i="26"/>
  <c r="G46" i="26"/>
  <c r="I45" i="26"/>
  <c r="J45" i="26"/>
  <c r="C45" i="26"/>
  <c r="L25" i="19"/>
  <c r="E29" i="29"/>
  <c r="B30" i="29"/>
  <c r="B47" i="26"/>
  <c r="G47" i="26"/>
  <c r="I46" i="26"/>
  <c r="J46" i="26"/>
  <c r="K45" i="26"/>
  <c r="C46" i="26"/>
  <c r="K46" i="26"/>
  <c r="L27" i="19"/>
  <c r="L26" i="19"/>
  <c r="E30" i="29"/>
  <c r="B31" i="29"/>
  <c r="B48" i="26"/>
  <c r="G48" i="26"/>
  <c r="I47" i="26"/>
  <c r="J47" i="26"/>
  <c r="C47" i="26"/>
  <c r="E31" i="29"/>
  <c r="B32" i="29"/>
  <c r="B49" i="26"/>
  <c r="G49" i="26"/>
  <c r="I48" i="26"/>
  <c r="J48" i="26"/>
  <c r="K47" i="26"/>
  <c r="C48" i="26"/>
  <c r="K48" i="26"/>
  <c r="L28" i="19"/>
  <c r="E32" i="29"/>
  <c r="B33" i="29"/>
  <c r="B50" i="26"/>
  <c r="G50" i="26"/>
  <c r="I49" i="26"/>
  <c r="J49" i="26"/>
  <c r="C49" i="26"/>
  <c r="L29" i="19"/>
  <c r="E33" i="29"/>
  <c r="B34" i="29"/>
  <c r="B51" i="26"/>
  <c r="G51" i="26"/>
  <c r="I50" i="26"/>
  <c r="J50" i="26"/>
  <c r="K49" i="26"/>
  <c r="C50" i="26"/>
  <c r="K50" i="26"/>
  <c r="L30" i="19"/>
  <c r="E34" i="29"/>
  <c r="B35" i="29"/>
  <c r="L31" i="19"/>
  <c r="B52" i="26"/>
  <c r="G52" i="26"/>
  <c r="I51" i="26"/>
  <c r="J51" i="26"/>
  <c r="C51" i="26"/>
  <c r="E35" i="29"/>
  <c r="B36" i="29"/>
  <c r="B53" i="26"/>
  <c r="G53" i="26"/>
  <c r="I52" i="26"/>
  <c r="J52" i="26"/>
  <c r="K51" i="26"/>
  <c r="C52" i="26"/>
  <c r="K52" i="26"/>
  <c r="L32" i="19"/>
  <c r="E36" i="29"/>
  <c r="B37" i="29"/>
  <c r="B54" i="26"/>
  <c r="G54" i="26"/>
  <c r="I53" i="26"/>
  <c r="J53" i="26"/>
  <c r="C53" i="26"/>
  <c r="L33" i="19"/>
  <c r="E37" i="29"/>
  <c r="B38" i="29"/>
  <c r="B55" i="26"/>
  <c r="G55" i="26"/>
  <c r="I54" i="26"/>
  <c r="J54" i="26"/>
  <c r="K53" i="26"/>
  <c r="C54" i="26"/>
  <c r="K54" i="26"/>
  <c r="L35" i="19"/>
  <c r="L34" i="19"/>
  <c r="E38" i="29"/>
  <c r="B39" i="29"/>
  <c r="B56" i="26"/>
  <c r="G56" i="26"/>
  <c r="I55" i="26"/>
  <c r="J55" i="26"/>
  <c r="C55" i="26"/>
  <c r="E39" i="29"/>
  <c r="B40" i="29"/>
  <c r="B57" i="26"/>
  <c r="G57" i="26"/>
  <c r="I56" i="26"/>
  <c r="J56" i="26"/>
  <c r="K55" i="26"/>
  <c r="C56" i="26"/>
  <c r="K56" i="26"/>
  <c r="L36" i="19"/>
  <c r="E40" i="29"/>
  <c r="B41" i="29"/>
  <c r="B58" i="26"/>
  <c r="G58" i="26"/>
  <c r="I57" i="26"/>
  <c r="J57" i="26"/>
  <c r="C57" i="26"/>
  <c r="L37" i="19"/>
  <c r="E41" i="29"/>
  <c r="B42" i="29"/>
  <c r="B59" i="26"/>
  <c r="G59" i="26"/>
  <c r="I58" i="26"/>
  <c r="J58" i="26"/>
  <c r="K57" i="26"/>
  <c r="C58" i="26"/>
  <c r="K58" i="26"/>
  <c r="L38" i="19"/>
  <c r="E42" i="29"/>
  <c r="B43" i="29"/>
  <c r="L39" i="19"/>
  <c r="B60" i="26"/>
  <c r="G60" i="26"/>
  <c r="I59" i="26"/>
  <c r="J59" i="26"/>
  <c r="C59" i="26"/>
  <c r="E43" i="29"/>
  <c r="B44" i="29"/>
  <c r="B61" i="26"/>
  <c r="G61" i="26"/>
  <c r="I60" i="26"/>
  <c r="J60" i="26"/>
  <c r="K59" i="26"/>
  <c r="C60" i="26"/>
  <c r="K60" i="26"/>
  <c r="L40" i="19"/>
  <c r="E44" i="29"/>
  <c r="B45" i="29"/>
  <c r="B62" i="26"/>
  <c r="G62" i="26"/>
  <c r="I61" i="26"/>
  <c r="J61" i="26"/>
  <c r="C61" i="26"/>
  <c r="L41" i="19"/>
  <c r="E45" i="29"/>
  <c r="B46" i="29"/>
  <c r="B63" i="26"/>
  <c r="G63" i="26"/>
  <c r="I62" i="26"/>
  <c r="J62" i="26"/>
  <c r="K61" i="26"/>
  <c r="C62" i="26"/>
  <c r="K62" i="26"/>
  <c r="L42" i="19"/>
  <c r="E46" i="29"/>
  <c r="B47" i="29"/>
  <c r="L43" i="19"/>
  <c r="B64" i="26"/>
  <c r="G64" i="26"/>
  <c r="I63" i="26"/>
  <c r="J63" i="26"/>
  <c r="C63" i="26"/>
  <c r="E47" i="29"/>
  <c r="B48" i="29"/>
  <c r="B65" i="26"/>
  <c r="G65" i="26"/>
  <c r="I64" i="26"/>
  <c r="J64" i="26"/>
  <c r="K63" i="26"/>
  <c r="C64" i="26"/>
  <c r="K64" i="26"/>
  <c r="L44" i="19"/>
  <c r="E48" i="29"/>
  <c r="B49" i="29"/>
  <c r="B66" i="26"/>
  <c r="G66" i="26"/>
  <c r="I65" i="26"/>
  <c r="J65" i="26"/>
  <c r="C65" i="26"/>
  <c r="L45" i="19"/>
  <c r="E49" i="29"/>
  <c r="B50" i="29"/>
  <c r="B67" i="26"/>
  <c r="G67" i="26"/>
  <c r="I66" i="26"/>
  <c r="J66" i="26"/>
  <c r="K65" i="26"/>
  <c r="C66" i="26"/>
  <c r="K66" i="26"/>
  <c r="L46" i="19"/>
  <c r="E50" i="29"/>
  <c r="B51" i="29"/>
  <c r="L47" i="19"/>
  <c r="B68" i="26"/>
  <c r="G68" i="26"/>
  <c r="I67" i="26"/>
  <c r="J67" i="26"/>
  <c r="C67" i="26"/>
  <c r="E51" i="29"/>
  <c r="B52" i="29"/>
  <c r="B69" i="26"/>
  <c r="G69" i="26"/>
  <c r="I68" i="26"/>
  <c r="J68" i="26"/>
  <c r="K67" i="26"/>
  <c r="C68" i="26"/>
  <c r="K68" i="26"/>
  <c r="L48" i="19"/>
  <c r="E52" i="29"/>
  <c r="B53" i="29"/>
  <c r="B70" i="26"/>
  <c r="G70" i="26"/>
  <c r="I69" i="26"/>
  <c r="J69" i="26"/>
  <c r="C69" i="26"/>
  <c r="L49" i="19"/>
  <c r="E53" i="29"/>
  <c r="B54" i="29"/>
  <c r="B71" i="26"/>
  <c r="G71" i="26"/>
  <c r="I70" i="26"/>
  <c r="J70" i="26"/>
  <c r="K69" i="26"/>
  <c r="C70" i="26"/>
  <c r="K70" i="26"/>
  <c r="L51" i="19"/>
  <c r="L50" i="19"/>
  <c r="E54" i="29"/>
  <c r="B55" i="29"/>
  <c r="B72" i="26"/>
  <c r="G72" i="26"/>
  <c r="I71" i="26"/>
  <c r="J71" i="26"/>
  <c r="C71" i="26"/>
  <c r="E55" i="29"/>
  <c r="B56" i="29"/>
  <c r="B73" i="26"/>
  <c r="G73" i="26"/>
  <c r="I72" i="26"/>
  <c r="J72" i="26"/>
  <c r="K71" i="26"/>
  <c r="C72" i="26"/>
  <c r="K72" i="26"/>
  <c r="L52" i="19"/>
  <c r="E56" i="29"/>
  <c r="B57" i="29"/>
  <c r="B74" i="26"/>
  <c r="G74" i="26"/>
  <c r="I73" i="26"/>
  <c r="J73" i="26"/>
  <c r="C73" i="26"/>
  <c r="L53" i="19"/>
  <c r="E57" i="29"/>
  <c r="B58" i="29"/>
  <c r="B75" i="26"/>
  <c r="G75" i="26"/>
  <c r="I74" i="26"/>
  <c r="J74" i="26"/>
  <c r="K73" i="26"/>
  <c r="C74" i="26"/>
  <c r="K74" i="26"/>
  <c r="L54" i="19"/>
  <c r="L55" i="19"/>
  <c r="E58" i="29"/>
  <c r="B59" i="29"/>
  <c r="B76" i="26"/>
  <c r="G76" i="26"/>
  <c r="I75" i="26"/>
  <c r="J75" i="26"/>
  <c r="C75" i="26"/>
  <c r="E59" i="29"/>
  <c r="B60" i="29"/>
  <c r="B77" i="26"/>
  <c r="G77" i="26"/>
  <c r="I76" i="26"/>
  <c r="J76" i="26"/>
  <c r="K75" i="26"/>
  <c r="C76" i="26"/>
  <c r="K76" i="26"/>
  <c r="L56" i="19"/>
  <c r="E60" i="29"/>
  <c r="B61" i="29"/>
  <c r="B78" i="26"/>
  <c r="G78" i="26"/>
  <c r="I77" i="26"/>
  <c r="J77" i="26"/>
  <c r="C77" i="26"/>
  <c r="L57" i="19"/>
  <c r="E61" i="29"/>
  <c r="B62" i="29"/>
  <c r="B79" i="26"/>
  <c r="G79" i="26"/>
  <c r="I78" i="26"/>
  <c r="J78" i="26"/>
  <c r="K77" i="26"/>
  <c r="C78" i="26"/>
  <c r="K78" i="26"/>
  <c r="L59" i="19"/>
  <c r="L58" i="19"/>
  <c r="E62" i="29"/>
  <c r="B63" i="29"/>
  <c r="B80" i="26"/>
  <c r="G80" i="26"/>
  <c r="I79" i="26"/>
  <c r="J79" i="26"/>
  <c r="C79" i="26"/>
  <c r="E63" i="29"/>
  <c r="B64" i="29"/>
  <c r="B81" i="26"/>
  <c r="G81" i="26"/>
  <c r="I80" i="26"/>
  <c r="J80" i="26"/>
  <c r="K79" i="26"/>
  <c r="C80" i="26"/>
  <c r="K80" i="26"/>
  <c r="L60" i="19"/>
  <c r="E64" i="29"/>
  <c r="B65" i="29"/>
  <c r="B82" i="26"/>
  <c r="G82" i="26"/>
  <c r="I81" i="26"/>
  <c r="J81" i="26"/>
  <c r="C81" i="26"/>
  <c r="L61" i="19"/>
  <c r="E65" i="29"/>
  <c r="B66" i="29"/>
  <c r="B83" i="26"/>
  <c r="G83" i="26"/>
  <c r="I82" i="26"/>
  <c r="J82" i="26"/>
  <c r="K81" i="26"/>
  <c r="C82" i="26"/>
  <c r="K82" i="26"/>
  <c r="L63" i="19"/>
  <c r="L62" i="19"/>
  <c r="E66" i="29"/>
  <c r="B67" i="29"/>
  <c r="B84" i="26"/>
  <c r="G84" i="26"/>
  <c r="I83" i="26"/>
  <c r="J83" i="26"/>
  <c r="C83" i="26"/>
  <c r="E67" i="29"/>
  <c r="B68" i="29"/>
  <c r="B85" i="26"/>
  <c r="G85" i="26"/>
  <c r="I84" i="26"/>
  <c r="J84" i="26"/>
  <c r="K83" i="26"/>
  <c r="C84" i="26"/>
  <c r="K84" i="26"/>
  <c r="L64" i="19"/>
  <c r="E68" i="29"/>
  <c r="B69" i="29"/>
  <c r="B86" i="26"/>
  <c r="G86" i="26"/>
  <c r="I85" i="26"/>
  <c r="J85" i="26"/>
  <c r="C85" i="26"/>
  <c r="L65" i="19"/>
  <c r="E69" i="29"/>
  <c r="B70" i="29"/>
  <c r="B87" i="26"/>
  <c r="G87" i="26"/>
  <c r="I86" i="26"/>
  <c r="J86" i="26"/>
  <c r="K85" i="26"/>
  <c r="C86" i="26"/>
  <c r="K86" i="26"/>
  <c r="L66" i="19"/>
  <c r="E70" i="29"/>
  <c r="B71" i="29"/>
  <c r="L67" i="19"/>
  <c r="B88" i="26"/>
  <c r="G88" i="26"/>
  <c r="I87" i="26"/>
  <c r="J87" i="26"/>
  <c r="C87" i="26"/>
  <c r="E71" i="29"/>
  <c r="B72" i="29"/>
  <c r="B89" i="26"/>
  <c r="G89" i="26"/>
  <c r="I88" i="26"/>
  <c r="J88" i="26"/>
  <c r="K87" i="26"/>
  <c r="C88" i="26"/>
  <c r="K88" i="26"/>
  <c r="L68" i="19"/>
  <c r="E72" i="29"/>
  <c r="B73" i="29"/>
  <c r="B90" i="26"/>
  <c r="G90" i="26"/>
  <c r="I89" i="26"/>
  <c r="J89" i="26"/>
  <c r="C89" i="26"/>
  <c r="L69" i="19"/>
  <c r="E73" i="29"/>
  <c r="B74" i="29"/>
  <c r="B91" i="26"/>
  <c r="G91" i="26"/>
  <c r="I90" i="26"/>
  <c r="J90" i="26"/>
  <c r="K89" i="26"/>
  <c r="C90" i="26"/>
  <c r="K90" i="26"/>
  <c r="L70" i="19"/>
  <c r="E74" i="29"/>
  <c r="B75" i="29"/>
  <c r="L71" i="19"/>
  <c r="B92" i="26"/>
  <c r="G92" i="26"/>
  <c r="I91" i="26"/>
  <c r="J91" i="26"/>
  <c r="C91" i="26"/>
  <c r="E75" i="29"/>
  <c r="B76" i="29"/>
  <c r="B93" i="26"/>
  <c r="G93" i="26"/>
  <c r="I92" i="26"/>
  <c r="J92" i="26"/>
  <c r="K91" i="26"/>
  <c r="C92" i="26"/>
  <c r="K92" i="26"/>
  <c r="L72" i="19"/>
  <c r="E76" i="29"/>
  <c r="B77" i="29"/>
  <c r="B94" i="26"/>
  <c r="G94" i="26"/>
  <c r="I93" i="26"/>
  <c r="J93" i="26"/>
  <c r="C93" i="26"/>
  <c r="L73" i="19"/>
  <c r="E77" i="29"/>
  <c r="B78" i="29"/>
  <c r="B95" i="26"/>
  <c r="G95" i="26"/>
  <c r="I94" i="26"/>
  <c r="J94" i="26"/>
  <c r="K93" i="26"/>
  <c r="C94" i="26"/>
  <c r="K94" i="26"/>
  <c r="L74" i="19"/>
  <c r="L75" i="19"/>
  <c r="E78" i="29"/>
  <c r="B79" i="29"/>
  <c r="B96" i="26"/>
  <c r="G96" i="26"/>
  <c r="I95" i="26"/>
  <c r="J95" i="26"/>
  <c r="C95" i="26"/>
  <c r="E79" i="29"/>
  <c r="B80" i="29"/>
  <c r="B97" i="26"/>
  <c r="G97" i="26"/>
  <c r="I96" i="26"/>
  <c r="J96" i="26"/>
  <c r="K95" i="26"/>
  <c r="C96" i="26"/>
  <c r="K96" i="26"/>
  <c r="L76" i="19"/>
  <c r="E80" i="29"/>
  <c r="B81" i="29"/>
  <c r="B98" i="26"/>
  <c r="G98" i="26"/>
  <c r="I97" i="26"/>
  <c r="J97" i="26"/>
  <c r="C97" i="26"/>
  <c r="L77" i="19"/>
  <c r="E81" i="29"/>
  <c r="B82" i="29"/>
  <c r="B99" i="26"/>
  <c r="G99" i="26"/>
  <c r="I98" i="26"/>
  <c r="J98" i="26"/>
  <c r="K97" i="26"/>
  <c r="C98" i="26"/>
  <c r="K98" i="26"/>
  <c r="L79" i="19"/>
  <c r="L78" i="19"/>
  <c r="E82" i="29"/>
  <c r="B83" i="29"/>
  <c r="B100" i="26"/>
  <c r="G100" i="26"/>
  <c r="I99" i="26"/>
  <c r="J99" i="26"/>
  <c r="C99" i="26"/>
  <c r="E83" i="29"/>
  <c r="B84" i="29"/>
  <c r="B101" i="26"/>
  <c r="G101" i="26"/>
  <c r="I100" i="26"/>
  <c r="J100" i="26"/>
  <c r="K99" i="26"/>
  <c r="C100" i="26"/>
  <c r="K100" i="26"/>
  <c r="L80" i="19"/>
  <c r="E84" i="29"/>
  <c r="B85" i="29"/>
  <c r="B102" i="26"/>
  <c r="G102" i="26"/>
  <c r="I101" i="26"/>
  <c r="J101" i="26"/>
  <c r="C101" i="26"/>
  <c r="K101" i="26"/>
  <c r="L81" i="19"/>
  <c r="E85" i="29"/>
  <c r="B86" i="29"/>
  <c r="B103" i="26"/>
  <c r="G103" i="26"/>
  <c r="I102" i="26"/>
  <c r="J102" i="26"/>
  <c r="C102" i="26"/>
  <c r="L83" i="19"/>
  <c r="L82" i="19"/>
  <c r="E86" i="29"/>
  <c r="B87" i="29"/>
  <c r="B104" i="26"/>
  <c r="G104" i="26"/>
  <c r="I103" i="26"/>
  <c r="J103" i="26"/>
  <c r="K102" i="26"/>
  <c r="C103" i="26"/>
  <c r="K103" i="26"/>
  <c r="E87" i="29"/>
  <c r="B88" i="29"/>
  <c r="B105" i="26"/>
  <c r="G105" i="26"/>
  <c r="I104" i="26"/>
  <c r="J104" i="26"/>
  <c r="C104" i="26"/>
  <c r="L84" i="19"/>
  <c r="E88" i="29"/>
  <c r="B89" i="29"/>
  <c r="B106" i="26"/>
  <c r="G106" i="26"/>
  <c r="I105" i="26"/>
  <c r="J105" i="26"/>
  <c r="K104" i="26"/>
  <c r="C105" i="26"/>
  <c r="K105" i="26"/>
  <c r="L85" i="19"/>
  <c r="E89" i="29"/>
  <c r="B90" i="29"/>
  <c r="B107" i="26"/>
  <c r="G107" i="26"/>
  <c r="I106" i="26"/>
  <c r="J106" i="26"/>
  <c r="C106" i="26"/>
  <c r="L86" i="19"/>
  <c r="E90" i="29"/>
  <c r="B91" i="29"/>
  <c r="L87" i="19"/>
  <c r="B108" i="26"/>
  <c r="G108" i="26"/>
  <c r="I107" i="26"/>
  <c r="J107" i="26"/>
  <c r="K106" i="26"/>
  <c r="C107" i="26"/>
  <c r="K107" i="26"/>
  <c r="E91" i="29"/>
  <c r="B92" i="29"/>
  <c r="B109" i="26"/>
  <c r="G109" i="26"/>
  <c r="I108" i="26"/>
  <c r="J108" i="26"/>
  <c r="C108" i="26"/>
  <c r="L88" i="19"/>
  <c r="E92" i="29"/>
  <c r="B93" i="29"/>
  <c r="L89" i="19"/>
  <c r="B110" i="26"/>
  <c r="G110" i="26"/>
  <c r="I109" i="26"/>
  <c r="J109" i="26"/>
  <c r="K108" i="26"/>
  <c r="C109" i="26"/>
  <c r="K109" i="26"/>
  <c r="E93" i="29"/>
  <c r="B94" i="29"/>
  <c r="B111" i="26"/>
  <c r="G111" i="26"/>
  <c r="I110" i="26"/>
  <c r="J110" i="26"/>
  <c r="C110" i="26"/>
  <c r="L91" i="19"/>
  <c r="L90" i="19"/>
  <c r="E94" i="29"/>
  <c r="B95" i="29"/>
  <c r="B112" i="26"/>
  <c r="G112" i="26"/>
  <c r="I111" i="26"/>
  <c r="J111" i="26"/>
  <c r="K110" i="26"/>
  <c r="C111" i="26"/>
  <c r="K111" i="26"/>
  <c r="E95" i="29"/>
  <c r="B96" i="29"/>
  <c r="B113" i="26"/>
  <c r="G113" i="26"/>
  <c r="I112" i="26"/>
  <c r="J112" i="26"/>
  <c r="C112" i="26"/>
  <c r="L92" i="19"/>
  <c r="E96" i="29"/>
  <c r="B97" i="29"/>
  <c r="B114" i="26"/>
  <c r="G114" i="26"/>
  <c r="I113" i="26"/>
  <c r="J113" i="26"/>
  <c r="K112" i="26"/>
  <c r="C113" i="26"/>
  <c r="K113" i="26"/>
  <c r="L93" i="19"/>
  <c r="E97" i="29"/>
  <c r="B98" i="29"/>
  <c r="B115" i="26"/>
  <c r="G115" i="26"/>
  <c r="I114" i="26"/>
  <c r="J114" i="26"/>
  <c r="C114" i="26"/>
  <c r="L95" i="19"/>
  <c r="L94" i="19"/>
  <c r="E98" i="29"/>
  <c r="B99" i="29"/>
  <c r="B116" i="26"/>
  <c r="G116" i="26"/>
  <c r="I115" i="26"/>
  <c r="J115" i="26"/>
  <c r="K114" i="26"/>
  <c r="C115" i="26"/>
  <c r="K115" i="26"/>
  <c r="E99" i="29"/>
  <c r="B100" i="29"/>
  <c r="B117" i="26"/>
  <c r="G117" i="26"/>
  <c r="I116" i="26"/>
  <c r="J116" i="26"/>
  <c r="C116" i="26"/>
  <c r="L96" i="19"/>
  <c r="E100" i="29"/>
  <c r="B101" i="29"/>
  <c r="B118" i="26"/>
  <c r="G118" i="26"/>
  <c r="I117" i="26"/>
  <c r="J117" i="26"/>
  <c r="K116" i="26"/>
  <c r="C117" i="26"/>
  <c r="K117" i="26"/>
  <c r="L97" i="19"/>
  <c r="E101" i="29"/>
  <c r="B102" i="29"/>
  <c r="B119" i="26"/>
  <c r="G119" i="26"/>
  <c r="I118" i="26"/>
  <c r="J118" i="26"/>
  <c r="C118" i="26"/>
  <c r="L99" i="19"/>
  <c r="L98" i="19"/>
  <c r="E102" i="29"/>
  <c r="B103" i="29"/>
  <c r="B120" i="26"/>
  <c r="G120" i="26"/>
  <c r="I119" i="26"/>
  <c r="J119" i="26"/>
  <c r="K118" i="26"/>
  <c r="C119" i="26"/>
  <c r="K119" i="26"/>
  <c r="E103" i="29"/>
  <c r="B104" i="29"/>
  <c r="B121" i="26"/>
  <c r="G121" i="26"/>
  <c r="I120" i="26"/>
  <c r="J120" i="26"/>
  <c r="C120" i="26"/>
  <c r="L100" i="19"/>
  <c r="E104" i="29"/>
  <c r="B105" i="29"/>
  <c r="B122" i="26"/>
  <c r="G122" i="26"/>
  <c r="I121" i="26"/>
  <c r="J121" i="26"/>
  <c r="K120" i="26"/>
  <c r="C121" i="26"/>
  <c r="K121" i="26"/>
  <c r="L101" i="19"/>
  <c r="E105" i="29"/>
  <c r="B106" i="29"/>
  <c r="B123" i="26"/>
  <c r="G123" i="26"/>
  <c r="I122" i="26"/>
  <c r="J122" i="26"/>
  <c r="C122" i="26"/>
  <c r="L102" i="19"/>
  <c r="L103" i="19"/>
  <c r="E106" i="29"/>
  <c r="B107" i="29"/>
  <c r="B124" i="26"/>
  <c r="G124" i="26"/>
  <c r="I123" i="26"/>
  <c r="J123" i="26"/>
  <c r="K122" i="26"/>
  <c r="C123" i="26"/>
  <c r="K123" i="26"/>
  <c r="E107" i="29"/>
  <c r="B108" i="29"/>
  <c r="B125" i="26"/>
  <c r="G125" i="26"/>
  <c r="I124" i="26"/>
  <c r="J124" i="26"/>
  <c r="C124" i="26"/>
  <c r="L104" i="19"/>
  <c r="E108" i="29"/>
  <c r="B109" i="29"/>
  <c r="B126" i="26"/>
  <c r="G126" i="26"/>
  <c r="I125" i="26"/>
  <c r="J125" i="26"/>
  <c r="K124" i="26"/>
  <c r="C125" i="26"/>
  <c r="K125" i="26"/>
  <c r="L105" i="19"/>
  <c r="E109" i="29"/>
  <c r="B110" i="29"/>
  <c r="B127" i="26"/>
  <c r="G127" i="26"/>
  <c r="I126" i="26"/>
  <c r="J126" i="26"/>
  <c r="C126" i="26"/>
  <c r="L107" i="19"/>
  <c r="L106" i="19"/>
  <c r="E110" i="29"/>
  <c r="B111" i="29"/>
  <c r="B128" i="26"/>
  <c r="G128" i="26"/>
  <c r="I127" i="26"/>
  <c r="J127" i="26"/>
  <c r="K126" i="26"/>
  <c r="C127" i="26"/>
  <c r="K127" i="26"/>
  <c r="E111" i="29"/>
  <c r="B112" i="29"/>
  <c r="B129" i="26"/>
  <c r="G129" i="26"/>
  <c r="I128" i="26"/>
  <c r="J128" i="26"/>
  <c r="C128" i="26"/>
  <c r="K128" i="26"/>
  <c r="L108" i="19"/>
  <c r="E112" i="29"/>
  <c r="B113" i="29"/>
  <c r="B130" i="26"/>
  <c r="G130" i="26"/>
  <c r="I129" i="26"/>
  <c r="J129" i="26"/>
  <c r="C129" i="26"/>
  <c r="L109" i="19"/>
  <c r="E113" i="29"/>
  <c r="B114" i="29"/>
  <c r="B131" i="26"/>
  <c r="G131" i="26"/>
  <c r="I130" i="26"/>
  <c r="J130" i="26"/>
  <c r="K129" i="26"/>
  <c r="C130" i="26"/>
  <c r="K130" i="26"/>
  <c r="L111" i="19"/>
  <c r="L110" i="19"/>
  <c r="E114" i="29"/>
  <c r="B115" i="29"/>
  <c r="B132" i="26"/>
  <c r="G132" i="26"/>
  <c r="I131" i="26"/>
  <c r="J131" i="26"/>
  <c r="C131" i="26"/>
  <c r="E115" i="29"/>
  <c r="B116" i="29"/>
  <c r="B133" i="26"/>
  <c r="G133" i="26"/>
  <c r="I132" i="26"/>
  <c r="J132" i="26"/>
  <c r="K131" i="26"/>
  <c r="C132" i="26"/>
  <c r="K132" i="26"/>
  <c r="L112" i="19"/>
  <c r="E116" i="29"/>
  <c r="B117" i="29"/>
  <c r="B134" i="26"/>
  <c r="G134" i="26"/>
  <c r="I133" i="26"/>
  <c r="J133" i="26"/>
  <c r="C133" i="26"/>
  <c r="K133" i="26"/>
  <c r="L113" i="19"/>
  <c r="E117" i="29"/>
  <c r="B118" i="29"/>
  <c r="B135" i="26"/>
  <c r="G135" i="26"/>
  <c r="I134" i="26"/>
  <c r="J134" i="26"/>
  <c r="C134" i="26"/>
  <c r="L114" i="19"/>
  <c r="E118" i="29"/>
  <c r="B119" i="29"/>
  <c r="L115" i="19"/>
  <c r="B136" i="26"/>
  <c r="G136" i="26"/>
  <c r="I135" i="26"/>
  <c r="J135" i="26"/>
  <c r="K134" i="26"/>
  <c r="C135" i="26"/>
  <c r="K135" i="26"/>
  <c r="E119" i="29"/>
  <c r="B120" i="29"/>
  <c r="B137" i="26"/>
  <c r="G137" i="26"/>
  <c r="I136" i="26"/>
  <c r="J136" i="26"/>
  <c r="C136" i="26"/>
  <c r="L116" i="19"/>
  <c r="E120" i="29"/>
  <c r="B121" i="29"/>
  <c r="B138" i="26"/>
  <c r="G138" i="26"/>
  <c r="I137" i="26"/>
  <c r="J137" i="26"/>
  <c r="K136" i="26"/>
  <c r="C137" i="26"/>
  <c r="K137" i="26"/>
  <c r="L117" i="19"/>
  <c r="E121" i="29"/>
  <c r="B122" i="29"/>
  <c r="B139" i="26"/>
  <c r="G139" i="26"/>
  <c r="I138" i="26"/>
  <c r="J138" i="26"/>
  <c r="C138" i="26"/>
  <c r="L118" i="19"/>
  <c r="E122" i="29"/>
  <c r="B123" i="29"/>
  <c r="L119" i="19"/>
  <c r="B140" i="26"/>
  <c r="G140" i="26"/>
  <c r="I139" i="26"/>
  <c r="J139" i="26"/>
  <c r="K138" i="26"/>
  <c r="C139" i="26"/>
  <c r="K139" i="26"/>
  <c r="E123" i="29"/>
  <c r="B124" i="29"/>
  <c r="B141" i="26"/>
  <c r="G141" i="26"/>
  <c r="I140" i="26"/>
  <c r="J140" i="26"/>
  <c r="C140" i="26"/>
  <c r="L120" i="19"/>
  <c r="E124" i="29"/>
  <c r="B125" i="29"/>
  <c r="B142" i="26"/>
  <c r="G142" i="26"/>
  <c r="I141" i="26"/>
  <c r="J141" i="26"/>
  <c r="K140" i="26"/>
  <c r="C141" i="26"/>
  <c r="K141" i="26"/>
  <c r="L121" i="19"/>
  <c r="E125" i="29"/>
  <c r="B126" i="29"/>
  <c r="B143" i="26"/>
  <c r="G143" i="26"/>
  <c r="I142" i="26"/>
  <c r="J142" i="26"/>
  <c r="C142" i="26"/>
  <c r="L122" i="19"/>
  <c r="E126" i="29"/>
  <c r="B127" i="29"/>
  <c r="L123" i="19"/>
  <c r="B144" i="26"/>
  <c r="G144" i="26"/>
  <c r="I143" i="26"/>
  <c r="J143" i="26"/>
  <c r="K142" i="26"/>
  <c r="C143" i="26"/>
  <c r="K143" i="26"/>
  <c r="E127" i="29"/>
  <c r="B128" i="29"/>
  <c r="B145" i="26"/>
  <c r="G145" i="26"/>
  <c r="I144" i="26"/>
  <c r="J144" i="26"/>
  <c r="C144" i="26"/>
  <c r="L124" i="19"/>
  <c r="E128" i="29"/>
  <c r="B129" i="29"/>
  <c r="B146" i="26"/>
  <c r="G146" i="26"/>
  <c r="I145" i="26"/>
  <c r="J145" i="26"/>
  <c r="K144" i="26"/>
  <c r="C145" i="26"/>
  <c r="K145" i="26"/>
  <c r="L125" i="19"/>
  <c r="E129" i="29"/>
  <c r="B130" i="29"/>
  <c r="B147" i="26"/>
  <c r="G147" i="26"/>
  <c r="I146" i="26"/>
  <c r="J146" i="26"/>
  <c r="C146" i="26"/>
  <c r="L126" i="19"/>
  <c r="E130" i="29"/>
  <c r="B131" i="29"/>
  <c r="L127" i="19"/>
  <c r="B148" i="26"/>
  <c r="G148" i="26"/>
  <c r="I147" i="26"/>
  <c r="J147" i="26"/>
  <c r="K146" i="26"/>
  <c r="C147" i="26"/>
  <c r="K147" i="26"/>
  <c r="E131" i="29"/>
  <c r="B132" i="29"/>
  <c r="B149" i="26"/>
  <c r="G149" i="26"/>
  <c r="I148" i="26"/>
  <c r="J148" i="26"/>
  <c r="C148" i="26"/>
  <c r="L128" i="19"/>
  <c r="E132" i="29"/>
  <c r="B133" i="29"/>
  <c r="B150" i="26"/>
  <c r="G150" i="26"/>
  <c r="I149" i="26"/>
  <c r="J149" i="26"/>
  <c r="K148" i="26"/>
  <c r="C149" i="26"/>
  <c r="K149" i="26"/>
  <c r="L129" i="19"/>
  <c r="E133" i="29"/>
  <c r="B134" i="29"/>
  <c r="B151" i="26"/>
  <c r="G151" i="26"/>
  <c r="I150" i="26"/>
  <c r="J150" i="26"/>
  <c r="C150" i="26"/>
  <c r="L130" i="19"/>
  <c r="L131" i="19"/>
  <c r="E134" i="29"/>
  <c r="B135" i="29"/>
  <c r="B152" i="26"/>
  <c r="G152" i="26"/>
  <c r="I151" i="26"/>
  <c r="J151" i="26"/>
  <c r="K150" i="26"/>
  <c r="C151" i="26"/>
  <c r="K151" i="26"/>
  <c r="E135" i="29"/>
  <c r="B136" i="29"/>
  <c r="B153" i="26"/>
  <c r="G153" i="26"/>
  <c r="I152" i="26"/>
  <c r="J152" i="26"/>
  <c r="C152" i="26"/>
  <c r="L132" i="19"/>
  <c r="E136" i="29"/>
  <c r="B137" i="29"/>
  <c r="B154" i="26"/>
  <c r="G154" i="26"/>
  <c r="I153" i="26"/>
  <c r="J153" i="26"/>
  <c r="K152" i="26"/>
  <c r="C153" i="26"/>
  <c r="K153" i="26"/>
  <c r="L133" i="19"/>
  <c r="E137" i="29"/>
  <c r="B138" i="29"/>
  <c r="B155" i="26"/>
  <c r="G155" i="26"/>
  <c r="I154" i="26"/>
  <c r="J154" i="26"/>
  <c r="C154" i="26"/>
  <c r="L135" i="19"/>
  <c r="L134" i="19"/>
  <c r="E138" i="29"/>
  <c r="B139" i="29"/>
  <c r="B156" i="26"/>
  <c r="G156" i="26"/>
  <c r="I155" i="26"/>
  <c r="J155" i="26"/>
  <c r="K154" i="26"/>
  <c r="C155" i="26"/>
  <c r="K155" i="26"/>
  <c r="E139" i="29"/>
  <c r="B140" i="29"/>
  <c r="B157" i="26"/>
  <c r="G157" i="26"/>
  <c r="I156" i="26"/>
  <c r="J156" i="26"/>
  <c r="C156" i="26"/>
  <c r="L136" i="19"/>
  <c r="E140" i="29"/>
  <c r="B141" i="29"/>
  <c r="B158" i="26"/>
  <c r="G158" i="26"/>
  <c r="I157" i="26"/>
  <c r="J157" i="26"/>
  <c r="K156" i="26"/>
  <c r="C157" i="26"/>
  <c r="K157" i="26"/>
  <c r="L137" i="19"/>
  <c r="E141" i="29"/>
  <c r="B142" i="29"/>
  <c r="B159" i="26"/>
  <c r="G159" i="26"/>
  <c r="I158" i="26"/>
  <c r="J158" i="26"/>
  <c r="C158" i="26"/>
  <c r="L139" i="19"/>
  <c r="L138" i="19"/>
  <c r="E142" i="29"/>
  <c r="B143" i="29"/>
  <c r="B160" i="26"/>
  <c r="G160" i="26"/>
  <c r="I159" i="26"/>
  <c r="J159" i="26"/>
  <c r="K158" i="26"/>
  <c r="C159" i="26"/>
  <c r="K159" i="26"/>
  <c r="E143" i="29"/>
  <c r="B144" i="29"/>
  <c r="B161" i="26"/>
  <c r="G161" i="26"/>
  <c r="I160" i="26"/>
  <c r="J160" i="26"/>
  <c r="C160" i="26"/>
  <c r="L140" i="19"/>
  <c r="E144" i="29"/>
  <c r="B145" i="29"/>
  <c r="B162" i="26"/>
  <c r="G162" i="26"/>
  <c r="I161" i="26"/>
  <c r="J161" i="26"/>
  <c r="K160" i="26"/>
  <c r="C161" i="26"/>
  <c r="K161" i="26"/>
  <c r="L142" i="19"/>
  <c r="L141" i="19"/>
  <c r="E145" i="29"/>
  <c r="B146" i="29"/>
  <c r="B163" i="26"/>
  <c r="G163" i="26"/>
  <c r="I162" i="26"/>
  <c r="J162" i="26"/>
  <c r="C162" i="26"/>
  <c r="E146" i="29"/>
  <c r="B147" i="29"/>
  <c r="B164" i="26"/>
  <c r="G164" i="26"/>
  <c r="I163" i="26"/>
  <c r="J163" i="26"/>
  <c r="K162" i="26"/>
  <c r="C163" i="26"/>
  <c r="K163" i="26"/>
  <c r="L143" i="19"/>
  <c r="E147" i="29"/>
  <c r="B148" i="29"/>
  <c r="L144" i="19"/>
  <c r="B165" i="26"/>
  <c r="G165" i="26"/>
  <c r="I164" i="26"/>
  <c r="J164" i="26"/>
  <c r="C164" i="26"/>
  <c r="K164" i="26"/>
  <c r="L145" i="19"/>
  <c r="E148" i="29"/>
  <c r="B149" i="29"/>
  <c r="B166" i="26"/>
  <c r="G166" i="26"/>
  <c r="I165" i="26"/>
  <c r="J165" i="26"/>
  <c r="C165" i="26"/>
  <c r="L146" i="19"/>
  <c r="E149" i="29"/>
  <c r="B150" i="29"/>
  <c r="B167" i="26"/>
  <c r="G167" i="26"/>
  <c r="I166" i="26"/>
  <c r="J166" i="26"/>
  <c r="K165" i="26"/>
  <c r="C166" i="26"/>
  <c r="K166" i="26"/>
  <c r="E150" i="29"/>
  <c r="B151" i="29"/>
  <c r="B168" i="26"/>
  <c r="G168" i="26"/>
  <c r="I167" i="26"/>
  <c r="J167" i="26"/>
  <c r="C167" i="26"/>
  <c r="L147" i="19"/>
  <c r="E151" i="29"/>
  <c r="B152" i="29"/>
  <c r="L148" i="19"/>
  <c r="B169" i="26"/>
  <c r="G169" i="26"/>
  <c r="I168" i="26"/>
  <c r="J168" i="26"/>
  <c r="K167" i="26"/>
  <c r="C168" i="26"/>
  <c r="K168" i="26"/>
  <c r="E152" i="29"/>
  <c r="B153" i="29"/>
  <c r="B170" i="26"/>
  <c r="G170" i="26"/>
  <c r="I169" i="26"/>
  <c r="J169" i="26"/>
  <c r="C169" i="26"/>
  <c r="L149" i="19"/>
  <c r="E153" i="29"/>
  <c r="B154" i="29"/>
  <c r="L150" i="19"/>
  <c r="B171" i="26"/>
  <c r="G171" i="26"/>
  <c r="I170" i="26"/>
  <c r="J170" i="26"/>
  <c r="K169" i="26"/>
  <c r="C170" i="26"/>
  <c r="K170" i="26"/>
  <c r="E154" i="29"/>
  <c r="B155" i="29"/>
  <c r="B172" i="26"/>
  <c r="G172" i="26"/>
  <c r="I171" i="26"/>
  <c r="J171" i="26"/>
  <c r="C171" i="26"/>
  <c r="L151" i="19"/>
  <c r="E155" i="29"/>
  <c r="B156" i="29"/>
  <c r="L152" i="19"/>
  <c r="B173" i="26"/>
  <c r="G173" i="26"/>
  <c r="I172" i="26"/>
  <c r="J172" i="26"/>
  <c r="K171" i="26"/>
  <c r="C172" i="26"/>
  <c r="K172" i="26"/>
  <c r="L153" i="19"/>
  <c r="E156" i="29"/>
  <c r="B157" i="29"/>
  <c r="B174" i="26"/>
  <c r="G174" i="26"/>
  <c r="I173" i="26"/>
  <c r="J173" i="26"/>
  <c r="C173" i="26"/>
  <c r="L154" i="19"/>
  <c r="E157" i="29"/>
  <c r="B158" i="29"/>
  <c r="B175" i="26"/>
  <c r="G175" i="26"/>
  <c r="I174" i="26"/>
  <c r="J174" i="26"/>
  <c r="K173" i="26"/>
  <c r="C174" i="26"/>
  <c r="K174" i="26"/>
  <c r="E158" i="29"/>
  <c r="B159" i="29"/>
  <c r="B176" i="26"/>
  <c r="G176" i="26"/>
  <c r="I175" i="26"/>
  <c r="J175" i="26"/>
  <c r="C175" i="26"/>
  <c r="G4" i="19"/>
  <c r="L155" i="19"/>
  <c r="E159" i="29"/>
  <c r="B160" i="29"/>
  <c r="B177" i="26"/>
  <c r="G177" i="26"/>
  <c r="I176" i="26"/>
  <c r="J176" i="26"/>
  <c r="K175" i="26"/>
  <c r="C176" i="26"/>
  <c r="K176" i="26"/>
  <c r="L156" i="19"/>
  <c r="E160" i="29"/>
  <c r="B161" i="29"/>
  <c r="B178" i="26"/>
  <c r="G178" i="26"/>
  <c r="I177" i="26"/>
  <c r="J177" i="26"/>
  <c r="C177" i="26"/>
  <c r="E161" i="29"/>
  <c r="B162" i="29"/>
  <c r="B179" i="26"/>
  <c r="G179" i="26"/>
  <c r="K177" i="26"/>
  <c r="C178" i="26"/>
  <c r="K178" i="26"/>
  <c r="E162" i="29"/>
  <c r="B163" i="29"/>
  <c r="B180" i="26"/>
  <c r="G180" i="26"/>
  <c r="I179" i="26"/>
  <c r="J179" i="26"/>
  <c r="C179" i="26"/>
  <c r="I178" i="26"/>
  <c r="E163" i="29"/>
  <c r="B164" i="29"/>
  <c r="B181" i="26"/>
  <c r="G181" i="26"/>
  <c r="K179" i="26"/>
  <c r="C180" i="26"/>
  <c r="K180" i="26"/>
  <c r="J178" i="26"/>
  <c r="E164" i="29"/>
  <c r="B165" i="29"/>
  <c r="B182" i="26"/>
  <c r="G182" i="26"/>
  <c r="I181" i="26"/>
  <c r="J181" i="26"/>
  <c r="C181" i="26"/>
  <c r="I180" i="26"/>
  <c r="E165" i="29"/>
  <c r="B166" i="29"/>
  <c r="B183" i="26"/>
  <c r="G183" i="26"/>
  <c r="K181" i="26"/>
  <c r="C182" i="26"/>
  <c r="K182" i="26"/>
  <c r="J180" i="26"/>
  <c r="E166" i="29"/>
  <c r="B167" i="29"/>
  <c r="B184" i="26"/>
  <c r="G184" i="26"/>
  <c r="I183" i="26"/>
  <c r="J183" i="26"/>
  <c r="C183" i="26"/>
  <c r="I182" i="26"/>
  <c r="E167" i="29"/>
  <c r="B168" i="29"/>
  <c r="B185" i="26"/>
  <c r="G185" i="26"/>
  <c r="K183" i="26"/>
  <c r="C184" i="26"/>
  <c r="K184" i="26"/>
  <c r="J182" i="26"/>
  <c r="E168" i="29"/>
  <c r="B169" i="29"/>
  <c r="B186" i="26"/>
  <c r="G186" i="26"/>
  <c r="I185" i="26"/>
  <c r="J185" i="26"/>
  <c r="C185" i="26"/>
  <c r="I184" i="26"/>
  <c r="E169" i="29"/>
  <c r="B170" i="29"/>
  <c r="B187" i="26"/>
  <c r="G187" i="26"/>
  <c r="K185" i="26"/>
  <c r="C186" i="26"/>
  <c r="K186" i="26"/>
  <c r="J184" i="26"/>
  <c r="E170" i="29"/>
  <c r="B171" i="29"/>
  <c r="B188" i="26"/>
  <c r="G188" i="26"/>
  <c r="I187" i="26"/>
  <c r="J187" i="26"/>
  <c r="C187" i="26"/>
  <c r="I186" i="26"/>
  <c r="E171" i="29"/>
  <c r="B172" i="29"/>
  <c r="B189" i="26"/>
  <c r="G189" i="26"/>
  <c r="I188" i="26"/>
  <c r="J188" i="26"/>
  <c r="K187" i="26"/>
  <c r="C188" i="26"/>
  <c r="K188" i="26"/>
  <c r="J186" i="26"/>
  <c r="E172" i="29"/>
  <c r="B173" i="29"/>
  <c r="B190" i="26"/>
  <c r="G190" i="26"/>
  <c r="I189" i="26"/>
  <c r="J189" i="26"/>
  <c r="C189" i="26"/>
  <c r="E173" i="29"/>
  <c r="B174" i="29"/>
  <c r="B191" i="26"/>
  <c r="G191" i="26"/>
  <c r="I190" i="26"/>
  <c r="J190" i="26"/>
  <c r="K189" i="26"/>
  <c r="C190" i="26"/>
  <c r="K190" i="26"/>
  <c r="E174" i="29"/>
  <c r="B175" i="29"/>
  <c r="B192" i="26"/>
  <c r="G192" i="26"/>
  <c r="I191" i="26"/>
  <c r="J191" i="26"/>
  <c r="C191" i="26"/>
  <c r="E175" i="29"/>
  <c r="B176" i="29"/>
  <c r="B193" i="26"/>
  <c r="G193" i="26"/>
  <c r="I192" i="26"/>
  <c r="J192" i="26"/>
  <c r="K191" i="26"/>
  <c r="C192" i="26"/>
  <c r="K192" i="26"/>
  <c r="E176" i="29"/>
  <c r="B177" i="29"/>
  <c r="B194" i="26"/>
  <c r="G194" i="26"/>
  <c r="I193" i="26"/>
  <c r="J193" i="26"/>
  <c r="C193" i="26"/>
  <c r="E177" i="29"/>
  <c r="B178" i="29"/>
  <c r="B195" i="26"/>
  <c r="G195" i="26"/>
  <c r="I194" i="26"/>
  <c r="J194" i="26"/>
  <c r="K193" i="26"/>
  <c r="C194" i="26"/>
  <c r="K194" i="26"/>
  <c r="E178" i="29"/>
  <c r="B179" i="29"/>
  <c r="B196" i="26"/>
  <c r="G196" i="26"/>
  <c r="I195" i="26"/>
  <c r="J195" i="26"/>
  <c r="C195" i="26"/>
  <c r="E179" i="29"/>
  <c r="B180" i="29"/>
  <c r="B197" i="26"/>
  <c r="G197" i="26"/>
  <c r="I196" i="26"/>
  <c r="J196" i="26"/>
  <c r="K195" i="26"/>
  <c r="C196" i="26"/>
  <c r="K196" i="26"/>
  <c r="E180" i="29"/>
  <c r="B181" i="29"/>
  <c r="B198" i="26"/>
  <c r="G198" i="26"/>
  <c r="I197" i="26"/>
  <c r="J197" i="26"/>
  <c r="C197" i="26"/>
  <c r="E181" i="29"/>
  <c r="B182" i="29"/>
  <c r="B199" i="26"/>
  <c r="G199" i="26"/>
  <c r="I198" i="26"/>
  <c r="J198" i="26"/>
  <c r="K197" i="26"/>
  <c r="C198" i="26"/>
  <c r="K198" i="26"/>
  <c r="E182" i="29"/>
  <c r="B183" i="29"/>
  <c r="B200" i="26"/>
  <c r="G200" i="26"/>
  <c r="I199" i="26"/>
  <c r="J199" i="26"/>
  <c r="C199" i="26"/>
  <c r="E183" i="29"/>
  <c r="B184" i="29"/>
  <c r="B201" i="26"/>
  <c r="G201" i="26"/>
  <c r="I200" i="26"/>
  <c r="J200" i="26"/>
  <c r="K199" i="26"/>
  <c r="C200" i="26"/>
  <c r="K200" i="26"/>
  <c r="E184" i="29"/>
  <c r="B185" i="29"/>
  <c r="B202" i="26"/>
  <c r="G202" i="26"/>
  <c r="I201" i="26"/>
  <c r="J201" i="26"/>
  <c r="C201" i="26"/>
  <c r="E185" i="29"/>
  <c r="B186" i="29"/>
  <c r="B203" i="26"/>
  <c r="G203" i="26"/>
  <c r="I202" i="26"/>
  <c r="J202" i="26"/>
  <c r="K201" i="26"/>
  <c r="C202" i="26"/>
  <c r="K202" i="26"/>
  <c r="E186" i="29"/>
  <c r="B187" i="29"/>
  <c r="B204" i="26"/>
  <c r="G204" i="26"/>
  <c r="I203" i="26"/>
  <c r="J203" i="26"/>
  <c r="C203" i="26"/>
  <c r="E187" i="29"/>
  <c r="B188" i="29"/>
  <c r="B205" i="26"/>
  <c r="G205" i="26"/>
  <c r="I204" i="26"/>
  <c r="J204" i="26"/>
  <c r="K203" i="26"/>
  <c r="C204" i="26"/>
  <c r="K204" i="26"/>
  <c r="E188" i="29"/>
  <c r="B189" i="29"/>
  <c r="B206" i="26"/>
  <c r="G206" i="26"/>
  <c r="I205" i="26"/>
  <c r="J205" i="26"/>
  <c r="C205" i="26"/>
  <c r="E189" i="29"/>
  <c r="B190" i="29"/>
  <c r="B207" i="26"/>
  <c r="G207" i="26"/>
  <c r="I206" i="26"/>
  <c r="J206" i="26"/>
  <c r="K205" i="26"/>
  <c r="C206" i="26"/>
  <c r="K206" i="26"/>
  <c r="E190" i="29"/>
  <c r="B191" i="29"/>
  <c r="B208" i="26"/>
  <c r="G208" i="26"/>
  <c r="I207" i="26"/>
  <c r="J207" i="26"/>
  <c r="C207" i="26"/>
  <c r="E191" i="29"/>
  <c r="B192" i="29"/>
  <c r="B209" i="26"/>
  <c r="G209" i="26"/>
  <c r="I208" i="26"/>
  <c r="J208" i="26"/>
  <c r="K207" i="26"/>
  <c r="C208" i="26"/>
  <c r="K208" i="26"/>
  <c r="E192" i="29"/>
  <c r="B193" i="29"/>
  <c r="B210" i="26"/>
  <c r="G210" i="26"/>
  <c r="I209" i="26"/>
  <c r="J209" i="26"/>
  <c r="C209" i="26"/>
  <c r="E193" i="29"/>
  <c r="B194" i="29"/>
  <c r="B211" i="26"/>
  <c r="G211" i="26"/>
  <c r="I210" i="26"/>
  <c r="J210" i="26"/>
  <c r="K209" i="26"/>
  <c r="C210" i="26"/>
  <c r="K210" i="26"/>
  <c r="E194" i="29"/>
  <c r="B195" i="29"/>
  <c r="B212" i="26"/>
  <c r="G212" i="26"/>
  <c r="I211" i="26"/>
  <c r="J211" i="26"/>
  <c r="C211" i="26"/>
  <c r="E195" i="29"/>
  <c r="B196" i="29"/>
  <c r="B213" i="26"/>
  <c r="G213" i="26"/>
  <c r="I212" i="26"/>
  <c r="J212" i="26"/>
  <c r="K211" i="26"/>
  <c r="C212" i="26"/>
  <c r="K212" i="26"/>
  <c r="E196" i="29"/>
  <c r="B197" i="29"/>
  <c r="B214" i="26"/>
  <c r="G214" i="26"/>
  <c r="I213" i="26"/>
  <c r="J213" i="26"/>
  <c r="C213" i="26"/>
  <c r="E197" i="29"/>
  <c r="B198" i="29"/>
  <c r="B215" i="26"/>
  <c r="G215" i="26"/>
  <c r="I214" i="26"/>
  <c r="J214" i="26"/>
  <c r="K213" i="26"/>
  <c r="C214" i="26"/>
  <c r="K214" i="26"/>
  <c r="E198" i="29"/>
  <c r="B199" i="29"/>
  <c r="B216" i="26"/>
  <c r="G216" i="26"/>
  <c r="I215" i="26"/>
  <c r="J215" i="26"/>
  <c r="C215" i="26"/>
  <c r="E199" i="29"/>
  <c r="B200" i="29"/>
  <c r="B217" i="26"/>
  <c r="G217" i="26"/>
  <c r="I216" i="26"/>
  <c r="J216" i="26"/>
  <c r="K215" i="26"/>
  <c r="C216" i="26"/>
  <c r="K216" i="26"/>
  <c r="E200" i="29"/>
  <c r="B201" i="29"/>
  <c r="B218" i="26"/>
  <c r="G218" i="26"/>
  <c r="I217" i="26"/>
  <c r="J217" i="26"/>
  <c r="C217" i="26"/>
  <c r="E201" i="29"/>
  <c r="B202" i="29"/>
  <c r="B219" i="26"/>
  <c r="G219" i="26"/>
  <c r="I218" i="26"/>
  <c r="J218" i="26"/>
  <c r="K217" i="26"/>
  <c r="C218" i="26"/>
  <c r="K218" i="26"/>
  <c r="E202" i="29"/>
  <c r="B203" i="29"/>
  <c r="B220" i="26"/>
  <c r="G220" i="26"/>
  <c r="I219" i="26"/>
  <c r="J219" i="26"/>
  <c r="C219" i="26"/>
  <c r="E203" i="29"/>
  <c r="B204" i="29"/>
  <c r="B221" i="26"/>
  <c r="G221" i="26"/>
  <c r="I220" i="26"/>
  <c r="J220" i="26"/>
  <c r="K219" i="26"/>
  <c r="C220" i="26"/>
  <c r="K220" i="26"/>
  <c r="E204" i="29"/>
  <c r="B205" i="29"/>
  <c r="B222" i="26"/>
  <c r="G222" i="26"/>
  <c r="I221" i="26"/>
  <c r="J221" i="26"/>
  <c r="C221" i="26"/>
  <c r="E205" i="29"/>
  <c r="B206" i="29"/>
  <c r="B223" i="26"/>
  <c r="G223" i="26"/>
  <c r="I222" i="26"/>
  <c r="J222" i="26"/>
  <c r="K221" i="26"/>
  <c r="C222" i="26"/>
  <c r="K222" i="26"/>
  <c r="E206" i="29"/>
  <c r="B207" i="29"/>
  <c r="B224" i="26"/>
  <c r="G224" i="26"/>
  <c r="I223" i="26"/>
  <c r="J223" i="26"/>
  <c r="C223" i="26"/>
  <c r="E207" i="29"/>
  <c r="B208" i="29"/>
  <c r="B225" i="26"/>
  <c r="G225" i="26"/>
  <c r="I224" i="26"/>
  <c r="J224" i="26"/>
  <c r="K223" i="26"/>
  <c r="C224" i="26"/>
  <c r="K224" i="26"/>
  <c r="E208" i="29"/>
  <c r="B209" i="29"/>
  <c r="B226" i="26"/>
  <c r="G226" i="26"/>
  <c r="I225" i="26"/>
  <c r="J225" i="26"/>
  <c r="C225" i="26"/>
  <c r="E209" i="29"/>
  <c r="B210" i="29"/>
  <c r="B227" i="26"/>
  <c r="G227" i="26"/>
  <c r="I226" i="26"/>
  <c r="J226" i="26"/>
  <c r="K225" i="26"/>
  <c r="C226" i="26"/>
  <c r="K226" i="26"/>
  <c r="E210" i="29"/>
  <c r="B211" i="29"/>
  <c r="B228" i="26"/>
  <c r="G228" i="26"/>
  <c r="I227" i="26"/>
  <c r="J227" i="26"/>
  <c r="C227" i="26"/>
  <c r="E211" i="29"/>
  <c r="B212" i="29"/>
  <c r="B229" i="26"/>
  <c r="G229" i="26"/>
  <c r="I228" i="26"/>
  <c r="J228" i="26"/>
  <c r="K227" i="26"/>
  <c r="C228" i="26"/>
  <c r="K228" i="26"/>
  <c r="E212" i="29"/>
  <c r="B213" i="29"/>
  <c r="B230" i="26"/>
  <c r="G230" i="26"/>
  <c r="I229" i="26"/>
  <c r="J229" i="26"/>
  <c r="C229" i="26"/>
  <c r="E213" i="29"/>
  <c r="B214" i="29"/>
  <c r="B231" i="26"/>
  <c r="G231" i="26"/>
  <c r="I230" i="26"/>
  <c r="J230" i="26"/>
  <c r="K229" i="26"/>
  <c r="C230" i="26"/>
  <c r="K230" i="26"/>
  <c r="E214" i="29"/>
  <c r="B215" i="29"/>
  <c r="B232" i="26"/>
  <c r="G232" i="26"/>
  <c r="I231" i="26"/>
  <c r="J231" i="26"/>
  <c r="C231" i="26"/>
  <c r="E215" i="29"/>
  <c r="B216" i="29"/>
  <c r="B233" i="26"/>
  <c r="G233" i="26"/>
  <c r="I232" i="26"/>
  <c r="J232" i="26"/>
  <c r="K231" i="26"/>
  <c r="C232" i="26"/>
  <c r="K232" i="26"/>
  <c r="E216" i="29"/>
  <c r="B217" i="29"/>
  <c r="B234" i="26"/>
  <c r="G234" i="26"/>
  <c r="I233" i="26"/>
  <c r="J233" i="26"/>
  <c r="C233" i="26"/>
  <c r="E217" i="29"/>
  <c r="B218" i="29"/>
  <c r="B235" i="26"/>
  <c r="G235" i="26"/>
  <c r="I234" i="26"/>
  <c r="J234" i="26"/>
  <c r="K233" i="26"/>
  <c r="C234" i="26"/>
  <c r="K234" i="26"/>
  <c r="E218" i="29"/>
  <c r="B219" i="29"/>
  <c r="B236" i="26"/>
  <c r="G236" i="26"/>
  <c r="I235" i="26"/>
  <c r="J235" i="26"/>
  <c r="C235" i="26"/>
  <c r="E219" i="29"/>
  <c r="B220" i="29"/>
  <c r="B237" i="26"/>
  <c r="G237" i="26"/>
  <c r="I236" i="26"/>
  <c r="J236" i="26"/>
  <c r="K235" i="26"/>
  <c r="C236" i="26"/>
  <c r="K236" i="26"/>
  <c r="E220" i="29"/>
  <c r="B221" i="29"/>
  <c r="B238" i="26"/>
  <c r="G238" i="26"/>
  <c r="I237" i="26"/>
  <c r="J237" i="26"/>
  <c r="C237" i="26"/>
  <c r="E221" i="29"/>
  <c r="B222" i="29"/>
  <c r="B239" i="26"/>
  <c r="G239" i="26"/>
  <c r="I238" i="26"/>
  <c r="J238" i="26"/>
  <c r="K237" i="26"/>
  <c r="C238" i="26"/>
  <c r="K238" i="26"/>
  <c r="E222" i="29"/>
  <c r="B223" i="29"/>
  <c r="B240" i="26"/>
  <c r="G240" i="26"/>
  <c r="I239" i="26"/>
  <c r="J239" i="26"/>
  <c r="C239" i="26"/>
  <c r="E223" i="29"/>
  <c r="B224" i="29"/>
  <c r="B241" i="26"/>
  <c r="G241" i="26"/>
  <c r="I240" i="26"/>
  <c r="J240" i="26"/>
  <c r="K239" i="26"/>
  <c r="C240" i="26"/>
  <c r="K240" i="26"/>
  <c r="E224" i="29"/>
  <c r="B225" i="29"/>
  <c r="B242" i="26"/>
  <c r="G242" i="26"/>
  <c r="I241" i="26"/>
  <c r="J241" i="26"/>
  <c r="C241" i="26"/>
  <c r="E225" i="29"/>
  <c r="B226" i="29"/>
  <c r="B243" i="26"/>
  <c r="G243" i="26"/>
  <c r="I242" i="26"/>
  <c r="J242" i="26"/>
  <c r="K241" i="26"/>
  <c r="C242" i="26"/>
  <c r="K242" i="26"/>
  <c r="E226" i="29"/>
  <c r="B227" i="29"/>
  <c r="B244" i="26"/>
  <c r="G244" i="26"/>
  <c r="I243" i="26"/>
  <c r="J243" i="26"/>
  <c r="C243" i="26"/>
  <c r="E227" i="29"/>
  <c r="B228" i="29"/>
  <c r="B245" i="26"/>
  <c r="G245" i="26"/>
  <c r="I244" i="26"/>
  <c r="J244" i="26"/>
  <c r="K243" i="26"/>
  <c r="C244" i="26"/>
  <c r="K244" i="26"/>
  <c r="E228" i="29"/>
  <c r="B229" i="29"/>
  <c r="B246" i="26"/>
  <c r="G246" i="26"/>
  <c r="I245" i="26"/>
  <c r="J245" i="26"/>
  <c r="C245" i="26"/>
  <c r="E229" i="29"/>
  <c r="B230" i="29"/>
  <c r="B247" i="26"/>
  <c r="G247" i="26"/>
  <c r="I246" i="26"/>
  <c r="J246" i="26"/>
  <c r="K245" i="26"/>
  <c r="C246" i="26"/>
  <c r="K246" i="26"/>
  <c r="E230" i="29"/>
  <c r="B231" i="29"/>
  <c r="B248" i="26"/>
  <c r="G248" i="26"/>
  <c r="I247" i="26"/>
  <c r="J247" i="26"/>
  <c r="C247" i="26"/>
  <c r="E231" i="29"/>
  <c r="B232" i="29"/>
  <c r="B249" i="26"/>
  <c r="G249" i="26"/>
  <c r="I248" i="26"/>
  <c r="J248" i="26"/>
  <c r="K247" i="26"/>
  <c r="C248" i="26"/>
  <c r="K248" i="26"/>
  <c r="E232" i="29"/>
  <c r="B233" i="29"/>
  <c r="B250" i="26"/>
  <c r="G250" i="26"/>
  <c r="I249" i="26"/>
  <c r="J249" i="26"/>
  <c r="C249" i="26"/>
  <c r="E233" i="29"/>
  <c r="B234" i="29"/>
  <c r="B251" i="26"/>
  <c r="G251" i="26"/>
  <c r="I250" i="26"/>
  <c r="J250" i="26"/>
  <c r="K249" i="26"/>
  <c r="C250" i="26"/>
  <c r="K250" i="26"/>
  <c r="E234" i="29"/>
  <c r="B235" i="29"/>
  <c r="B252" i="26"/>
  <c r="G252" i="26"/>
  <c r="I251" i="26"/>
  <c r="J251" i="26"/>
  <c r="C251" i="26"/>
  <c r="E235" i="29"/>
  <c r="B236" i="29"/>
  <c r="B253" i="26"/>
  <c r="G253" i="26"/>
  <c r="I252" i="26"/>
  <c r="J252" i="26"/>
  <c r="K251" i="26"/>
  <c r="C252" i="26"/>
  <c r="K252" i="26"/>
  <c r="E236" i="29"/>
  <c r="B237" i="29"/>
  <c r="B254" i="26"/>
  <c r="G254" i="26"/>
  <c r="I253" i="26"/>
  <c r="J253" i="26"/>
  <c r="C253" i="26"/>
  <c r="E237" i="29"/>
  <c r="B238" i="29"/>
  <c r="B255" i="26"/>
  <c r="G255" i="26"/>
  <c r="I254" i="26"/>
  <c r="J254" i="26"/>
  <c r="K253" i="26"/>
  <c r="C254" i="26"/>
  <c r="K254" i="26"/>
  <c r="E238" i="29"/>
  <c r="B239" i="29"/>
  <c r="B256" i="26"/>
  <c r="G256" i="26"/>
  <c r="I255" i="26"/>
  <c r="J255" i="26"/>
  <c r="C255" i="26"/>
  <c r="E239" i="29"/>
  <c r="B240" i="29"/>
  <c r="B257" i="26"/>
  <c r="G257" i="26"/>
  <c r="I256" i="26"/>
  <c r="J256" i="26"/>
  <c r="K255" i="26"/>
  <c r="C256" i="26"/>
  <c r="K256" i="26"/>
  <c r="E240" i="29"/>
  <c r="B241" i="29"/>
  <c r="B258" i="26"/>
  <c r="G258" i="26"/>
  <c r="I257" i="26"/>
  <c r="J257" i="26"/>
  <c r="C257" i="26"/>
  <c r="E241" i="29"/>
  <c r="B242" i="29"/>
  <c r="B259" i="26"/>
  <c r="G259" i="26"/>
  <c r="I258" i="26"/>
  <c r="J258" i="26"/>
  <c r="K257" i="26"/>
  <c r="C258" i="26"/>
  <c r="K258" i="26"/>
  <c r="E242" i="29"/>
  <c r="B243" i="29"/>
  <c r="B260" i="26"/>
  <c r="G260" i="26"/>
  <c r="I259" i="26"/>
  <c r="J259" i="26"/>
  <c r="C259" i="26"/>
  <c r="E243" i="29"/>
  <c r="B244" i="29"/>
  <c r="B261" i="26"/>
  <c r="G261" i="26"/>
  <c r="I260" i="26"/>
  <c r="J260" i="26"/>
  <c r="K259" i="26"/>
  <c r="C260" i="26"/>
  <c r="K260" i="26"/>
  <c r="E244" i="29"/>
  <c r="B245" i="29"/>
  <c r="B262" i="26"/>
  <c r="G262" i="26"/>
  <c r="I261" i="26"/>
  <c r="J261" i="26"/>
  <c r="C261" i="26"/>
  <c r="E245" i="29"/>
  <c r="B246" i="29"/>
  <c r="B263" i="26"/>
  <c r="G263" i="26"/>
  <c r="I262" i="26"/>
  <c r="J262" i="26"/>
  <c r="K261" i="26"/>
  <c r="C262" i="26"/>
  <c r="K262" i="26"/>
  <c r="E246" i="29"/>
  <c r="B247" i="29"/>
  <c r="B264" i="26"/>
  <c r="G264" i="26"/>
  <c r="I263" i="26"/>
  <c r="J263" i="26"/>
  <c r="C263" i="26"/>
  <c r="E247" i="29"/>
  <c r="B248" i="29"/>
  <c r="B265" i="26"/>
  <c r="G265" i="26"/>
  <c r="I264" i="26"/>
  <c r="J264" i="26"/>
  <c r="K263" i="26"/>
  <c r="C264" i="26"/>
  <c r="K264" i="26"/>
  <c r="E248" i="29"/>
  <c r="B249" i="29"/>
  <c r="B266" i="26"/>
  <c r="G266" i="26"/>
  <c r="I265" i="26"/>
  <c r="J265" i="26"/>
  <c r="C265" i="26"/>
  <c r="E249" i="29"/>
  <c r="B250" i="29"/>
  <c r="B267" i="26"/>
  <c r="G267" i="26"/>
  <c r="I266" i="26"/>
  <c r="J266" i="26"/>
  <c r="K265" i="26"/>
  <c r="C266" i="26"/>
  <c r="K266" i="26"/>
  <c r="E250" i="29"/>
  <c r="B251" i="29"/>
  <c r="B268" i="26"/>
  <c r="G268" i="26"/>
  <c r="I267" i="26"/>
  <c r="J267" i="26"/>
  <c r="C267" i="26"/>
  <c r="E251" i="29"/>
  <c r="B252" i="29"/>
  <c r="B269" i="26"/>
  <c r="G269" i="26"/>
  <c r="I268" i="26"/>
  <c r="J268" i="26"/>
  <c r="K267" i="26"/>
  <c r="C268" i="26"/>
  <c r="K268" i="26"/>
  <c r="E252" i="29"/>
  <c r="B253" i="29"/>
  <c r="B270" i="26"/>
  <c r="G270" i="26"/>
  <c r="I269" i="26"/>
  <c r="J269" i="26"/>
  <c r="C269" i="26"/>
  <c r="K269" i="26"/>
  <c r="E253" i="29"/>
  <c r="B254" i="29"/>
  <c r="B271" i="26"/>
  <c r="G271" i="26"/>
  <c r="I270" i="26"/>
  <c r="J270" i="26"/>
  <c r="C270" i="26"/>
  <c r="E254" i="29"/>
  <c r="B255" i="29"/>
  <c r="B272" i="26"/>
  <c r="G272" i="26"/>
  <c r="I271" i="26"/>
  <c r="J271" i="26"/>
  <c r="K270" i="26"/>
  <c r="C271" i="26"/>
  <c r="K271" i="26"/>
  <c r="E255" i="29"/>
  <c r="B256" i="29"/>
  <c r="B273" i="26"/>
  <c r="G273" i="26"/>
  <c r="I272" i="26"/>
  <c r="J272" i="26"/>
  <c r="C272" i="26"/>
  <c r="E256" i="29"/>
  <c r="B257" i="29"/>
  <c r="B274" i="26"/>
  <c r="G274" i="26"/>
  <c r="I273" i="26"/>
  <c r="J273" i="26"/>
  <c r="K272" i="26"/>
  <c r="C273" i="26"/>
  <c r="K273" i="26"/>
  <c r="E257" i="29"/>
  <c r="B258" i="29"/>
  <c r="B275" i="26"/>
  <c r="G275" i="26"/>
  <c r="I274" i="26"/>
  <c r="J274" i="26"/>
  <c r="C274" i="26"/>
  <c r="E258" i="29"/>
  <c r="B259" i="29"/>
  <c r="B276" i="26"/>
  <c r="G276" i="26"/>
  <c r="I275" i="26"/>
  <c r="J275" i="26"/>
  <c r="K274" i="26"/>
  <c r="C275" i="26"/>
  <c r="K275" i="26"/>
  <c r="E259" i="29"/>
  <c r="B260" i="29"/>
  <c r="B277" i="26"/>
  <c r="G277" i="26"/>
  <c r="I276" i="26"/>
  <c r="J276" i="26"/>
  <c r="C276" i="26"/>
  <c r="E260" i="29"/>
  <c r="B261" i="29"/>
  <c r="B278" i="26"/>
  <c r="G278" i="26"/>
  <c r="I277" i="26"/>
  <c r="J277" i="26"/>
  <c r="K276" i="26"/>
  <c r="C277" i="26"/>
  <c r="K277" i="26"/>
  <c r="E261" i="29"/>
  <c r="B262" i="29"/>
  <c r="B279" i="26"/>
  <c r="G279" i="26"/>
  <c r="I278" i="26"/>
  <c r="J278" i="26"/>
  <c r="C278" i="26"/>
  <c r="E262" i="29"/>
  <c r="B263" i="29"/>
  <c r="B280" i="26"/>
  <c r="G280" i="26"/>
  <c r="I279" i="26"/>
  <c r="J279" i="26"/>
  <c r="K278" i="26"/>
  <c r="C279" i="26"/>
  <c r="K279" i="26"/>
  <c r="E263" i="29"/>
  <c r="B264" i="29"/>
  <c r="B281" i="26"/>
  <c r="G281" i="26"/>
  <c r="I280" i="26"/>
  <c r="J280" i="26"/>
  <c r="C280" i="26"/>
  <c r="E264" i="29"/>
  <c r="B265" i="29"/>
  <c r="B282" i="26"/>
  <c r="G282" i="26"/>
  <c r="I281" i="26"/>
  <c r="J281" i="26"/>
  <c r="K280" i="26"/>
  <c r="C281" i="26"/>
  <c r="K281" i="26"/>
  <c r="E265" i="29"/>
  <c r="B266" i="29"/>
  <c r="B283" i="26"/>
  <c r="G283" i="26"/>
  <c r="I282" i="26"/>
  <c r="J282" i="26"/>
  <c r="C282" i="26"/>
  <c r="K282" i="26"/>
  <c r="E266" i="29"/>
  <c r="B267" i="29"/>
  <c r="B284" i="26"/>
  <c r="G284" i="26"/>
  <c r="I283" i="26"/>
  <c r="J283" i="26"/>
  <c r="C283" i="26"/>
  <c r="K283" i="26"/>
  <c r="E267" i="29"/>
  <c r="B268" i="29"/>
  <c r="B285" i="26"/>
  <c r="G285" i="26"/>
  <c r="I284" i="26"/>
  <c r="J284" i="26"/>
  <c r="C284" i="26"/>
  <c r="K284" i="26"/>
  <c r="E268" i="29"/>
  <c r="B269" i="29"/>
  <c r="B286" i="26"/>
  <c r="G286" i="26"/>
  <c r="I285" i="26"/>
  <c r="J285" i="26"/>
  <c r="C285" i="26"/>
  <c r="K285" i="26"/>
  <c r="E269" i="29"/>
  <c r="B270" i="29"/>
  <c r="B287" i="26"/>
  <c r="G287" i="26"/>
  <c r="I286" i="26"/>
  <c r="J286" i="26"/>
  <c r="C286" i="26"/>
  <c r="E270" i="29"/>
  <c r="B271" i="29"/>
  <c r="I287" i="26"/>
  <c r="J287" i="26"/>
  <c r="B288" i="26"/>
  <c r="G288" i="26"/>
  <c r="K286" i="26"/>
  <c r="C287" i="26"/>
  <c r="K287" i="26"/>
  <c r="E271" i="29"/>
  <c r="B272" i="29"/>
  <c r="B289" i="26"/>
  <c r="G289" i="26"/>
  <c r="I288" i="26"/>
  <c r="J288" i="26"/>
  <c r="C288" i="26"/>
  <c r="E272" i="29"/>
  <c r="B273" i="29"/>
  <c r="I289" i="26"/>
  <c r="J289" i="26"/>
  <c r="B290" i="26"/>
  <c r="G290" i="26"/>
  <c r="K288" i="26"/>
  <c r="C289" i="26"/>
  <c r="K289" i="26"/>
  <c r="E273" i="29"/>
  <c r="B274" i="29"/>
  <c r="B291" i="26"/>
  <c r="G291" i="26"/>
  <c r="I290" i="26"/>
  <c r="J290" i="26"/>
  <c r="C290" i="26"/>
  <c r="E274" i="29"/>
  <c r="B275" i="29"/>
  <c r="I291" i="26"/>
  <c r="J291" i="26"/>
  <c r="B292" i="26"/>
  <c r="G292" i="26"/>
  <c r="K290" i="26"/>
  <c r="C291" i="26"/>
  <c r="K291" i="26"/>
  <c r="E275" i="29"/>
  <c r="B276" i="29"/>
  <c r="B293" i="26"/>
  <c r="G293" i="26"/>
  <c r="I292" i="26"/>
  <c r="J292" i="26"/>
  <c r="C292" i="26"/>
  <c r="E276" i="29"/>
  <c r="B277" i="29"/>
  <c r="I293" i="26"/>
  <c r="J293" i="26"/>
  <c r="B294" i="26"/>
  <c r="G294" i="26"/>
  <c r="K292" i="26"/>
  <c r="C293" i="26"/>
  <c r="K293" i="26"/>
  <c r="E277" i="29"/>
  <c r="B278" i="29"/>
  <c r="B295" i="26"/>
  <c r="G295" i="26"/>
  <c r="I294" i="26"/>
  <c r="J294" i="26"/>
  <c r="C294" i="26"/>
  <c r="E278" i="29"/>
  <c r="B279" i="29"/>
  <c r="I295" i="26"/>
  <c r="J295" i="26"/>
  <c r="B296" i="26"/>
  <c r="G296" i="26"/>
  <c r="K294" i="26"/>
  <c r="C295" i="26"/>
  <c r="K295" i="26"/>
  <c r="E279" i="29"/>
  <c r="B280" i="29"/>
  <c r="B297" i="26"/>
  <c r="G297" i="26"/>
  <c r="I296" i="26"/>
  <c r="J296" i="26"/>
  <c r="C296" i="26"/>
  <c r="K296" i="26"/>
  <c r="E280" i="29"/>
  <c r="B281" i="29"/>
  <c r="I297" i="26"/>
  <c r="J297" i="26"/>
  <c r="C297" i="26"/>
  <c r="B298" i="26"/>
  <c r="G298" i="26"/>
  <c r="E281" i="29"/>
  <c r="B282" i="29"/>
  <c r="B299" i="26"/>
  <c r="G299" i="26"/>
  <c r="I298" i="26"/>
  <c r="J298" i="26"/>
  <c r="K297" i="26"/>
  <c r="C298" i="26"/>
  <c r="K298" i="26"/>
  <c r="E282" i="29"/>
  <c r="B283" i="29"/>
  <c r="I299" i="26"/>
  <c r="J299" i="26"/>
  <c r="C299" i="26"/>
  <c r="B300" i="26"/>
  <c r="G300" i="26"/>
  <c r="E283" i="29"/>
  <c r="B284" i="29"/>
  <c r="B301" i="26"/>
  <c r="G301" i="26"/>
  <c r="I300" i="26"/>
  <c r="J300" i="26"/>
  <c r="K299" i="26"/>
  <c r="C300" i="26"/>
  <c r="K300" i="26"/>
  <c r="E284" i="29"/>
  <c r="B285" i="29"/>
  <c r="I301" i="26"/>
  <c r="J301" i="26"/>
  <c r="C301" i="26"/>
  <c r="B302" i="26"/>
  <c r="G302" i="26"/>
  <c r="E285" i="29"/>
  <c r="B286" i="29"/>
  <c r="B303" i="26"/>
  <c r="G303" i="26"/>
  <c r="I302" i="26"/>
  <c r="J302" i="26"/>
  <c r="K301" i="26"/>
  <c r="C302" i="26"/>
  <c r="K302" i="26"/>
  <c r="E286" i="29"/>
  <c r="B287" i="29"/>
  <c r="I303" i="26"/>
  <c r="J303" i="26"/>
  <c r="C303" i="26"/>
  <c r="B304" i="26"/>
  <c r="G304" i="26"/>
  <c r="E287" i="29"/>
  <c r="B288" i="29"/>
  <c r="B305" i="26"/>
  <c r="G305" i="26"/>
  <c r="I304" i="26"/>
  <c r="J304" i="26"/>
  <c r="K303" i="26"/>
  <c r="C304" i="26"/>
  <c r="K304" i="26"/>
  <c r="E288" i="29"/>
  <c r="B289" i="29"/>
  <c r="I305" i="26"/>
  <c r="J305" i="26"/>
  <c r="C305" i="26"/>
  <c r="B306" i="26"/>
  <c r="G306" i="26"/>
  <c r="E289" i="29"/>
  <c r="B290" i="29"/>
  <c r="B307" i="26"/>
  <c r="G307" i="26"/>
  <c r="I306" i="26"/>
  <c r="J306" i="26"/>
  <c r="K305" i="26"/>
  <c r="C306" i="26"/>
  <c r="K306" i="26"/>
  <c r="E290" i="29"/>
  <c r="B291" i="29"/>
  <c r="I307" i="26"/>
  <c r="J307" i="26"/>
  <c r="C307" i="26"/>
  <c r="B308" i="26"/>
  <c r="G308" i="26"/>
  <c r="E291" i="29"/>
  <c r="B292" i="29"/>
  <c r="B309" i="26"/>
  <c r="G309" i="26"/>
  <c r="I308" i="26"/>
  <c r="J308" i="26"/>
  <c r="K307" i="26"/>
  <c r="C308" i="26"/>
  <c r="K308" i="26"/>
  <c r="E292" i="29"/>
  <c r="B293" i="29"/>
  <c r="I309" i="26"/>
  <c r="J309" i="26"/>
  <c r="C309" i="26"/>
  <c r="K309" i="26"/>
  <c r="B310" i="26"/>
  <c r="G310" i="26"/>
  <c r="E293" i="29"/>
  <c r="B294" i="29"/>
  <c r="B311" i="26"/>
  <c r="G311" i="26"/>
  <c r="I310" i="26"/>
  <c r="J310" i="26"/>
  <c r="C310" i="26"/>
  <c r="E294" i="29"/>
  <c r="B295" i="29"/>
  <c r="I311" i="26"/>
  <c r="J311" i="26"/>
  <c r="B312" i="26"/>
  <c r="G312" i="26"/>
  <c r="K310" i="26"/>
  <c r="C311" i="26"/>
  <c r="K311" i="26"/>
  <c r="E295" i="29"/>
  <c r="B296" i="29"/>
  <c r="B313" i="26"/>
  <c r="G313" i="26"/>
  <c r="I312" i="26"/>
  <c r="J312" i="26"/>
  <c r="C312" i="26"/>
  <c r="K312" i="26"/>
  <c r="E296" i="29"/>
  <c r="B297" i="29"/>
  <c r="I313" i="26"/>
  <c r="J313" i="26"/>
  <c r="C313" i="26"/>
  <c r="B314" i="26"/>
  <c r="G314" i="26"/>
  <c r="E297" i="29"/>
  <c r="B298" i="29"/>
  <c r="B315" i="26"/>
  <c r="G315" i="26"/>
  <c r="I314" i="26"/>
  <c r="J314" i="26"/>
  <c r="C314" i="26"/>
  <c r="K313" i="26"/>
  <c r="E298" i="29"/>
  <c r="B299" i="29"/>
  <c r="I315" i="26"/>
  <c r="J315" i="26"/>
  <c r="C315" i="26"/>
  <c r="B316" i="26"/>
  <c r="G316" i="26"/>
  <c r="K314" i="26"/>
  <c r="E299" i="29"/>
  <c r="B300" i="29"/>
  <c r="B317" i="26"/>
  <c r="G317" i="26"/>
  <c r="I316" i="26"/>
  <c r="J316" i="26"/>
  <c r="C316" i="26"/>
  <c r="K315" i="26"/>
  <c r="E300" i="29"/>
  <c r="B301" i="29"/>
  <c r="I317" i="26"/>
  <c r="J317" i="26"/>
  <c r="C317" i="26"/>
  <c r="B318" i="26"/>
  <c r="G318" i="26"/>
  <c r="K316" i="26"/>
  <c r="E301" i="29"/>
  <c r="B302" i="29"/>
  <c r="B319" i="26"/>
  <c r="G319" i="26"/>
  <c r="I318" i="26"/>
  <c r="J318" i="26"/>
  <c r="C318" i="26"/>
  <c r="K317" i="26"/>
  <c r="E302" i="29"/>
  <c r="B303" i="29"/>
  <c r="I319" i="26"/>
  <c r="J319" i="26"/>
  <c r="C319" i="26"/>
  <c r="B320" i="26"/>
  <c r="G320" i="26"/>
  <c r="K318" i="26"/>
  <c r="E303" i="29"/>
  <c r="B304" i="29"/>
  <c r="B321" i="26"/>
  <c r="G321" i="26"/>
  <c r="I320" i="26"/>
  <c r="J320" i="26"/>
  <c r="C320" i="26"/>
  <c r="K319" i="26"/>
  <c r="E304" i="29"/>
  <c r="B305" i="29"/>
  <c r="I321" i="26"/>
  <c r="J321" i="26"/>
  <c r="C321" i="26"/>
  <c r="B322" i="26"/>
  <c r="G322" i="26"/>
  <c r="K320" i="26"/>
  <c r="E305" i="29"/>
  <c r="B306" i="29"/>
  <c r="B323" i="26"/>
  <c r="G323" i="26"/>
  <c r="I322" i="26"/>
  <c r="J322" i="26"/>
  <c r="C322" i="26"/>
  <c r="K321" i="26"/>
  <c r="E306" i="29"/>
  <c r="B307" i="29"/>
  <c r="I323" i="26"/>
  <c r="J323" i="26"/>
  <c r="C323" i="26"/>
  <c r="B324" i="26"/>
  <c r="G324" i="26"/>
  <c r="K322" i="26"/>
  <c r="E307" i="29"/>
  <c r="B308" i="29"/>
  <c r="B325" i="26"/>
  <c r="G325" i="26"/>
  <c r="I324" i="26"/>
  <c r="J324" i="26"/>
  <c r="C324" i="26"/>
  <c r="K323" i="26"/>
  <c r="E308" i="29"/>
  <c r="B309" i="29"/>
  <c r="I325" i="26"/>
  <c r="J325" i="26"/>
  <c r="C325" i="26"/>
  <c r="K325" i="26"/>
  <c r="B326" i="26"/>
  <c r="G326" i="26"/>
  <c r="K324" i="26"/>
  <c r="E309" i="29"/>
  <c r="B310" i="29"/>
  <c r="B327" i="26"/>
  <c r="G327" i="26"/>
  <c r="I326" i="26"/>
  <c r="J326" i="26"/>
  <c r="C326" i="26"/>
  <c r="E310" i="29"/>
  <c r="B311" i="29"/>
  <c r="I327" i="26"/>
  <c r="J327" i="26"/>
  <c r="C327" i="26"/>
  <c r="K327" i="26"/>
  <c r="B328" i="26"/>
  <c r="G328" i="26"/>
  <c r="K326" i="26"/>
  <c r="E311" i="29"/>
  <c r="B312" i="29"/>
  <c r="B329" i="26"/>
  <c r="G329" i="26"/>
  <c r="I328" i="26"/>
  <c r="J328" i="26"/>
  <c r="C328" i="26"/>
  <c r="E312" i="29"/>
  <c r="B313" i="29"/>
  <c r="I329" i="26"/>
  <c r="J329" i="26"/>
  <c r="C329" i="26"/>
  <c r="K329" i="26"/>
  <c r="B330" i="26"/>
  <c r="G330" i="26"/>
  <c r="K328" i="26"/>
  <c r="E313" i="29"/>
  <c r="B314" i="29"/>
  <c r="B331" i="26"/>
  <c r="G331" i="26"/>
  <c r="I330" i="26"/>
  <c r="J330" i="26"/>
  <c r="C330" i="26"/>
  <c r="E314" i="29"/>
  <c r="B315" i="29"/>
  <c r="I331" i="26"/>
  <c r="J331" i="26"/>
  <c r="C331" i="26"/>
  <c r="K331" i="26"/>
  <c r="B332" i="26"/>
  <c r="G332" i="26"/>
  <c r="K330" i="26"/>
  <c r="E315" i="29"/>
  <c r="B316" i="29"/>
  <c r="B333" i="26"/>
  <c r="G333" i="26"/>
  <c r="I332" i="26"/>
  <c r="J332" i="26"/>
  <c r="C332" i="26"/>
  <c r="E316" i="29"/>
  <c r="B317" i="29"/>
  <c r="I333" i="26"/>
  <c r="J333" i="26"/>
  <c r="C333" i="26"/>
  <c r="K333" i="26"/>
  <c r="B334" i="26"/>
  <c r="G334" i="26"/>
  <c r="K332" i="26"/>
  <c r="E317" i="29"/>
  <c r="B318" i="29"/>
  <c r="B335" i="26"/>
  <c r="G335" i="26"/>
  <c r="I334" i="26"/>
  <c r="J334" i="26"/>
  <c r="C334" i="26"/>
  <c r="E318" i="29"/>
  <c r="B319" i="29"/>
  <c r="I335" i="26"/>
  <c r="J335" i="26"/>
  <c r="C335" i="26"/>
  <c r="K335" i="26"/>
  <c r="B336" i="26"/>
  <c r="G336" i="26"/>
  <c r="K334" i="26"/>
  <c r="E319" i="29"/>
  <c r="B320" i="29"/>
  <c r="B337" i="26"/>
  <c r="G337" i="26"/>
  <c r="I336" i="26"/>
  <c r="J336" i="26"/>
  <c r="C336" i="26"/>
  <c r="E320" i="29"/>
  <c r="B321" i="29"/>
  <c r="I337" i="26"/>
  <c r="J337" i="26"/>
  <c r="C337" i="26"/>
  <c r="K337" i="26"/>
  <c r="B338" i="26"/>
  <c r="G338" i="26"/>
  <c r="K336" i="26"/>
  <c r="E321" i="29"/>
  <c r="B322" i="29"/>
  <c r="B339" i="26"/>
  <c r="G339" i="26"/>
  <c r="I338" i="26"/>
  <c r="J338" i="26"/>
  <c r="C338" i="26"/>
  <c r="E322" i="29"/>
  <c r="B323" i="29"/>
  <c r="I339" i="26"/>
  <c r="J339" i="26"/>
  <c r="C339" i="26"/>
  <c r="K339" i="26"/>
  <c r="B340" i="26"/>
  <c r="G340" i="26"/>
  <c r="K338" i="26"/>
  <c r="E323" i="29"/>
  <c r="B324" i="29"/>
  <c r="B341" i="26"/>
  <c r="G341" i="26"/>
  <c r="I340" i="26"/>
  <c r="J340" i="26"/>
  <c r="C340" i="26"/>
  <c r="E324" i="29"/>
  <c r="B325" i="29"/>
  <c r="I341" i="26"/>
  <c r="J341" i="26"/>
  <c r="C341" i="26"/>
  <c r="K341" i="26"/>
  <c r="B342" i="26"/>
  <c r="G342" i="26"/>
  <c r="K340" i="26"/>
  <c r="E325" i="29"/>
  <c r="B326" i="29"/>
  <c r="B343" i="26"/>
  <c r="G343" i="26"/>
  <c r="I342" i="26"/>
  <c r="J342" i="26"/>
  <c r="C342" i="26"/>
  <c r="E326" i="29"/>
  <c r="B327" i="29"/>
  <c r="I343" i="26"/>
  <c r="J343" i="26"/>
  <c r="C343" i="26"/>
  <c r="K343" i="26"/>
  <c r="B344" i="26"/>
  <c r="G344" i="26"/>
  <c r="K342" i="26"/>
  <c r="E327" i="29"/>
  <c r="B328" i="29"/>
  <c r="B345" i="26"/>
  <c r="G345" i="26"/>
  <c r="I344" i="26"/>
  <c r="J344" i="26"/>
  <c r="C344" i="26"/>
  <c r="E328" i="29"/>
  <c r="B329" i="29"/>
  <c r="I345" i="26"/>
  <c r="J345" i="26"/>
  <c r="C345" i="26"/>
  <c r="K345" i="26"/>
  <c r="B346" i="26"/>
  <c r="G346" i="26"/>
  <c r="K344" i="26"/>
  <c r="E329" i="29"/>
  <c r="B330" i="29"/>
  <c r="B347" i="26"/>
  <c r="G347" i="26"/>
  <c r="I346" i="26"/>
  <c r="J346" i="26"/>
  <c r="C346" i="26"/>
  <c r="E330" i="29"/>
  <c r="B331" i="29"/>
  <c r="I347" i="26"/>
  <c r="J347" i="26"/>
  <c r="C347" i="26"/>
  <c r="K347" i="26"/>
  <c r="B348" i="26"/>
  <c r="G348" i="26"/>
  <c r="K346" i="26"/>
  <c r="E331" i="29"/>
  <c r="B332" i="29"/>
  <c r="B349" i="26"/>
  <c r="G349" i="26"/>
  <c r="I348" i="26"/>
  <c r="J348" i="26"/>
  <c r="C348" i="26"/>
  <c r="E332" i="29"/>
  <c r="B333" i="29"/>
  <c r="I349" i="26"/>
  <c r="J349" i="26"/>
  <c r="C349" i="26"/>
  <c r="K349" i="26"/>
  <c r="B350" i="26"/>
  <c r="G350" i="26"/>
  <c r="K348" i="26"/>
  <c r="E333" i="29"/>
  <c r="B334" i="29"/>
  <c r="B351" i="26"/>
  <c r="G351" i="26"/>
  <c r="I350" i="26"/>
  <c r="J350" i="26"/>
  <c r="C350" i="26"/>
  <c r="E334" i="29"/>
  <c r="B335" i="29"/>
  <c r="I351" i="26"/>
  <c r="J351" i="26"/>
  <c r="C351" i="26"/>
  <c r="K351" i="26"/>
  <c r="B352" i="26"/>
  <c r="G352" i="26"/>
  <c r="K350" i="26"/>
  <c r="E335" i="29"/>
  <c r="B336" i="29"/>
  <c r="B353" i="26"/>
  <c r="G353" i="26"/>
  <c r="I352" i="26"/>
  <c r="J352" i="26"/>
  <c r="C352" i="26"/>
  <c r="E336" i="29"/>
  <c r="B337" i="29"/>
  <c r="I353" i="26"/>
  <c r="J353" i="26"/>
  <c r="C353" i="26"/>
  <c r="K353" i="26"/>
  <c r="B354" i="26"/>
  <c r="G354" i="26"/>
  <c r="K352" i="26"/>
  <c r="E337" i="29"/>
  <c r="B338" i="29"/>
  <c r="B355" i="26"/>
  <c r="G355" i="26"/>
  <c r="I354" i="26"/>
  <c r="J354" i="26"/>
  <c r="C354" i="26"/>
  <c r="E338" i="29"/>
  <c r="B339" i="29"/>
  <c r="I355" i="26"/>
  <c r="J355" i="26"/>
  <c r="C355" i="26"/>
  <c r="K355" i="26"/>
  <c r="B356" i="26"/>
  <c r="G356" i="26"/>
  <c r="K354" i="26"/>
  <c r="E339" i="29"/>
  <c r="B340" i="29"/>
  <c r="B357" i="26"/>
  <c r="G357" i="26"/>
  <c r="I356" i="26"/>
  <c r="J356" i="26"/>
  <c r="C356" i="26"/>
  <c r="E340" i="29"/>
  <c r="B341" i="29"/>
  <c r="I357" i="26"/>
  <c r="J357" i="26"/>
  <c r="C357" i="26"/>
  <c r="K357" i="26"/>
  <c r="B358" i="26"/>
  <c r="G358" i="26"/>
  <c r="K356" i="26"/>
  <c r="E341" i="29"/>
  <c r="B342" i="29"/>
  <c r="B359" i="26"/>
  <c r="G359" i="26"/>
  <c r="I358" i="26"/>
  <c r="J358" i="26"/>
  <c r="C358" i="26"/>
  <c r="K358" i="26"/>
  <c r="E342" i="29"/>
  <c r="B343" i="29"/>
  <c r="I359" i="26"/>
  <c r="J359" i="26"/>
  <c r="C359" i="26"/>
  <c r="K359" i="26"/>
  <c r="B360" i="26"/>
  <c r="G360" i="26"/>
  <c r="E343" i="29"/>
  <c r="B344" i="29"/>
  <c r="B361" i="26"/>
  <c r="G361" i="26"/>
  <c r="I360" i="26"/>
  <c r="J360" i="26"/>
  <c r="C360" i="26"/>
  <c r="K360" i="26"/>
  <c r="E344" i="29"/>
  <c r="B345" i="29"/>
  <c r="I361" i="26"/>
  <c r="J361" i="26"/>
  <c r="C361" i="26"/>
  <c r="K361" i="26"/>
  <c r="B362" i="26"/>
  <c r="G362" i="26"/>
  <c r="E345" i="29"/>
  <c r="B346" i="29"/>
  <c r="B363" i="26"/>
  <c r="G363" i="26"/>
  <c r="I362" i="26"/>
  <c r="J362" i="26"/>
  <c r="C362" i="26"/>
  <c r="K362" i="26"/>
  <c r="E346" i="29"/>
  <c r="B347" i="29"/>
  <c r="I363" i="26"/>
  <c r="J363" i="26"/>
  <c r="C363" i="26"/>
  <c r="K363" i="26"/>
  <c r="B364" i="26"/>
  <c r="G364" i="26"/>
  <c r="E347" i="29"/>
  <c r="B348" i="29"/>
  <c r="B365" i="26"/>
  <c r="G365" i="26"/>
  <c r="I364" i="26"/>
  <c r="J364" i="26"/>
  <c r="C364" i="26"/>
  <c r="K364" i="26"/>
  <c r="E348" i="29"/>
  <c r="B349" i="29"/>
  <c r="I365" i="26"/>
  <c r="J365" i="26"/>
  <c r="C365" i="26"/>
  <c r="K365" i="26"/>
  <c r="B366" i="26"/>
  <c r="G366" i="26"/>
  <c r="E349" i="29"/>
  <c r="B350" i="29"/>
  <c r="B367" i="26"/>
  <c r="G367" i="26"/>
  <c r="I366" i="26"/>
  <c r="J366" i="26"/>
  <c r="C366" i="26"/>
  <c r="K366" i="26"/>
  <c r="E350" i="29"/>
  <c r="B351" i="29"/>
  <c r="I367" i="26"/>
  <c r="J367" i="26"/>
  <c r="C367" i="26"/>
  <c r="K367" i="26"/>
  <c r="B368" i="26"/>
  <c r="G368" i="26"/>
  <c r="E351" i="29"/>
  <c r="B352" i="29"/>
  <c r="B369" i="26"/>
  <c r="G369" i="26"/>
  <c r="I368" i="26"/>
  <c r="J368" i="26"/>
  <c r="C368" i="26"/>
  <c r="E352" i="29"/>
  <c r="B353" i="29"/>
  <c r="I369" i="26"/>
  <c r="J369" i="26"/>
  <c r="C369" i="26"/>
  <c r="B370" i="26"/>
  <c r="G370" i="26"/>
  <c r="K368" i="26"/>
  <c r="E353" i="29"/>
  <c r="B354" i="29"/>
  <c r="B371" i="26"/>
  <c r="G371" i="26"/>
  <c r="I370" i="26"/>
  <c r="J370" i="26"/>
  <c r="C370" i="26"/>
  <c r="K370" i="26"/>
  <c r="K369" i="26"/>
  <c r="E354" i="29"/>
  <c r="B355" i="29"/>
  <c r="C371" i="26"/>
  <c r="E355" i="29"/>
  <c r="B356" i="29"/>
  <c r="I371" i="26"/>
  <c r="G9" i="26"/>
  <c r="G4" i="26"/>
  <c r="K371" i="26"/>
  <c r="E356" i="29"/>
  <c r="B357" i="29"/>
  <c r="J371" i="26"/>
  <c r="I9" i="26"/>
  <c r="E357" i="29"/>
  <c r="B358" i="29"/>
  <c r="E358" i="29"/>
  <c r="B359" i="29"/>
  <c r="E359" i="29"/>
  <c r="B360" i="29"/>
  <c r="E360" i="29"/>
  <c r="B361" i="29"/>
  <c r="E361" i="29"/>
  <c r="B362" i="29"/>
  <c r="E362" i="29"/>
  <c r="B363" i="29"/>
  <c r="E363" i="29"/>
  <c r="B364" i="29"/>
  <c r="E364" i="29"/>
  <c r="B365" i="29"/>
  <c r="E365" i="29"/>
  <c r="B366" i="29"/>
  <c r="E366" i="29"/>
  <c r="B367" i="29"/>
  <c r="E367" i="29"/>
  <c r="B368" i="29"/>
  <c r="E368" i="29"/>
  <c r="B369" i="29"/>
  <c r="E369" i="29"/>
  <c r="B370" i="29"/>
  <c r="E370" i="29"/>
  <c r="B371" i="29"/>
  <c r="E371" i="29"/>
  <c r="E9" i="29"/>
  <c r="G24" i="29"/>
  <c r="I24" i="29"/>
  <c r="G25" i="29"/>
  <c r="I25" i="29"/>
  <c r="G26" i="29"/>
  <c r="I26" i="29"/>
  <c r="G27" i="29"/>
  <c r="I27" i="29"/>
  <c r="G28" i="29"/>
  <c r="I28" i="29"/>
  <c r="G29" i="29"/>
  <c r="I29" i="29"/>
  <c r="G30" i="29"/>
  <c r="I30" i="29"/>
  <c r="G31" i="29"/>
  <c r="I31" i="29"/>
  <c r="G32" i="29"/>
  <c r="I32" i="29"/>
  <c r="G33" i="29"/>
  <c r="I33" i="29"/>
  <c r="G34" i="29"/>
  <c r="I34" i="29"/>
  <c r="G35" i="29"/>
  <c r="I35" i="29"/>
  <c r="G36" i="29"/>
  <c r="I36" i="29"/>
  <c r="G37" i="29"/>
  <c r="I37" i="29"/>
  <c r="G38" i="29"/>
  <c r="I38" i="29"/>
  <c r="G39" i="29"/>
  <c r="I39" i="29"/>
  <c r="G40" i="29"/>
  <c r="I40" i="29"/>
  <c r="G41" i="29"/>
  <c r="I41" i="29"/>
  <c r="G42" i="29"/>
  <c r="I42" i="29"/>
  <c r="G43" i="29"/>
  <c r="I43" i="29"/>
  <c r="G44" i="29"/>
  <c r="I44" i="29"/>
  <c r="G45" i="29"/>
  <c r="I45" i="29"/>
  <c r="G46" i="29"/>
  <c r="I46" i="29"/>
  <c r="G47" i="29"/>
  <c r="I47" i="29"/>
  <c r="G48" i="29"/>
  <c r="I48" i="29"/>
  <c r="G49" i="29"/>
  <c r="I49" i="29"/>
  <c r="G50" i="29"/>
  <c r="I50" i="29"/>
  <c r="G51" i="29"/>
  <c r="I51" i="29"/>
  <c r="G52" i="29"/>
  <c r="I52" i="29"/>
  <c r="G53" i="29"/>
  <c r="I53" i="29"/>
  <c r="G54" i="29"/>
  <c r="I54" i="29"/>
  <c r="G55" i="29"/>
  <c r="I55" i="29"/>
  <c r="G56" i="29"/>
  <c r="I56" i="29"/>
  <c r="G57" i="29"/>
  <c r="I57" i="29"/>
  <c r="G58" i="29"/>
  <c r="I58" i="29"/>
  <c r="G59" i="29"/>
  <c r="I59" i="29"/>
  <c r="G60" i="29"/>
  <c r="I60" i="29"/>
  <c r="G61" i="29"/>
  <c r="I61" i="29"/>
  <c r="G62" i="29"/>
  <c r="I62" i="29"/>
  <c r="G63" i="29"/>
  <c r="I63" i="29"/>
  <c r="G64" i="29"/>
  <c r="I64" i="29"/>
  <c r="G65" i="29"/>
  <c r="I65" i="29"/>
  <c r="G66" i="29"/>
  <c r="I66" i="29"/>
  <c r="G67" i="29"/>
  <c r="I67" i="29"/>
  <c r="G68" i="29"/>
  <c r="I68" i="29"/>
  <c r="G69" i="29"/>
  <c r="I69" i="29"/>
  <c r="G70" i="29"/>
  <c r="I70" i="29"/>
  <c r="G71" i="29"/>
  <c r="I71" i="29"/>
  <c r="G72" i="29"/>
  <c r="I72" i="29"/>
  <c r="G73" i="29"/>
  <c r="I73" i="29"/>
  <c r="G74" i="29"/>
  <c r="I74" i="29"/>
  <c r="G75" i="29"/>
  <c r="I75" i="29"/>
  <c r="G76" i="29"/>
  <c r="I76" i="29"/>
  <c r="G77" i="29"/>
  <c r="I77" i="29"/>
  <c r="G78" i="29"/>
  <c r="I78" i="29"/>
  <c r="G79" i="29"/>
  <c r="I79" i="29"/>
  <c r="G80" i="29"/>
  <c r="I80" i="29"/>
  <c r="G81" i="29"/>
  <c r="I81" i="29"/>
  <c r="G82" i="29"/>
  <c r="I82" i="29"/>
  <c r="G83" i="29"/>
  <c r="I83" i="29"/>
  <c r="G84" i="29"/>
  <c r="I84" i="29"/>
  <c r="G85" i="29"/>
  <c r="I85" i="29"/>
  <c r="G86" i="29"/>
  <c r="I86" i="29"/>
  <c r="G87" i="29"/>
  <c r="I87" i="29"/>
  <c r="G88" i="29"/>
  <c r="I88" i="29"/>
  <c r="G89" i="29"/>
  <c r="I89" i="29"/>
  <c r="G90" i="29"/>
  <c r="I90" i="29"/>
  <c r="G91" i="29"/>
  <c r="I91" i="29"/>
  <c r="G92" i="29"/>
  <c r="I92" i="29"/>
  <c r="G93" i="29"/>
  <c r="I93" i="29"/>
  <c r="G94" i="29"/>
  <c r="I94" i="29"/>
  <c r="G95" i="29"/>
  <c r="I95" i="29"/>
  <c r="G96" i="29"/>
  <c r="I96" i="29"/>
  <c r="G97" i="29"/>
  <c r="I97" i="29"/>
  <c r="G98" i="29"/>
  <c r="I98" i="29"/>
  <c r="G99" i="29"/>
  <c r="I99" i="29"/>
  <c r="G100" i="29"/>
  <c r="I100" i="29"/>
  <c r="G101" i="29"/>
  <c r="I101" i="29"/>
  <c r="G102" i="29"/>
  <c r="I102" i="29"/>
  <c r="G103" i="29"/>
  <c r="I103" i="29"/>
  <c r="G104" i="29"/>
  <c r="I104" i="29"/>
  <c r="G105" i="29"/>
  <c r="I105" i="29"/>
  <c r="G106" i="29"/>
  <c r="I106" i="29"/>
  <c r="G107" i="29"/>
  <c r="I107" i="29"/>
  <c r="G108" i="29"/>
  <c r="I108" i="29"/>
  <c r="G109" i="29"/>
  <c r="I109" i="29"/>
  <c r="G110" i="29"/>
  <c r="I110" i="29"/>
  <c r="G111" i="29"/>
  <c r="I111" i="29"/>
  <c r="G112" i="29"/>
  <c r="I112" i="29"/>
  <c r="G113" i="29"/>
  <c r="I113" i="29"/>
  <c r="G114" i="29"/>
  <c r="I114" i="29"/>
  <c r="G115" i="29"/>
  <c r="I115" i="29"/>
  <c r="G116" i="29"/>
  <c r="I116" i="29"/>
  <c r="G117" i="29"/>
  <c r="I117" i="29"/>
  <c r="G118" i="29"/>
  <c r="I118" i="29"/>
  <c r="G119" i="29"/>
  <c r="I119" i="29"/>
  <c r="G120" i="29"/>
  <c r="I120" i="29"/>
  <c r="G121" i="29"/>
  <c r="I121" i="29"/>
  <c r="G122" i="29"/>
  <c r="I122" i="29"/>
  <c r="G123" i="29"/>
  <c r="I123" i="29"/>
  <c r="G124" i="29"/>
  <c r="I124" i="29"/>
  <c r="G125" i="29"/>
  <c r="I125" i="29"/>
  <c r="G126" i="29"/>
  <c r="I126" i="29"/>
  <c r="G127" i="29"/>
  <c r="I127" i="29"/>
  <c r="G128" i="29"/>
  <c r="I128" i="29"/>
  <c r="G129" i="29"/>
  <c r="I129" i="29"/>
  <c r="G130" i="29"/>
  <c r="I130" i="29"/>
  <c r="G131" i="29"/>
  <c r="I131" i="29"/>
  <c r="G132" i="29"/>
  <c r="I132" i="29"/>
  <c r="G133" i="29"/>
  <c r="I133" i="29"/>
  <c r="G134" i="29"/>
  <c r="I134" i="29"/>
  <c r="G135" i="29"/>
  <c r="I135" i="29"/>
  <c r="G136" i="29"/>
  <c r="I136" i="29"/>
  <c r="G137" i="29"/>
  <c r="I137" i="29"/>
  <c r="G138" i="29"/>
  <c r="I138" i="29"/>
  <c r="G139" i="29"/>
  <c r="I139" i="29"/>
  <c r="G140" i="29"/>
  <c r="I140" i="29"/>
  <c r="G141" i="29"/>
  <c r="I141" i="29"/>
  <c r="G142" i="29"/>
  <c r="I142" i="29"/>
  <c r="G143" i="29"/>
  <c r="I143" i="29"/>
  <c r="G144" i="29"/>
  <c r="I144" i="29"/>
  <c r="G145" i="29"/>
  <c r="I145" i="29"/>
  <c r="G146" i="29"/>
  <c r="I146" i="29"/>
  <c r="G147" i="29"/>
  <c r="I147" i="29"/>
  <c r="G148" i="29"/>
  <c r="I148" i="29"/>
  <c r="G149" i="29"/>
  <c r="I149" i="29"/>
  <c r="G150" i="29"/>
  <c r="I150" i="29"/>
  <c r="G151" i="29"/>
  <c r="I151" i="29"/>
  <c r="G152" i="29"/>
  <c r="I152" i="29"/>
  <c r="G153" i="29"/>
  <c r="I153" i="29"/>
  <c r="G154" i="29"/>
  <c r="I154" i="29"/>
  <c r="G155" i="29"/>
  <c r="I155" i="29"/>
  <c r="G156" i="29"/>
  <c r="I156" i="29"/>
  <c r="G157" i="29"/>
  <c r="I157" i="29"/>
  <c r="G158" i="29"/>
  <c r="I158" i="29"/>
  <c r="G159" i="29"/>
  <c r="I159" i="29"/>
  <c r="G160" i="29"/>
  <c r="I160" i="29"/>
  <c r="G161" i="29"/>
  <c r="I161" i="29"/>
  <c r="G162" i="29"/>
  <c r="I162" i="29"/>
  <c r="G163" i="29"/>
  <c r="I163" i="29"/>
  <c r="G164" i="29"/>
  <c r="I164" i="29"/>
  <c r="G165" i="29"/>
  <c r="I165" i="29"/>
  <c r="G166" i="29"/>
  <c r="I166" i="29"/>
  <c r="G167" i="29"/>
  <c r="I167" i="29"/>
  <c r="G168" i="29"/>
  <c r="I168" i="29"/>
  <c r="G169" i="29"/>
  <c r="I169" i="29"/>
  <c r="G170" i="29"/>
  <c r="I170" i="29"/>
  <c r="G171" i="29"/>
  <c r="I171" i="29"/>
  <c r="G172" i="29"/>
  <c r="I172" i="29"/>
  <c r="G173" i="29"/>
  <c r="I173" i="29"/>
  <c r="G174" i="29"/>
  <c r="I174" i="29"/>
  <c r="G175" i="29"/>
  <c r="I175" i="29"/>
  <c r="G176" i="29"/>
  <c r="I176" i="29"/>
  <c r="G177" i="29"/>
  <c r="I177" i="29"/>
  <c r="G178" i="29"/>
  <c r="I178" i="29"/>
  <c r="G179" i="29"/>
  <c r="I179" i="29"/>
  <c r="G180" i="29"/>
  <c r="I180" i="29"/>
  <c r="G181" i="29"/>
  <c r="I181" i="29"/>
  <c r="G182" i="29"/>
  <c r="I182" i="29"/>
  <c r="G183" i="29"/>
  <c r="I183" i="29"/>
  <c r="G184" i="29"/>
  <c r="I184" i="29"/>
  <c r="G185" i="29"/>
  <c r="I185" i="29"/>
  <c r="G186" i="29"/>
  <c r="I186" i="29"/>
  <c r="G187" i="29"/>
  <c r="I187" i="29"/>
  <c r="G188" i="29"/>
  <c r="I188" i="29"/>
  <c r="G189" i="29"/>
  <c r="I189" i="29"/>
  <c r="G190" i="29"/>
  <c r="I190" i="29"/>
  <c r="G191" i="29"/>
  <c r="I191" i="29"/>
  <c r="G192" i="29"/>
  <c r="I192" i="29"/>
  <c r="G193" i="29"/>
  <c r="I193" i="29"/>
  <c r="G194" i="29"/>
  <c r="I194" i="29"/>
  <c r="G195" i="29"/>
  <c r="I195" i="29"/>
  <c r="G196" i="29"/>
  <c r="I196" i="29"/>
  <c r="G197" i="29"/>
  <c r="I197" i="29"/>
  <c r="G198" i="29"/>
  <c r="I198" i="29"/>
  <c r="G199" i="29"/>
  <c r="I199" i="29"/>
  <c r="G200" i="29"/>
  <c r="I200" i="29"/>
  <c r="G201" i="29"/>
  <c r="I201" i="29"/>
  <c r="G202" i="29"/>
  <c r="I202" i="29"/>
  <c r="G203" i="29"/>
  <c r="I203" i="29"/>
  <c r="G204" i="29"/>
  <c r="I204" i="29"/>
  <c r="G205" i="29"/>
  <c r="I205" i="29"/>
  <c r="G206" i="29"/>
  <c r="I206" i="29"/>
  <c r="G207" i="29"/>
  <c r="I207" i="29"/>
  <c r="G208" i="29"/>
  <c r="I208" i="29"/>
  <c r="G209" i="29"/>
  <c r="I209" i="29"/>
  <c r="G210" i="29"/>
  <c r="I210" i="29"/>
  <c r="G211" i="29"/>
  <c r="I211" i="29"/>
  <c r="G212" i="29"/>
  <c r="I212" i="29"/>
  <c r="G213" i="29"/>
  <c r="I213" i="29"/>
  <c r="G214" i="29"/>
  <c r="I214" i="29"/>
  <c r="G215" i="29"/>
  <c r="I215" i="29"/>
  <c r="G216" i="29"/>
  <c r="I216" i="29"/>
  <c r="G217" i="29"/>
  <c r="I217" i="29"/>
  <c r="G218" i="29"/>
  <c r="I218" i="29"/>
  <c r="G219" i="29"/>
  <c r="I219" i="29"/>
  <c r="G220" i="29"/>
  <c r="I220" i="29"/>
  <c r="G221" i="29"/>
  <c r="I221" i="29"/>
  <c r="G222" i="29"/>
  <c r="I222" i="29"/>
  <c r="G223" i="29"/>
  <c r="I223" i="29"/>
  <c r="G224" i="29"/>
  <c r="I224" i="29"/>
  <c r="G225" i="29"/>
  <c r="I225" i="29"/>
  <c r="G226" i="29"/>
  <c r="I226" i="29"/>
  <c r="G227" i="29"/>
  <c r="I227" i="29"/>
  <c r="G228" i="29"/>
  <c r="I228" i="29"/>
  <c r="G229" i="29"/>
  <c r="I229" i="29"/>
  <c r="G230" i="29"/>
  <c r="I230" i="29"/>
  <c r="G231" i="29"/>
  <c r="I231" i="29"/>
  <c r="G232" i="29"/>
  <c r="I232" i="29"/>
  <c r="G233" i="29"/>
  <c r="I233" i="29"/>
  <c r="G234" i="29"/>
  <c r="I234" i="29"/>
  <c r="G235" i="29"/>
  <c r="I235" i="29"/>
  <c r="G236" i="29"/>
  <c r="I236" i="29"/>
  <c r="G237" i="29"/>
  <c r="I237" i="29"/>
  <c r="G238" i="29"/>
  <c r="I238" i="29"/>
  <c r="G239" i="29"/>
  <c r="I239" i="29"/>
  <c r="G240" i="29"/>
  <c r="I240" i="29"/>
  <c r="G241" i="29"/>
  <c r="I241" i="29"/>
  <c r="G242" i="29"/>
  <c r="I242" i="29"/>
  <c r="G243" i="29"/>
  <c r="I243" i="29"/>
  <c r="G244" i="29"/>
  <c r="I244" i="29"/>
  <c r="G245" i="29"/>
  <c r="I245" i="29"/>
  <c r="G246" i="29"/>
  <c r="I246" i="29"/>
  <c r="G247" i="29"/>
  <c r="I247" i="29"/>
  <c r="G248" i="29"/>
  <c r="I248" i="29"/>
  <c r="G249" i="29"/>
  <c r="I249" i="29"/>
  <c r="G250" i="29"/>
  <c r="I250" i="29"/>
  <c r="G251" i="29"/>
  <c r="I251" i="29"/>
  <c r="G252" i="29"/>
  <c r="I252" i="29"/>
  <c r="G253" i="29"/>
  <c r="I253" i="29"/>
  <c r="G254" i="29"/>
  <c r="I254" i="29"/>
  <c r="G255" i="29"/>
  <c r="I255" i="29"/>
  <c r="G256" i="29"/>
  <c r="I256" i="29"/>
  <c r="G257" i="29"/>
  <c r="I257" i="29"/>
  <c r="G258" i="29"/>
  <c r="I258" i="29"/>
  <c r="G259" i="29"/>
  <c r="I259" i="29"/>
  <c r="G260" i="29"/>
  <c r="I260" i="29"/>
  <c r="G261" i="29"/>
  <c r="I261" i="29"/>
  <c r="G262" i="29"/>
  <c r="I262" i="29"/>
  <c r="G263" i="29"/>
  <c r="I263" i="29"/>
  <c r="G264" i="29"/>
  <c r="I264" i="29"/>
  <c r="G265" i="29"/>
  <c r="I265" i="29"/>
  <c r="G266" i="29"/>
  <c r="I266" i="29"/>
  <c r="G267" i="29"/>
  <c r="I267" i="29"/>
  <c r="G268" i="29"/>
  <c r="I268" i="29"/>
  <c r="G269" i="29"/>
  <c r="I269" i="29"/>
  <c r="G270" i="29"/>
  <c r="I270" i="29"/>
  <c r="G271" i="29"/>
  <c r="I271" i="29"/>
  <c r="G272" i="29"/>
  <c r="I272" i="29"/>
  <c r="G273" i="29"/>
  <c r="I273" i="29"/>
  <c r="G274" i="29"/>
  <c r="I274" i="29"/>
  <c r="G275" i="29"/>
  <c r="I275" i="29"/>
  <c r="G276" i="29"/>
  <c r="I276" i="29"/>
  <c r="G277" i="29"/>
  <c r="I277" i="29"/>
  <c r="G278" i="29"/>
  <c r="I278" i="29"/>
  <c r="G279" i="29"/>
  <c r="I279" i="29"/>
  <c r="G280" i="29"/>
  <c r="I280" i="29"/>
  <c r="G281" i="29"/>
  <c r="I281" i="29"/>
  <c r="G282" i="29"/>
  <c r="I282" i="29"/>
  <c r="G283" i="29"/>
  <c r="I283" i="29"/>
  <c r="G284" i="29"/>
  <c r="I284" i="29"/>
  <c r="G285" i="29"/>
  <c r="I285" i="29"/>
  <c r="G286" i="29"/>
  <c r="I286" i="29"/>
  <c r="G287" i="29"/>
  <c r="I287" i="29"/>
  <c r="G288" i="29"/>
  <c r="I288" i="29"/>
  <c r="G289" i="29"/>
  <c r="I289" i="29"/>
  <c r="G290" i="29"/>
  <c r="I290" i="29"/>
  <c r="G291" i="29"/>
  <c r="I291" i="29"/>
  <c r="G292" i="29"/>
  <c r="I292" i="29"/>
  <c r="G293" i="29"/>
  <c r="I293" i="29"/>
  <c r="G294" i="29"/>
  <c r="I294" i="29"/>
  <c r="G295" i="29"/>
  <c r="I295" i="29"/>
  <c r="G296" i="29"/>
  <c r="I296" i="29"/>
  <c r="G297" i="29"/>
  <c r="I297" i="29"/>
  <c r="G298" i="29"/>
  <c r="I298" i="29"/>
  <c r="G299" i="29"/>
  <c r="I299" i="29"/>
  <c r="G300" i="29"/>
  <c r="I300" i="29"/>
  <c r="G301" i="29"/>
  <c r="I301" i="29"/>
  <c r="G302" i="29"/>
  <c r="I302" i="29"/>
  <c r="G303" i="29"/>
  <c r="I303" i="29"/>
  <c r="G304" i="29"/>
  <c r="I304" i="29"/>
  <c r="G305" i="29"/>
  <c r="I305" i="29"/>
  <c r="G306" i="29"/>
  <c r="I306" i="29"/>
  <c r="G307" i="29"/>
  <c r="I307" i="29"/>
  <c r="G308" i="29"/>
  <c r="I308" i="29"/>
  <c r="G309" i="29"/>
  <c r="I309" i="29"/>
  <c r="G310" i="29"/>
  <c r="I310" i="29"/>
  <c r="G311" i="29"/>
  <c r="I311" i="29"/>
  <c r="G312" i="29"/>
  <c r="I312" i="29"/>
  <c r="G313" i="29"/>
  <c r="I313" i="29"/>
  <c r="G314" i="29"/>
  <c r="I314" i="29"/>
  <c r="G315" i="29"/>
  <c r="I315" i="29"/>
  <c r="G316" i="29"/>
  <c r="I316" i="29"/>
  <c r="G317" i="29"/>
  <c r="I317" i="29"/>
  <c r="G318" i="29"/>
  <c r="I318" i="29"/>
  <c r="G319" i="29"/>
  <c r="I319" i="29"/>
  <c r="G320" i="29"/>
  <c r="I320" i="29"/>
  <c r="G321" i="29"/>
  <c r="I321" i="29"/>
  <c r="G322" i="29"/>
  <c r="I322" i="29"/>
  <c r="G323" i="29"/>
  <c r="I323" i="29"/>
  <c r="G324" i="29"/>
  <c r="I324" i="29"/>
  <c r="G325" i="29"/>
  <c r="I325" i="29"/>
  <c r="G326" i="29"/>
  <c r="I326" i="29"/>
  <c r="G327" i="29"/>
  <c r="I327" i="29"/>
  <c r="G328" i="29"/>
  <c r="I328" i="29"/>
  <c r="G329" i="29"/>
  <c r="I329" i="29"/>
  <c r="G330" i="29"/>
  <c r="I330" i="29"/>
  <c r="G331" i="29"/>
  <c r="I331" i="29"/>
  <c r="G332" i="29"/>
  <c r="I332" i="29"/>
  <c r="G333" i="29"/>
  <c r="I333" i="29"/>
  <c r="G334" i="29"/>
  <c r="I334" i="29"/>
  <c r="G335" i="29"/>
  <c r="I335" i="29"/>
  <c r="G336" i="29"/>
  <c r="I336" i="29"/>
  <c r="G337" i="29"/>
  <c r="I337" i="29"/>
  <c r="G338" i="29"/>
  <c r="I338" i="29"/>
  <c r="G339" i="29"/>
  <c r="I339" i="29"/>
  <c r="G340" i="29"/>
  <c r="I340" i="29"/>
  <c r="G341" i="29"/>
  <c r="I341" i="29"/>
  <c r="G342" i="29"/>
  <c r="I342" i="29"/>
  <c r="G343" i="29"/>
  <c r="I343" i="29"/>
  <c r="G344" i="29"/>
  <c r="I344" i="29"/>
  <c r="G345" i="29"/>
  <c r="I345" i="29"/>
  <c r="G346" i="29"/>
  <c r="I346" i="29"/>
  <c r="G347" i="29"/>
  <c r="I347" i="29"/>
  <c r="G348" i="29"/>
  <c r="I348" i="29"/>
  <c r="G349" i="29"/>
  <c r="I349" i="29"/>
  <c r="G350" i="29"/>
  <c r="I350" i="29"/>
  <c r="G351" i="29"/>
  <c r="I351" i="29"/>
  <c r="G352" i="29"/>
  <c r="I352" i="29"/>
  <c r="G353" i="29"/>
  <c r="I353" i="29"/>
  <c r="G354" i="29"/>
  <c r="I354" i="29"/>
  <c r="G355" i="29"/>
  <c r="I355" i="29"/>
  <c r="G356" i="29"/>
  <c r="I356" i="29"/>
  <c r="G357" i="29"/>
  <c r="I357" i="29"/>
  <c r="G358" i="29"/>
  <c r="I358" i="29"/>
  <c r="G359" i="29"/>
  <c r="I359" i="29"/>
  <c r="G360" i="29"/>
  <c r="I360" i="29"/>
  <c r="G361" i="29"/>
  <c r="I361" i="29"/>
  <c r="G362" i="29"/>
  <c r="I362" i="29"/>
  <c r="G363" i="29"/>
  <c r="I363" i="29"/>
  <c r="G364" i="29"/>
  <c r="I364" i="29"/>
  <c r="G365" i="29"/>
  <c r="I365" i="29"/>
  <c r="G366" i="29"/>
  <c r="I366" i="29"/>
  <c r="G367" i="29"/>
  <c r="I367" i="29"/>
  <c r="G368" i="29"/>
  <c r="I368" i="29"/>
  <c r="G369" i="29"/>
  <c r="I369" i="29"/>
  <c r="G370" i="29"/>
  <c r="I370" i="29"/>
  <c r="G371" i="29"/>
  <c r="I371" i="29"/>
  <c r="I9" i="29"/>
  <c r="J371" i="29"/>
  <c r="G9" i="29"/>
  <c r="G4" i="29"/>
  <c r="J370" i="29"/>
  <c r="J369" i="29"/>
  <c r="J368" i="29"/>
  <c r="J367" i="29"/>
  <c r="J366" i="29"/>
  <c r="J365" i="29"/>
  <c r="J364" i="29"/>
  <c r="J363" i="29"/>
  <c r="J362" i="29"/>
  <c r="J361" i="29"/>
  <c r="J360" i="29"/>
  <c r="J359" i="29"/>
  <c r="J358" i="29"/>
  <c r="J357" i="29"/>
  <c r="J356" i="29"/>
  <c r="J355" i="29"/>
  <c r="J354" i="29"/>
  <c r="J353" i="29"/>
  <c r="J352" i="29"/>
  <c r="J351" i="29"/>
  <c r="J350" i="29"/>
  <c r="J349" i="29"/>
  <c r="J348" i="29"/>
  <c r="J347" i="29"/>
  <c r="J346" i="29"/>
  <c r="J345" i="29"/>
  <c r="J344" i="29"/>
  <c r="J343" i="29"/>
  <c r="J342" i="29"/>
  <c r="J341" i="29"/>
  <c r="J340" i="29"/>
  <c r="J339" i="29"/>
  <c r="J338" i="29"/>
  <c r="J337" i="29"/>
  <c r="J336" i="29"/>
  <c r="J335" i="29"/>
  <c r="J333" i="29"/>
  <c r="J334" i="29"/>
  <c r="J332" i="29"/>
  <c r="J330" i="29"/>
  <c r="J331" i="29"/>
  <c r="J329" i="29"/>
  <c r="J327" i="29"/>
  <c r="J328" i="29"/>
  <c r="J326" i="29"/>
  <c r="J325" i="29"/>
  <c r="J324" i="29"/>
  <c r="J322" i="29"/>
  <c r="J323" i="29"/>
  <c r="J321" i="29"/>
  <c r="J320" i="29"/>
  <c r="J319" i="29"/>
  <c r="J317" i="29"/>
  <c r="J318" i="29"/>
  <c r="J316" i="29"/>
  <c r="J315" i="29"/>
  <c r="J314" i="29"/>
  <c r="J313" i="29"/>
  <c r="J311" i="29"/>
  <c r="J312" i="29"/>
  <c r="J310" i="29"/>
  <c r="J309" i="29"/>
  <c r="J308" i="29"/>
  <c r="J307" i="29"/>
  <c r="J305" i="29"/>
  <c r="J306" i="29"/>
  <c r="J304" i="29"/>
  <c r="J303" i="29"/>
  <c r="J302" i="29"/>
  <c r="J301" i="29"/>
  <c r="J300" i="29"/>
  <c r="J298" i="29"/>
  <c r="J299" i="29"/>
  <c r="J297" i="29"/>
  <c r="J296" i="29"/>
  <c r="J295" i="29"/>
  <c r="J294" i="29"/>
  <c r="J293" i="29"/>
  <c r="J292" i="29"/>
  <c r="J291" i="29"/>
  <c r="J290" i="29"/>
  <c r="J289" i="29"/>
  <c r="J288" i="29"/>
  <c r="J287" i="29"/>
  <c r="J285" i="29"/>
  <c r="J286" i="29"/>
  <c r="J284" i="29"/>
  <c r="J283" i="29"/>
  <c r="J281" i="29"/>
  <c r="J282" i="29"/>
  <c r="J280" i="29"/>
  <c r="J279" i="29"/>
  <c r="J278" i="29"/>
  <c r="J277" i="29"/>
  <c r="J276" i="29"/>
  <c r="J275" i="29"/>
  <c r="J274" i="29"/>
  <c r="J273" i="29"/>
  <c r="J272" i="29"/>
  <c r="J269" i="29"/>
  <c r="J270" i="29"/>
  <c r="J271" i="29"/>
  <c r="J268" i="29"/>
  <c r="J267" i="29"/>
  <c r="J266" i="29"/>
  <c r="J265" i="29"/>
  <c r="J263" i="29"/>
  <c r="J264" i="29"/>
  <c r="J261" i="29"/>
  <c r="J262" i="29"/>
  <c r="J260" i="29"/>
  <c r="J259" i="29"/>
  <c r="J258" i="29"/>
  <c r="J256" i="29"/>
  <c r="J255" i="29"/>
  <c r="J257" i="29"/>
  <c r="J254" i="29"/>
  <c r="J253" i="29"/>
  <c r="J252" i="29"/>
  <c r="J251" i="29"/>
  <c r="J250" i="29"/>
  <c r="J249" i="29"/>
  <c r="J247" i="29"/>
  <c r="J248" i="29"/>
  <c r="J245" i="29"/>
  <c r="J246" i="29"/>
  <c r="J244" i="29"/>
  <c r="J243" i="29"/>
  <c r="J242" i="29"/>
  <c r="J240" i="29"/>
  <c r="J241" i="29"/>
  <c r="J239" i="29"/>
  <c r="J238" i="29"/>
  <c r="J237" i="29"/>
  <c r="J234" i="29"/>
  <c r="J235" i="29"/>
  <c r="J236" i="29"/>
  <c r="J233" i="29"/>
  <c r="J231" i="29"/>
  <c r="J232" i="29"/>
  <c r="J229" i="29"/>
  <c r="J230" i="29"/>
  <c r="J227" i="29"/>
  <c r="J228" i="29"/>
  <c r="J225" i="29"/>
  <c r="J226" i="29"/>
  <c r="J224" i="29"/>
  <c r="J222" i="29"/>
  <c r="J223" i="29"/>
  <c r="J221" i="29"/>
  <c r="J220" i="29"/>
  <c r="J219" i="29"/>
  <c r="J218" i="29"/>
  <c r="J217" i="29"/>
  <c r="J216" i="29"/>
  <c r="J215" i="29"/>
  <c r="J214" i="29"/>
  <c r="J213" i="29"/>
  <c r="J212" i="29"/>
  <c r="J211" i="29"/>
  <c r="J210" i="29"/>
  <c r="J209" i="29"/>
  <c r="J208" i="29"/>
  <c r="J207" i="29"/>
  <c r="J206" i="29"/>
  <c r="J205" i="29"/>
  <c r="J204" i="29"/>
  <c r="J202" i="29"/>
  <c r="J203" i="29"/>
  <c r="J201" i="29"/>
  <c r="J199" i="29"/>
  <c r="J200" i="29"/>
  <c r="J197" i="29"/>
  <c r="J198" i="29"/>
  <c r="J195" i="29"/>
  <c r="J196" i="29"/>
  <c r="J194" i="29"/>
  <c r="J192" i="29"/>
  <c r="J193" i="29"/>
  <c r="J191" i="29"/>
  <c r="J189" i="29"/>
  <c r="J190" i="29"/>
  <c r="J187" i="29"/>
  <c r="J188" i="29"/>
  <c r="J186" i="29"/>
  <c r="J185" i="29"/>
  <c r="J184" i="29"/>
  <c r="J183" i="29"/>
  <c r="J182" i="29"/>
  <c r="J181" i="29"/>
  <c r="J180" i="29"/>
  <c r="J179" i="29"/>
  <c r="J178" i="29"/>
  <c r="J177" i="29"/>
  <c r="J176" i="29"/>
  <c r="J174" i="29"/>
  <c r="J175" i="29"/>
  <c r="J173" i="29"/>
  <c r="J170" i="29"/>
  <c r="J171" i="29"/>
  <c r="J172" i="29"/>
  <c r="J169" i="29"/>
  <c r="J168" i="29"/>
  <c r="J167" i="29"/>
  <c r="J166" i="29"/>
  <c r="J165" i="29"/>
  <c r="J164" i="29"/>
  <c r="J163" i="29"/>
  <c r="J162" i="29"/>
  <c r="J160" i="29"/>
  <c r="J161" i="29"/>
  <c r="J159" i="29"/>
  <c r="J157" i="29"/>
  <c r="J158" i="29"/>
  <c r="J156" i="29"/>
  <c r="J155" i="29"/>
  <c r="J154" i="29"/>
  <c r="J153" i="29"/>
  <c r="J152" i="29"/>
  <c r="J150" i="29"/>
  <c r="J151" i="29"/>
  <c r="J148" i="29"/>
  <c r="J149" i="29"/>
  <c r="J147" i="29"/>
  <c r="J146" i="29"/>
  <c r="J144" i="29"/>
  <c r="J145" i="29"/>
  <c r="J142" i="29"/>
  <c r="J143" i="29"/>
  <c r="J141" i="29"/>
  <c r="J139" i="29"/>
  <c r="J138" i="29"/>
  <c r="J140" i="29"/>
  <c r="J137" i="29"/>
  <c r="J136" i="29"/>
  <c r="J135" i="29"/>
  <c r="J133" i="29"/>
  <c r="J134" i="29"/>
  <c r="J132" i="29"/>
  <c r="J131" i="29"/>
  <c r="J130" i="29"/>
  <c r="J129" i="29"/>
  <c r="J128" i="29"/>
  <c r="J127" i="29"/>
  <c r="J126" i="29"/>
  <c r="J125" i="29"/>
  <c r="J124" i="29"/>
  <c r="J123" i="29"/>
  <c r="J122" i="29"/>
  <c r="J121" i="29"/>
  <c r="J120" i="29"/>
  <c r="J119" i="29"/>
  <c r="J118" i="29"/>
  <c r="J117" i="29"/>
  <c r="J116" i="29"/>
  <c r="J115" i="29"/>
  <c r="J114" i="29"/>
  <c r="J112" i="29"/>
  <c r="J113" i="29"/>
  <c r="J111" i="29"/>
  <c r="J110" i="29"/>
  <c r="J108" i="29"/>
  <c r="J109" i="29"/>
  <c r="J107" i="29"/>
  <c r="J105" i="29"/>
  <c r="J106" i="29"/>
  <c r="J103" i="29"/>
  <c r="J104" i="29"/>
  <c r="J102" i="29"/>
  <c r="J101" i="29"/>
  <c r="J100" i="29"/>
  <c r="J98" i="29"/>
  <c r="J99" i="29"/>
  <c r="J97" i="29"/>
  <c r="J96" i="29"/>
  <c r="J95" i="29"/>
  <c r="J93" i="29"/>
  <c r="J94" i="29"/>
  <c r="J92" i="29"/>
  <c r="J90" i="29"/>
  <c r="J91" i="29"/>
  <c r="J89" i="29"/>
  <c r="J88" i="29"/>
  <c r="J87" i="29"/>
  <c r="J86" i="29"/>
  <c r="J85" i="29"/>
  <c r="J84" i="29"/>
  <c r="J82" i="29"/>
  <c r="J83" i="29"/>
  <c r="J81" i="29"/>
  <c r="J80" i="29"/>
  <c r="J79" i="29"/>
  <c r="J77" i="29"/>
  <c r="J78" i="29"/>
  <c r="J76" i="29"/>
  <c r="J75" i="29"/>
  <c r="J74" i="29"/>
  <c r="J72" i="29"/>
  <c r="J73" i="29"/>
  <c r="J70" i="29"/>
  <c r="J71" i="29"/>
  <c r="J69" i="29"/>
  <c r="J68" i="29"/>
  <c r="J67" i="29"/>
  <c r="J66" i="29"/>
  <c r="J65" i="29"/>
  <c r="J64" i="29"/>
  <c r="J62" i="29"/>
  <c r="J63" i="29"/>
  <c r="J61" i="29"/>
  <c r="J60" i="29"/>
  <c r="J59" i="29"/>
  <c r="J58" i="29"/>
  <c r="J56" i="29"/>
  <c r="J57" i="29"/>
  <c r="J54" i="29"/>
  <c r="J55" i="29"/>
  <c r="J53" i="29"/>
  <c r="J52" i="29"/>
  <c r="J50" i="29"/>
  <c r="J51" i="29"/>
  <c r="J49" i="29"/>
  <c r="J48" i="29"/>
  <c r="J47" i="29"/>
  <c r="J46" i="29"/>
  <c r="J45" i="29"/>
  <c r="J44" i="29"/>
  <c r="J43" i="29"/>
  <c r="J42" i="29"/>
  <c r="J41" i="29"/>
  <c r="J40" i="29"/>
  <c r="J39" i="29"/>
  <c r="J38" i="29"/>
  <c r="J37" i="29"/>
  <c r="J36" i="29"/>
  <c r="J35" i="29"/>
  <c r="J34" i="29"/>
  <c r="J33" i="29"/>
  <c r="J32" i="29"/>
  <c r="J31" i="29"/>
  <c r="J30" i="29"/>
  <c r="J29" i="29"/>
  <c r="J28" i="29"/>
  <c r="J27" i="29"/>
  <c r="J26" i="29"/>
  <c r="J25" i="29"/>
  <c r="J24" i="29"/>
  <c r="C17" i="22" l="1"/>
</calcChain>
</file>

<file path=xl/comments1.xml><?xml version="1.0" encoding="utf-8"?>
<comments xmlns="http://schemas.openxmlformats.org/spreadsheetml/2006/main">
  <authors>
    <author xml:space="preserve"> </author>
  </authors>
  <commentList>
    <comment ref="G5" authorId="0">
      <text>
        <r>
          <rPr>
            <sz val="10"/>
            <color indexed="81"/>
            <rFont val="Tahoma"/>
            <family val="2"/>
          </rPr>
          <t xml:space="preserve">F2 makes the contents of a cell live and color-codes the constituent elements
</t>
        </r>
      </text>
    </comment>
  </commentList>
</comments>
</file>

<file path=xl/comments2.xml><?xml version="1.0" encoding="utf-8"?>
<comments xmlns="http://schemas.openxmlformats.org/spreadsheetml/2006/main">
  <authors>
    <author>REFM_MacAir</author>
  </authors>
  <commentList>
    <comment ref="F22" authorId="0">
      <text>
        <r>
          <rPr>
            <b/>
            <sz val="9"/>
            <color indexed="81"/>
            <rFont val="Tahoma"/>
            <family val="2"/>
          </rPr>
          <t xml:space="preserve">Note: </t>
        </r>
        <r>
          <rPr>
            <sz val="9"/>
            <color indexed="81"/>
            <rFont val="Tahoma"/>
            <family val="2"/>
          </rPr>
          <t>We have gone from the 1st of the month to the 2nd of the next month.</t>
        </r>
      </text>
    </comment>
    <comment ref="I22" authorId="0">
      <text>
        <r>
          <rPr>
            <b/>
            <sz val="9"/>
            <color indexed="81"/>
            <rFont val="Tahoma"/>
            <family val="2"/>
          </rPr>
          <t xml:space="preserve">Note: </t>
        </r>
        <r>
          <rPr>
            <sz val="9"/>
            <color indexed="81"/>
            <rFont val="Tahoma"/>
            <family val="2"/>
          </rPr>
          <t>We have gone from the 1st of the month to the 31st of the same month.</t>
        </r>
      </text>
    </comment>
  </commentList>
</comments>
</file>

<file path=xl/comments3.xml><?xml version="1.0" encoding="utf-8"?>
<comments xmlns="http://schemas.openxmlformats.org/spreadsheetml/2006/main">
  <authors>
    <author>Bruce Kirsch</author>
  </authors>
  <commentList>
    <comment ref="B34" authorId="0">
      <text>
        <r>
          <rPr>
            <b/>
            <sz val="14"/>
            <color indexed="81"/>
            <rFont val="Tahoma"/>
            <family val="2"/>
          </rPr>
          <t>Construction Month</t>
        </r>
        <r>
          <rPr>
            <sz val="14"/>
            <color indexed="81"/>
            <rFont val="Tahoma"/>
            <family val="2"/>
          </rPr>
          <t xml:space="preserve">
= IF(Current Month &gt; Construction End month #, "-", IF(Current Month&gt;= # of months of Pre-Construction+1, IF (Current Month = # of months of Pre-Construction,1, Last Month's Construction month #+1),0)</t>
        </r>
      </text>
    </comment>
  </commentList>
</comments>
</file>

<file path=xl/comments4.xml><?xml version="1.0" encoding="utf-8"?>
<comments xmlns="http://schemas.openxmlformats.org/spreadsheetml/2006/main">
  <authors>
    <author>Bruce Kirsch</author>
    <author>REFM_MacAir</author>
  </authors>
  <commentList>
    <comment ref="B18" authorId="0">
      <text>
        <r>
          <rPr>
            <b/>
            <sz val="14"/>
            <color indexed="81"/>
            <rFont val="Tahoma"/>
            <family val="2"/>
          </rPr>
          <t>Construction Month</t>
        </r>
        <r>
          <rPr>
            <sz val="14"/>
            <color indexed="81"/>
            <rFont val="Tahoma"/>
            <family val="2"/>
          </rPr>
          <t xml:space="preserve">
= IF(Current Month &gt; Construction End month #, "-", IF(Current Month&gt;= # of months of Pre-Construction+1, IF (Current Month = # of months of Pre-Construction,1, Last Month's Construction month #+1),0)</t>
        </r>
      </text>
    </comment>
    <comment ref="E27" authorId="1">
      <text>
        <r>
          <rPr>
            <b/>
            <sz val="9"/>
            <color indexed="81"/>
            <rFont val="Tahoma"/>
            <family val="2"/>
          </rPr>
          <t xml:space="preserve">REFM Best Practice: </t>
        </r>
        <r>
          <rPr>
            <sz val="9"/>
            <color indexed="81"/>
            <rFont val="Tahoma"/>
            <family val="2"/>
          </rPr>
          <t>If it is likely to change, i.e., it is a variable, treat it as one.</t>
        </r>
      </text>
    </comment>
    <comment ref="G27" authorId="1">
      <text>
        <r>
          <rPr>
            <b/>
            <sz val="9"/>
            <color indexed="81"/>
            <rFont val="Tahoma"/>
            <family val="2"/>
          </rPr>
          <t xml:space="preserve">REFM Best Practice: </t>
        </r>
        <r>
          <rPr>
            <sz val="9"/>
            <color indexed="81"/>
            <rFont val="Tahoma"/>
            <family val="2"/>
          </rPr>
          <t xml:space="preserve">Always put a Total column on the </t>
        </r>
        <r>
          <rPr>
            <b/>
            <sz val="9"/>
            <color indexed="81"/>
            <rFont val="Tahoma"/>
            <family val="2"/>
          </rPr>
          <t>left-hand</t>
        </r>
        <r>
          <rPr>
            <sz val="9"/>
            <color indexed="81"/>
            <rFont val="Tahoma"/>
            <family val="2"/>
          </rPr>
          <t xml:space="preserve"> side of the line item where it will be visible to you.</t>
        </r>
      </text>
    </comment>
    <comment ref="H27" authorId="1">
      <text>
        <r>
          <rPr>
            <b/>
            <sz val="9"/>
            <color indexed="81"/>
            <rFont val="Tahoma"/>
            <family val="2"/>
          </rPr>
          <t xml:space="preserve">REFM Best Practice: </t>
        </r>
        <r>
          <rPr>
            <sz val="9"/>
            <color indexed="81"/>
            <rFont val="Tahoma"/>
            <family val="2"/>
          </rPr>
          <t>Always check to make sure your total allocation ties to your toal Budget amount.</t>
        </r>
      </text>
    </comment>
  </commentList>
</comments>
</file>

<file path=xl/comments5.xml><?xml version="1.0" encoding="utf-8"?>
<comments xmlns="http://schemas.openxmlformats.org/spreadsheetml/2006/main">
  <authors>
    <author xml:space="preserve"> </author>
  </authors>
  <commentList>
    <comment ref="J13" authorId="0">
      <text>
        <r>
          <rPr>
            <sz val="14"/>
            <color indexed="81"/>
            <rFont val="Tahoma"/>
            <family val="2"/>
          </rPr>
          <t xml:space="preserve">Interest Portion can also be calculated by multiplying the Ending Balance from the previous period by the Monthly Interest Rate.
</t>
        </r>
      </text>
    </comment>
    <comment ref="K13" authorId="0">
      <text>
        <r>
          <rPr>
            <sz val="14"/>
            <color indexed="81"/>
            <rFont val="Tahoma"/>
            <family val="2"/>
          </rPr>
          <t xml:space="preserve">Interest Portion can alternatively be calculated by using the </t>
        </r>
        <r>
          <rPr>
            <b/>
            <u/>
            <sz val="14"/>
            <color indexed="81"/>
            <rFont val="Tahoma"/>
            <family val="2"/>
          </rPr>
          <t>IPMT</t>
        </r>
        <r>
          <rPr>
            <sz val="14"/>
            <color indexed="81"/>
            <rFont val="Tahoma"/>
            <family val="2"/>
          </rPr>
          <t xml:space="preserve"> function.
</t>
        </r>
      </text>
    </comment>
  </commentList>
</comments>
</file>

<file path=xl/comments6.xml><?xml version="1.0" encoding="utf-8"?>
<comments xmlns="http://schemas.openxmlformats.org/spreadsheetml/2006/main">
  <authors>
    <author xml:space="preserve"> </author>
  </authors>
  <commentList>
    <comment ref="F2" authorId="0">
      <text>
        <r>
          <rPr>
            <sz val="14"/>
            <color indexed="81"/>
            <rFont val="Tahoma"/>
            <family val="2"/>
          </rPr>
          <t xml:space="preserve">Exercise - Build an </t>
        </r>
        <r>
          <rPr>
            <b/>
            <sz val="14"/>
            <color indexed="81"/>
            <rFont val="Tahoma"/>
            <family val="2"/>
          </rPr>
          <t>Interest Only</t>
        </r>
        <r>
          <rPr>
            <sz val="14"/>
            <color indexed="81"/>
            <rFont val="Tahoma"/>
            <family val="2"/>
          </rPr>
          <t xml:space="preserve"> Component into this schedule by altering the Monthly Payment, Principal Portion and Ending Balance formulas.
Make the I/O period last 2 years. Keep the Term of Amortization constant. Thus, the total loan timeline will be 27 years, not 25 years.</t>
        </r>
      </text>
    </comment>
  </commentList>
</comments>
</file>

<file path=xl/comments7.xml><?xml version="1.0" encoding="utf-8"?>
<comments xmlns="http://schemas.openxmlformats.org/spreadsheetml/2006/main">
  <authors>
    <author xml:space="preserve"> </author>
  </authors>
  <commentList>
    <comment ref="F2" authorId="0">
      <text>
        <r>
          <rPr>
            <sz val="14"/>
            <color indexed="81"/>
            <rFont val="Tahoma"/>
            <family val="2"/>
          </rPr>
          <t xml:space="preserve">Exercise - Build an </t>
        </r>
        <r>
          <rPr>
            <b/>
            <sz val="14"/>
            <color indexed="81"/>
            <rFont val="Tahoma"/>
            <family val="2"/>
          </rPr>
          <t>Interest Only</t>
        </r>
        <r>
          <rPr>
            <sz val="14"/>
            <color indexed="81"/>
            <rFont val="Tahoma"/>
            <family val="2"/>
          </rPr>
          <t xml:space="preserve"> Component into this schedule by altering the Monthly Payment, Principal Portion and Ending Balance formulas.
Make the I/O period last 2 years. Keep the Term of Amortization constant. Thus, the total loan timeline will be 27 years, not 25 years.</t>
        </r>
      </text>
    </comment>
    <comment ref="I11" authorId="0">
      <text>
        <r>
          <rPr>
            <sz val="12"/>
            <color indexed="81"/>
            <rFont val="Tahoma"/>
            <family val="2"/>
          </rPr>
          <t>Can also be calculated by multiplying the Ending Balance from the previous period by the Monthly Interest Rate</t>
        </r>
      </text>
    </comment>
  </commentList>
</comments>
</file>

<file path=xl/comments8.xml><?xml version="1.0" encoding="utf-8"?>
<comments xmlns="http://schemas.openxmlformats.org/spreadsheetml/2006/main">
  <authors>
    <author>REFM_MacAir</author>
  </authors>
  <commentList>
    <comment ref="C17" authorId="0">
      <text>
        <r>
          <rPr>
            <b/>
            <sz val="9"/>
            <color indexed="81"/>
            <rFont val="Tahoma"/>
            <family val="2"/>
          </rPr>
          <t xml:space="preserve">NOTE: </t>
        </r>
        <r>
          <rPr>
            <sz val="9"/>
            <color indexed="81"/>
            <rFont val="Tahoma"/>
            <family val="2"/>
          </rPr>
          <t xml:space="preserve">The value that you wish to see the changes in (the sensitivity output) must be wired to that value on this </t>
        </r>
        <r>
          <rPr>
            <b/>
            <sz val="9"/>
            <color indexed="81"/>
            <rFont val="Tahoma"/>
            <family val="2"/>
          </rPr>
          <t>same tab</t>
        </r>
        <r>
          <rPr>
            <sz val="9"/>
            <color indexed="81"/>
            <rFont val="Tahoma"/>
            <family val="2"/>
          </rPr>
          <t xml:space="preserve">.
</t>
        </r>
      </text>
    </comment>
  </commentList>
</comments>
</file>

<file path=xl/comments9.xml><?xml version="1.0" encoding="utf-8"?>
<comments xmlns="http://schemas.openxmlformats.org/spreadsheetml/2006/main">
  <authors>
    <author xml:space="preserve"> </author>
  </authors>
  <commentList>
    <comment ref="E6" authorId="0">
      <text>
        <r>
          <rPr>
            <b/>
            <sz val="10"/>
            <color indexed="81"/>
            <rFont val="Tahoma"/>
            <family val="2"/>
          </rPr>
          <t>Say you are seeking to determine what the Interest Cost will be for a project you are analyzing.  You speak with your developer contacts and they say that Interest for a project of the size and nature you are contemplating would likely be around 10% of the Total Project Cost.  Well that should be easy enough to calculate, right?
The fundamental problem is that the Interest Cost itself is a component of the Total Project Cost, so the calculation of the Interest will in fact reference itself... This is a Circular Reference.  Excel can either allow or disallow these types of references, depending on the Formulas and Calculations settings you select.
Below is the mathematical/logical foundation for this particular Circular Reference. Be sure to hit F2 to view the formulas in illustration below.</t>
        </r>
      </text>
    </comment>
    <comment ref="E13" authorId="0">
      <text>
        <r>
          <rPr>
            <b/>
            <sz val="8"/>
            <color indexed="81"/>
            <rFont val="Tahoma"/>
            <family val="2"/>
          </rPr>
          <t>You are seeking the Interest Cost, and you know the Hard/Soft Costs.</t>
        </r>
        <r>
          <rPr>
            <sz val="8"/>
            <color indexed="81"/>
            <rFont val="Tahoma"/>
            <family val="2"/>
          </rPr>
          <t xml:space="preserve">
</t>
        </r>
      </text>
    </comment>
    <comment ref="H13" authorId="0">
      <text>
        <r>
          <rPr>
            <b/>
            <sz val="8"/>
            <color indexed="81"/>
            <rFont val="Tahoma"/>
            <family val="2"/>
          </rPr>
          <t xml:space="preserve">If you assume that the Interest Cost is 10% of the Total Project Cost, then you can simply multiply the two… </t>
        </r>
      </text>
    </comment>
    <comment ref="N13" authorId="0">
      <text>
        <r>
          <rPr>
            <b/>
            <sz val="8"/>
            <color indexed="81"/>
            <rFont val="Tahoma"/>
            <family val="2"/>
          </rPr>
          <t>And if you are going to remain consistent with your assumption that Interest Cost is 10% of the Total Project Cost, then you need to recalculate the Interest Cost given the newly calculated Total Project Cost...</t>
        </r>
        <r>
          <rPr>
            <sz val="8"/>
            <color indexed="81"/>
            <rFont val="Tahoma"/>
            <family val="2"/>
          </rPr>
          <t xml:space="preserve">
</t>
        </r>
      </text>
    </comment>
    <comment ref="K14" authorId="0">
      <text>
        <r>
          <rPr>
            <b/>
            <sz val="8"/>
            <color indexed="81"/>
            <rFont val="Tahoma"/>
            <family val="2"/>
          </rPr>
          <t>…but when you calculate the Interest and then add it to the Hard/Soft costs, it increases the Total Project Cost from $100,000 to $110,000.</t>
        </r>
        <r>
          <rPr>
            <sz val="8"/>
            <color indexed="81"/>
            <rFont val="Tahoma"/>
            <family val="2"/>
          </rPr>
          <t xml:space="preserve">
</t>
        </r>
      </text>
    </comment>
    <comment ref="N14" authorId="0">
      <text>
        <r>
          <rPr>
            <b/>
            <sz val="8"/>
            <color indexed="81"/>
            <rFont val="Tahoma"/>
            <family val="2"/>
          </rPr>
          <t xml:space="preserve">…this higher Interest Cost in turn  increases your Total Project Cost again, so you theoretically need to perform these recalculations again and again and again.
</t>
        </r>
        <r>
          <rPr>
            <sz val="8"/>
            <color indexed="81"/>
            <rFont val="Tahoma"/>
            <family val="2"/>
          </rPr>
          <t xml:space="preserve">
</t>
        </r>
      </text>
    </comment>
    <comment ref="T14" authorId="0">
      <text>
        <r>
          <rPr>
            <b/>
            <sz val="8"/>
            <color indexed="81"/>
            <rFont val="Tahoma"/>
            <family val="2"/>
          </rPr>
          <t>But as you can see, the absolute change in the Interest amount (and thus the Total Project Cost) starts to scale down significantly by only the 5th Iteration (where the change is only $10).  If you run more Iterations, eventually the change will only be in fractions of a dollar.
Excel allows you to set its calculation engine such that it will run a specific number of Iterations.  Typically people let it run 100 Iterations for increased accuracy because today's computer processors are so powerful that it only takes a few seconds to do so. See below for how to set Excel to allow circular references.</t>
        </r>
      </text>
    </comment>
  </commentList>
</comments>
</file>

<file path=xl/sharedStrings.xml><?xml version="1.0" encoding="utf-8"?>
<sst xmlns="http://schemas.openxmlformats.org/spreadsheetml/2006/main" count="468" uniqueCount="280">
  <si>
    <t>Addition</t>
  </si>
  <si>
    <t>Subtraction</t>
  </si>
  <si>
    <t>Division</t>
  </si>
  <si>
    <t>Multiplication</t>
  </si>
  <si>
    <t>Order of Operations</t>
  </si>
  <si>
    <t>Addition using SUM</t>
  </si>
  <si>
    <t>Subtraction using SUM</t>
  </si>
  <si>
    <t>Exponentiation</t>
  </si>
  <si>
    <t>Answer</t>
  </si>
  <si>
    <t>Evaluate Formula Function</t>
  </si>
  <si>
    <t>Relative vs. Absolute References</t>
  </si>
  <si>
    <r>
      <t xml:space="preserve">A normal cell reference is a </t>
    </r>
    <r>
      <rPr>
        <u/>
        <sz val="14"/>
        <color indexed="8"/>
        <rFont val="Garamond"/>
        <family val="1"/>
      </rPr>
      <t>relative</t>
    </r>
    <r>
      <rPr>
        <sz val="14"/>
        <color theme="1"/>
        <rFont val="Garamond"/>
        <family val="2"/>
      </rPr>
      <t xml:space="preserve"> reference</t>
    </r>
  </si>
  <si>
    <r>
      <t xml:space="preserve">An </t>
    </r>
    <r>
      <rPr>
        <u/>
        <sz val="14"/>
        <color indexed="8"/>
        <rFont val="Garamond"/>
        <family val="1"/>
      </rPr>
      <t>absolute</t>
    </r>
    <r>
      <rPr>
        <sz val="14"/>
        <color theme="1"/>
        <rFont val="Garamond"/>
        <family val="2"/>
      </rPr>
      <t xml:space="preserve"> cell reference employs "anchoring" notation ($)</t>
    </r>
  </si>
  <si>
    <t>Different types of anchoring (use the F4 button to cycle through)</t>
  </si>
  <si>
    <t>Inserting and Deleting Rows and Columns</t>
  </si>
  <si>
    <t>Insert a Row - Alt. + I + R</t>
  </si>
  <si>
    <t>Row</t>
  </si>
  <si>
    <t>Column</t>
  </si>
  <si>
    <t>Insert a Column - Alt. + I + C</t>
  </si>
  <si>
    <t>Alternatively, you can use the Right mouse button to bring up a menu</t>
  </si>
  <si>
    <r>
      <t xml:space="preserve">Deleting Rows and Columns vs. Deleting just the </t>
    </r>
    <r>
      <rPr>
        <u/>
        <sz val="14"/>
        <color indexed="8"/>
        <rFont val="Garamond"/>
        <family val="1"/>
      </rPr>
      <t>contents</t>
    </r>
    <r>
      <rPr>
        <sz val="14"/>
        <color theme="1"/>
        <rFont val="Garamond"/>
        <family val="2"/>
      </rPr>
      <t xml:space="preserve"> of the cells within those Rows and Columns</t>
    </r>
  </si>
  <si>
    <t>Dates</t>
  </si>
  <si>
    <t>Creating a timeline</t>
  </si>
  <si>
    <t>Annual</t>
  </si>
  <si>
    <t>Method #1 - add</t>
  </si>
  <si>
    <t>Method #2 - drag</t>
  </si>
  <si>
    <t>Monthly</t>
  </si>
  <si>
    <t>Method #2 - EOMONTH</t>
  </si>
  <si>
    <t>Method #3 - EDATE</t>
  </si>
  <si>
    <r>
      <t>(</t>
    </r>
    <r>
      <rPr>
        <u/>
        <sz val="14"/>
        <color indexed="8"/>
        <rFont val="Garamond"/>
        <family val="1"/>
      </rPr>
      <t>last</t>
    </r>
    <r>
      <rPr>
        <sz val="14"/>
        <color indexed="8"/>
        <rFont val="Garamond"/>
        <family val="1"/>
      </rPr>
      <t xml:space="preserve"> </t>
    </r>
    <r>
      <rPr>
        <sz val="14"/>
        <color theme="1"/>
        <rFont val="Garamond"/>
        <family val="2"/>
      </rPr>
      <t>day of month)</t>
    </r>
  </si>
  <si>
    <r>
      <t xml:space="preserve">(one month </t>
    </r>
    <r>
      <rPr>
        <u/>
        <sz val="14"/>
        <color indexed="8"/>
        <rFont val="Garamond"/>
        <family val="1"/>
      </rPr>
      <t>from start</t>
    </r>
    <r>
      <rPr>
        <sz val="14"/>
        <color theme="1"/>
        <rFont val="Garamond"/>
        <family val="2"/>
      </rPr>
      <t>)</t>
    </r>
  </si>
  <si>
    <t>Conditional Statements</t>
  </si>
  <si>
    <t>The AND function</t>
  </si>
  <si>
    <t>Employing *IF</t>
  </si>
  <si>
    <t>Ending Balance</t>
  </si>
  <si>
    <t>PMT this period</t>
  </si>
  <si>
    <t>Monthly PMT</t>
  </si>
  <si>
    <t>The OR function</t>
  </si>
  <si>
    <t>Often, IF statements will be nested within one another to address situations with multiple variables</t>
  </si>
  <si>
    <t>Quarter Ending</t>
  </si>
  <si>
    <t>Net Operating Income</t>
  </si>
  <si>
    <t>NOI</t>
  </si>
  <si>
    <t>Year</t>
  </si>
  <si>
    <t>Total</t>
  </si>
  <si>
    <t>Month #</t>
  </si>
  <si>
    <t>Rounding</t>
  </si>
  <si>
    <t>ROUND</t>
  </si>
  <si>
    <t>ROUNDUP</t>
  </si>
  <si>
    <t>ROUNDDOWN</t>
  </si>
  <si>
    <t>To 0 Digits</t>
  </si>
  <si>
    <t>To 1 Digit</t>
  </si>
  <si>
    <t>To 4 Digits</t>
  </si>
  <si>
    <t>SUMIF function</t>
  </si>
  <si>
    <t>VLOOKUP Function</t>
  </si>
  <si>
    <t>Construction Schedule in months</t>
  </si>
  <si>
    <t>Monthly Distribution/Allocation</t>
  </si>
  <si>
    <t>Construction Schedule</t>
  </si>
  <si>
    <t>% of Total Budget Spent</t>
  </si>
  <si>
    <t>HLOOKUP Function</t>
  </si>
  <si>
    <t>Transpose</t>
  </si>
  <si>
    <t>Custom Formatting</t>
  </si>
  <si>
    <t>Years</t>
  </si>
  <si>
    <t>$</t>
  </si>
  <si>
    <t>GSF</t>
  </si>
  <si>
    <t>Paste Values Only</t>
  </si>
  <si>
    <t>Paste Formula Only</t>
  </si>
  <si>
    <t>Paste Values and Format Only</t>
  </si>
  <si>
    <t>Paste Special</t>
  </si>
  <si>
    <t>Rent Roll</t>
  </si>
  <si>
    <t>COUNTIF function</t>
  </si>
  <si>
    <t>Format Painting</t>
  </si>
  <si>
    <t>PV</t>
  </si>
  <si>
    <t>Future Value</t>
  </si>
  <si>
    <t>FV</t>
  </si>
  <si>
    <t>RATE</t>
  </si>
  <si>
    <t>IRR</t>
  </si>
  <si>
    <t>XIRR</t>
  </si>
  <si>
    <t>NPV</t>
  </si>
  <si>
    <t>XNPV</t>
  </si>
  <si>
    <t>Net Present Value</t>
  </si>
  <si>
    <t>Internal Rate of Return</t>
  </si>
  <si>
    <t>Levered Cash Flow</t>
  </si>
  <si>
    <t>Date</t>
  </si>
  <si>
    <t>Mortgage Payment Calculation</t>
  </si>
  <si>
    <t>Principal Amount</t>
  </si>
  <si>
    <t>Term of Amortization</t>
  </si>
  <si>
    <t>Annual Interest Rate</t>
  </si>
  <si>
    <t>Monthly Interest Rate</t>
  </si>
  <si>
    <t>Totals</t>
  </si>
  <si>
    <t>Month</t>
  </si>
  <si>
    <t>Beginning Balance</t>
  </si>
  <si>
    <t>Monthly Payment</t>
  </si>
  <si>
    <t>Principal Portion</t>
  </si>
  <si>
    <t>Interest Portion</t>
  </si>
  <si>
    <t>Interest % Payment</t>
  </si>
  <si>
    <t>X Internal Rate of Return</t>
  </si>
  <si>
    <t>X Net Present Value</t>
  </si>
  <si>
    <t>For Non-Periodic Cash Flows</t>
  </si>
  <si>
    <t>Formula Auditing</t>
  </si>
  <si>
    <t>Rent</t>
  </si>
  <si>
    <t>Rent PSF</t>
  </si>
  <si>
    <t>Expenses PSF</t>
  </si>
  <si>
    <t>Cap Rate</t>
  </si>
  <si>
    <t>Capitalized Value</t>
  </si>
  <si>
    <t>SF</t>
  </si>
  <si>
    <t>Captialized Value Sensitivity Table</t>
  </si>
  <si>
    <t>Capitalization Rate</t>
  </si>
  <si>
    <t>Data Tables</t>
  </si>
  <si>
    <t>Arithmetic</t>
  </si>
  <si>
    <t>Statistics</t>
  </si>
  <si>
    <t>MAX</t>
  </si>
  <si>
    <t>MIN</t>
  </si>
  <si>
    <t>AVE</t>
  </si>
  <si>
    <t>MED</t>
  </si>
  <si>
    <t>Interest</t>
  </si>
  <si>
    <t>Total Project Cost</t>
  </si>
  <si>
    <t>Growth Rate</t>
  </si>
  <si>
    <t>a comma in the thousands place, and it is followed by the suffix "Rentable Square Feet"</t>
  </si>
  <si>
    <t>Exercise - trace the precedents and the dependents of the Monthly payment for month 5 on the Mortgage tab</t>
  </si>
  <si>
    <t>% of Total Budget Spent in Month 5</t>
  </si>
  <si>
    <t>Excel For Real Estate Bootcamp</t>
  </si>
  <si>
    <t>Present Value of Year 3 Cash Flow</t>
  </si>
  <si>
    <t>Compounding of Present Value to end of Year 3</t>
  </si>
  <si>
    <t>Year #</t>
  </si>
  <si>
    <t>Day of Month</t>
  </si>
  <si>
    <t>Solution</t>
  </si>
  <si>
    <t>EOMONTH</t>
  </si>
  <si>
    <t>EDATE</t>
  </si>
  <si>
    <t>Actual Date</t>
  </si>
  <si>
    <t>Annual Discount Rate, or Annual Interest/Growth Rate</t>
  </si>
  <si>
    <t>Interest Only Period (enter 0 if none)</t>
  </si>
  <si>
    <t>Month I/O Period Ends</t>
  </si>
  <si>
    <r>
      <rPr>
        <b/>
        <sz val="18"/>
        <rFont val="Garamond"/>
        <family val="1"/>
      </rPr>
      <t>Solution -</t>
    </r>
    <r>
      <rPr>
        <i/>
        <sz val="18"/>
        <rFont val="Garamond"/>
        <family val="1"/>
      </rPr>
      <t xml:space="preserve"> Mortgage Payment Calculation with Interest Only Period</t>
    </r>
  </si>
  <si>
    <r>
      <rPr>
        <b/>
        <sz val="18"/>
        <rFont val="Garamond"/>
        <family val="1"/>
      </rPr>
      <t>Exercise -</t>
    </r>
    <r>
      <rPr>
        <i/>
        <sz val="18"/>
        <rFont val="Garamond"/>
        <family val="1"/>
      </rPr>
      <t xml:space="preserve"> Mortgage Payment Calculation with Interest Only Period</t>
    </r>
  </si>
  <si>
    <t>To Tens Place</t>
  </si>
  <si>
    <t>To Hundreds Place</t>
  </si>
  <si>
    <t>To Thousands Place</t>
  </si>
  <si>
    <t xml:space="preserve">Real Estate Application of Rounding: </t>
  </si>
  <si>
    <t>on a given square footage and an average assumed unit size for each type of unit.</t>
  </si>
  <si>
    <t>Total RSF</t>
  </si>
  <si>
    <t>1 Bedroom</t>
  </si>
  <si>
    <t>2 Bedroom</t>
  </si>
  <si>
    <t xml:space="preserve">Determining the total number of apartment units in a building to be developed based </t>
  </si>
  <si>
    <t>Total Units / RSF</t>
  </si>
  <si>
    <t>Calculating the average square footage of the apartment units in an existing building, and the average rents on a per-square foot basis.</t>
  </si>
  <si>
    <t># of Units</t>
  </si>
  <si>
    <t>Square Footage</t>
  </si>
  <si>
    <t>Constructing a formula for calculating operating expenses and then copying and pasting that formula over a multi-year period.</t>
  </si>
  <si>
    <t>Operating Expenses</t>
  </si>
  <si>
    <t>Exercise - grow operating expenses by 3% annually using the Column only anchor</t>
  </si>
  <si>
    <t>Growing a base rent value by a constant growth rate over multiple periods.</t>
  </si>
  <si>
    <t>Real Estate Application of Inserting Rows and Columns:</t>
  </si>
  <si>
    <t>Inserting a new expense line item (row) in a projection model, or inserting another year in a projection model (column).</t>
  </si>
  <si>
    <t>Real Estate Application of Dates:</t>
  </si>
  <si>
    <t>Creating a monthly or annual timeline for a pro-forma analysis.</t>
  </si>
  <si>
    <t>Allocating a line item cost over the different phases of a development project.</t>
  </si>
  <si>
    <t>Construction Status</t>
  </si>
  <si>
    <t>Permit Status</t>
  </si>
  <si>
    <t>SUMIF and COUNTIF</t>
  </si>
  <si>
    <t>1/1</t>
  </si>
  <si>
    <t>1/2</t>
  </si>
  <si>
    <t>2/1</t>
  </si>
  <si>
    <t>2/2</t>
  </si>
  <si>
    <t>3/2</t>
  </si>
  <si>
    <t>Apartment Unit Type</t>
  </si>
  <si>
    <t>Time Value of Money and Financial Functions</t>
  </si>
  <si>
    <t>Net Operating Income PSF</t>
  </si>
  <si>
    <t>Circular References</t>
  </si>
  <si>
    <t>Circular references are when formulas either directly or indirectly refer back to their own cell, creating a circular loop.</t>
  </si>
  <si>
    <t>Iteration 0</t>
  </si>
  <si>
    <t>Iteration 1</t>
  </si>
  <si>
    <t>Iteration 2</t>
  </si>
  <si>
    <t>Iteration 3</t>
  </si>
  <si>
    <t>Iteration 4</t>
  </si>
  <si>
    <t>Iteration 5</t>
  </si>
  <si>
    <t>Hard and Soft Costs</t>
  </si>
  <si>
    <t>?</t>
  </si>
  <si>
    <t>Step 1: Go to Excel Options</t>
  </si>
  <si>
    <t>Step 2: Go to Formulas</t>
  </si>
  <si>
    <t>Step 3</t>
  </si>
  <si>
    <t>- Check "Enable iterative calculation" in Formulas settings</t>
  </si>
  <si>
    <t>- Leave Maximum Iterations at 100, and Leave Maximum Change at 0.001</t>
  </si>
  <si>
    <t>- Ensure Workbook Calculation setting is at "Manual" and use the Formula ribbon's "Calculate Now" button, or hit F9 to run calculations (Cmd+= on Macs)</t>
  </si>
  <si>
    <t xml:space="preserve">Net Cash Flow </t>
  </si>
  <si>
    <t xml:space="preserve">Solution </t>
  </si>
  <si>
    <t xml:space="preserve">Year </t>
  </si>
  <si>
    <t>&gt;&gt;&gt;</t>
  </si>
  <si>
    <t>Year 5 Rent</t>
  </si>
  <si>
    <t>Year 1 Rent</t>
  </si>
  <si>
    <t>Annual Escalation</t>
  </si>
  <si>
    <t>Future Year</t>
  </si>
  <si>
    <r>
      <rPr>
        <b/>
        <sz val="14"/>
        <color theme="6" tint="-0.499984740745262"/>
        <rFont val="Garamond"/>
        <family val="1"/>
      </rPr>
      <t>P</t>
    </r>
    <r>
      <rPr>
        <sz val="14"/>
        <color theme="6" tint="-0.499984740745262"/>
        <rFont val="Garamond"/>
        <family val="1"/>
      </rPr>
      <t>arentheses</t>
    </r>
  </si>
  <si>
    <r>
      <rPr>
        <b/>
        <sz val="14"/>
        <color theme="9" tint="-0.249977111117893"/>
        <rFont val="Garamond"/>
        <family val="1"/>
      </rPr>
      <t>M</t>
    </r>
    <r>
      <rPr>
        <sz val="14"/>
        <color theme="9" tint="-0.249977111117893"/>
        <rFont val="Garamond"/>
        <family val="1"/>
      </rPr>
      <t>ultiplication</t>
    </r>
  </si>
  <si>
    <r>
      <rPr>
        <b/>
        <sz val="14"/>
        <color theme="9" tint="-0.249977111117893"/>
        <rFont val="Garamond"/>
        <family val="1"/>
      </rPr>
      <t>D</t>
    </r>
    <r>
      <rPr>
        <sz val="14"/>
        <color theme="9" tint="-0.249977111117893"/>
        <rFont val="Garamond"/>
        <family val="1"/>
      </rPr>
      <t>ivision</t>
    </r>
  </si>
  <si>
    <t>Exercise: Write a statement using exponents to calculate the Year 5 rent</t>
  </si>
  <si>
    <r>
      <rPr>
        <b/>
        <sz val="14"/>
        <color rgb="FF000090"/>
        <rFont val="Garamond"/>
        <family val="1"/>
      </rPr>
      <t>A</t>
    </r>
    <r>
      <rPr>
        <sz val="14"/>
        <color rgb="FF000090"/>
        <rFont val="Garamond"/>
        <family val="1"/>
      </rPr>
      <t>ddition</t>
    </r>
  </si>
  <si>
    <r>
      <rPr>
        <b/>
        <sz val="14"/>
        <color rgb="FF000090"/>
        <rFont val="Garamond"/>
        <family val="1"/>
      </rPr>
      <t>S</t>
    </r>
    <r>
      <rPr>
        <sz val="14"/>
        <color rgb="FF000090"/>
        <rFont val="Garamond"/>
        <family val="1"/>
      </rPr>
      <t>ubtraction</t>
    </r>
  </si>
  <si>
    <r>
      <rPr>
        <b/>
        <sz val="14"/>
        <color rgb="FF800080"/>
        <rFont val="Garamond"/>
        <family val="1"/>
      </rPr>
      <t>E</t>
    </r>
    <r>
      <rPr>
        <sz val="14"/>
        <color rgb="FF800080"/>
        <rFont val="Garamond"/>
        <family val="1"/>
      </rPr>
      <t>xponents</t>
    </r>
  </si>
  <si>
    <r>
      <rPr>
        <b/>
        <sz val="14"/>
        <color theme="6" tint="-0.499984740745262"/>
        <rFont val="Garamond"/>
        <family val="1"/>
      </rPr>
      <t>1. P</t>
    </r>
    <r>
      <rPr>
        <sz val="14"/>
        <color theme="6" tint="-0.499984740745262"/>
        <rFont val="Garamond"/>
        <family val="1"/>
      </rPr>
      <t>lease</t>
    </r>
  </si>
  <si>
    <r>
      <rPr>
        <b/>
        <sz val="14"/>
        <color rgb="FF800080"/>
        <rFont val="Garamond"/>
        <family val="1"/>
      </rPr>
      <t>2. E</t>
    </r>
    <r>
      <rPr>
        <sz val="14"/>
        <color rgb="FF800080"/>
        <rFont val="Garamond"/>
        <family val="1"/>
      </rPr>
      <t xml:space="preserve">xcuse </t>
    </r>
  </si>
  <si>
    <r>
      <rPr>
        <b/>
        <sz val="14"/>
        <color theme="9" tint="-0.249977111117893"/>
        <rFont val="Garamond"/>
        <family val="1"/>
      </rPr>
      <t>3. M</t>
    </r>
    <r>
      <rPr>
        <sz val="14"/>
        <color theme="9" tint="-0.249977111117893"/>
        <rFont val="Garamond"/>
        <family val="1"/>
      </rPr>
      <t xml:space="preserve">y </t>
    </r>
  </si>
  <si>
    <r>
      <rPr>
        <b/>
        <sz val="14"/>
        <color theme="9" tint="-0.249977111117893"/>
        <rFont val="Garamond"/>
        <family val="1"/>
      </rPr>
      <t>3. D</t>
    </r>
    <r>
      <rPr>
        <sz val="14"/>
        <color theme="9" tint="-0.249977111117893"/>
        <rFont val="Garamond"/>
        <family val="1"/>
      </rPr>
      <t>ear</t>
    </r>
  </si>
  <si>
    <r>
      <rPr>
        <b/>
        <sz val="14"/>
        <color rgb="FF000090"/>
        <rFont val="Garamond"/>
        <family val="1"/>
      </rPr>
      <t>4. A</t>
    </r>
    <r>
      <rPr>
        <sz val="14"/>
        <color rgb="FF000090"/>
        <rFont val="Garamond"/>
        <family val="1"/>
      </rPr>
      <t>unt</t>
    </r>
  </si>
  <si>
    <r>
      <rPr>
        <b/>
        <sz val="14"/>
        <color rgb="FF000090"/>
        <rFont val="Garamond"/>
        <family val="1"/>
      </rPr>
      <t>4. S</t>
    </r>
    <r>
      <rPr>
        <sz val="14"/>
        <color rgb="FF000090"/>
        <rFont val="Garamond"/>
        <family val="1"/>
      </rPr>
      <t>ally</t>
    </r>
  </si>
  <si>
    <t>=D28^G13*G11/G9+(G6-G5)+G8</t>
  </si>
  <si>
    <t>Exercise: Fill in the table</t>
  </si>
  <si>
    <r>
      <t xml:space="preserve">Exercise: </t>
    </r>
    <r>
      <rPr>
        <sz val="14"/>
        <color theme="1"/>
        <rFont val="Garamond"/>
        <family val="2"/>
      </rPr>
      <t>F</t>
    </r>
    <r>
      <rPr>
        <sz val="14"/>
        <color theme="1"/>
        <rFont val="Garamond"/>
        <family val="2"/>
      </rPr>
      <t>ill in the box</t>
    </r>
  </si>
  <si>
    <t>Maximum</t>
  </si>
  <si>
    <t>Minimum</t>
  </si>
  <si>
    <t>Average</t>
  </si>
  <si>
    <t>Median</t>
  </si>
  <si>
    <r>
      <t xml:space="preserve">Exercise: create a </t>
    </r>
    <r>
      <rPr>
        <u/>
        <sz val="14"/>
        <color indexed="8"/>
        <rFont val="Garamond"/>
        <family val="1"/>
      </rPr>
      <t>quarterl</t>
    </r>
    <r>
      <rPr>
        <sz val="14"/>
        <color indexed="8"/>
        <rFont val="Garamond"/>
        <family val="1"/>
      </rPr>
      <t>y timeline through the end of 2015 starting in January 2013 using both the EOMONTH and EDATE methods</t>
    </r>
  </si>
  <si>
    <t>Yes</t>
  </si>
  <si>
    <t>Was the mortgage paid late?</t>
  </si>
  <si>
    <t>Example: If the mortgage is paid late, there is a penalty charged to the borrower.</t>
  </si>
  <si>
    <t>=IF(E10="Yes",$15 penalty,$0)</t>
  </si>
  <si>
    <t>=IF(E10="Yes",Penalty Rate*Mortgage Payment Amount,0)</t>
  </si>
  <si>
    <t>Conditional statements test for the satisfaction of a single criterion or multiple criteria, and perform actions depending on the results of that test.</t>
  </si>
  <si>
    <t>Event/Milestone/Activity Duration</t>
  </si>
  <si>
    <t>Value</t>
  </si>
  <si>
    <t>Project Start Date</t>
  </si>
  <si>
    <t>Pre-Construction (months)</t>
  </si>
  <si>
    <t>Construction Start</t>
  </si>
  <si>
    <t>Construction Duration (months)</t>
  </si>
  <si>
    <t>First C of O Lead Time (months)</t>
  </si>
  <si>
    <t>First C of O Received &amp; First Unit Rent Commencement</t>
  </si>
  <si>
    <t>Construction End &amp; Final C of O Received</t>
  </si>
  <si>
    <t>Calendar Month</t>
  </si>
  <si>
    <t>Construction Month #</t>
  </si>
  <si>
    <t>Construction Status (1=Pre, 2=Construction, 3=Post)</t>
  </si>
  <si>
    <t>Calendar Year</t>
  </si>
  <si>
    <t>Example</t>
  </si>
  <si>
    <t>Development Fee (paid only during Construction)</t>
  </si>
  <si>
    <t>Application of Conditional Statements:</t>
  </si>
  <si>
    <t>Exercise: Insert a conditional statement for allocating a $650,000 Development Fee with 75% paid evenly during the Construction period, and the balance paid evenly post-Construction.</t>
  </si>
  <si>
    <t>Post-Construction Period End Month</t>
  </si>
  <si>
    <t>Application of Exponentiation:</t>
  </si>
  <si>
    <t>Application of Statistics:</t>
  </si>
  <si>
    <t>Application of Relative vs. Absolute References:</t>
  </si>
  <si>
    <t>Exercise: Create an Annual Summary Table</t>
  </si>
  <si>
    <t>Quarter Month</t>
  </si>
  <si>
    <t xml:space="preserve">Quarter Month </t>
  </si>
  <si>
    <t>Total NOI</t>
  </si>
  <si>
    <t>Exercise: Create a Report for the sum of the 3rd and 4th Quarters (Months 9 and 12) in 2013 Only</t>
  </si>
  <si>
    <t>Exercise: Tally up number of 1-bedroom/1-bath units</t>
  </si>
  <si>
    <t>Exercise: Create a text reporting cell and format it such that if the value is between $0 and $5, the text says "Landlord Pays" and it is colored red, and if it is greater than $5, the text says "Tenant Pays" and it is colored green.</t>
  </si>
  <si>
    <t>Conditional Formatting</t>
  </si>
  <si>
    <r>
      <t xml:space="preserve">Exercise: </t>
    </r>
    <r>
      <rPr>
        <sz val="14"/>
        <color theme="1"/>
        <rFont val="Garamond"/>
        <family val="2"/>
      </rPr>
      <t>F</t>
    </r>
    <r>
      <rPr>
        <sz val="14"/>
        <color theme="1"/>
        <rFont val="Garamond"/>
        <family val="2"/>
      </rPr>
      <t xml:space="preserve">ormat this number so that it is in black type, it has 2 decimal places, </t>
    </r>
  </si>
  <si>
    <t>Exercise: Match the formatting of the numbers in Column C.</t>
  </si>
  <si>
    <t>Exercise:</t>
  </si>
  <si>
    <r>
      <t>Exercise</t>
    </r>
    <r>
      <rPr>
        <sz val="14"/>
        <color theme="1"/>
        <rFont val="Garamond"/>
        <family val="2"/>
      </rPr>
      <t>: C</t>
    </r>
    <r>
      <rPr>
        <sz val="14"/>
        <color theme="1"/>
        <rFont val="Garamond"/>
        <family val="2"/>
      </rPr>
      <t xml:space="preserve">opy, transpose and paste special these values so that you only paste the </t>
    </r>
    <r>
      <rPr>
        <u/>
        <sz val="14"/>
        <color theme="1"/>
        <rFont val="Garamond"/>
        <family val="2"/>
      </rPr>
      <t>values</t>
    </r>
    <r>
      <rPr>
        <sz val="14"/>
        <color theme="1"/>
        <rFont val="Garamond"/>
        <family val="2"/>
      </rPr>
      <t xml:space="preserve"> and </t>
    </r>
    <r>
      <rPr>
        <u/>
        <sz val="14"/>
        <color theme="1"/>
        <rFont val="Garamond"/>
        <family val="2"/>
      </rPr>
      <t>formats</t>
    </r>
  </si>
  <si>
    <r>
      <t xml:space="preserve">Exercise - Using the table </t>
    </r>
    <r>
      <rPr>
        <u/>
        <sz val="14"/>
        <color theme="1"/>
        <rFont val="Garamond"/>
        <family val="2"/>
      </rPr>
      <t>below,</t>
    </r>
    <r>
      <rPr>
        <sz val="14"/>
        <color theme="1"/>
        <rFont val="Garamond"/>
        <family val="2"/>
      </rPr>
      <t xml:space="preserve"> write a VLOOKUP function to tell you the % of the total budget spent in Month #5 for a 16-month construction schedule.</t>
    </r>
  </si>
  <si>
    <t>Net Sales Proceeds</t>
  </si>
  <si>
    <t>Exercise - Flip forward one tab and fill in all of the formulas using the functions specified</t>
  </si>
  <si>
    <t>Budget</t>
  </si>
  <si>
    <t>Version 7.0</t>
  </si>
  <si>
    <t>Anchoring Column only e.g., =$B16</t>
  </si>
  <si>
    <t>Anchoring Row only e.g., =B$21</t>
  </si>
  <si>
    <t>Formula Alternative 1</t>
  </si>
  <si>
    <t>Formula Alternative 2</t>
  </si>
  <si>
    <t>The formula syntax is =IF(condition,X,Y)</t>
  </si>
  <si>
    <t>This logic is read as "If the condition is met, then perform action X or return value X, otherwise perform action Y or return value Y"</t>
  </si>
  <si>
    <t>Penalty</t>
  </si>
  <si>
    <t>Conditional Statements Exercise Solution</t>
  </si>
  <si>
    <t>Check</t>
  </si>
  <si>
    <r>
      <t xml:space="preserve">But not all months have 31 days, so do </t>
    </r>
    <r>
      <rPr>
        <b/>
        <u/>
        <sz val="14"/>
        <color indexed="8"/>
        <rFont val="Garamond"/>
        <family val="1"/>
      </rPr>
      <t>not</t>
    </r>
    <r>
      <rPr>
        <b/>
        <sz val="14"/>
        <color theme="1"/>
        <rFont val="Garamond"/>
        <family val="1"/>
      </rPr>
      <t xml:space="preserve"> use this method!</t>
    </r>
  </si>
  <si>
    <r>
      <t>The SUMIF and SUMIF</t>
    </r>
    <r>
      <rPr>
        <u/>
        <sz val="14"/>
        <color theme="1"/>
        <rFont val="Garamond"/>
        <family val="1"/>
      </rPr>
      <t>S</t>
    </r>
    <r>
      <rPr>
        <sz val="14"/>
        <color theme="1"/>
        <rFont val="Garamond"/>
        <family val="2"/>
      </rPr>
      <t xml:space="preserve"> functions</t>
    </r>
  </si>
  <si>
    <t>COUNTIFS function - will count only if more than one criteria is satisfied</t>
  </si>
  <si>
    <t>SUMIFS function - will sum only if more than one criteria are satisfied</t>
  </si>
  <si>
    <r>
      <t xml:space="preserve">Exercise: Using the COUNTIFS formula, count the total number of units from 1-bedroom/1-bath units with rents </t>
    </r>
    <r>
      <rPr>
        <u/>
        <sz val="14"/>
        <rFont val="Garamond"/>
        <family val="1"/>
      </rPr>
      <t>greater than $1,000</t>
    </r>
  </si>
  <si>
    <t>Alt. Solution</t>
  </si>
  <si>
    <r>
      <t xml:space="preserve">Exercise: Using the table below, write a HLOOKUP function to pull in the NOI in </t>
    </r>
    <r>
      <rPr>
        <u/>
        <sz val="14"/>
        <color theme="1"/>
        <rFont val="Garamond"/>
        <family val="1"/>
      </rPr>
      <t>2016</t>
    </r>
    <r>
      <rPr>
        <sz val="14"/>
        <color theme="1"/>
        <rFont val="Garamond"/>
        <family val="2"/>
      </rPr>
      <t xml:space="preserve"> for a 2015 sale, apply a 6% cap rate and deduct 4% selling costs to get to a Net Sales Proceeds amount.</t>
    </r>
  </si>
  <si>
    <t>Time Value of Money and Financial Functions Exercise</t>
  </si>
  <si>
    <r>
      <t xml:space="preserve">Exercise - Build a Senstivity Table for the Capitalized Value by varying the </t>
    </r>
    <r>
      <rPr>
        <b/>
        <u/>
        <sz val="14"/>
        <color theme="1"/>
        <rFont val="Garamond"/>
        <family val="1"/>
      </rPr>
      <t>Expenses PSF</t>
    </r>
    <r>
      <rPr>
        <sz val="14"/>
        <color theme="1"/>
        <rFont val="Garamond"/>
        <family val="2"/>
      </rPr>
      <t xml:space="preserve"> and the Capitalization Rate</t>
    </r>
  </si>
  <si>
    <r>
      <t xml:space="preserve">How To Set Excel To Allow Circular References, Which We </t>
    </r>
    <r>
      <rPr>
        <b/>
        <u/>
        <sz val="14"/>
        <rFont val="Garamond"/>
        <family val="1"/>
      </rPr>
      <t>DO NOT RECOMMEND</t>
    </r>
  </si>
  <si>
    <t>© 2009 - 2012 by Real Estate Financial Modeling, LLC. All rights reserved.</t>
  </si>
  <si>
    <t>User Inputs Are In Bold Blue Type</t>
  </si>
  <si>
    <t>Calculations are set to "Automatic Except for Data Tables"</t>
  </si>
  <si>
    <t>www.GetREFM.com</t>
  </si>
  <si>
    <t>Real Estate Financial Modeling</t>
  </si>
</sst>
</file>

<file path=xl/styles.xml><?xml version="1.0" encoding="utf-8"?>
<styleSheet xmlns="http://schemas.openxmlformats.org/spreadsheetml/2006/main" xmlns:mc="http://schemas.openxmlformats.org/markup-compatibility/2006" xmlns:x14ac="http://schemas.microsoft.com/office/spreadsheetml/2009/9/ac" mc:Ignorable="x14ac">
  <numFmts count="31">
    <numFmt numFmtId="6" formatCode="&quot;$&quot;#,##0_);[Red]\(&quot;$&quot;#,##0\)"/>
    <numFmt numFmtId="8" formatCode="&quot;$&quot;#,##0.00_);[Red]\(&quot;$&quot;#,##0.00\)"/>
    <numFmt numFmtId="44" formatCode="_(&quot;$&quot;* #,##0.00_);_(&quot;$&quot;* \(#,##0.00\);_(&quot;$&quot;* &quot;-&quot;??_);_(@_)"/>
    <numFmt numFmtId="43" formatCode="_(* #,##0.00_);_(* \(#,##0.00\);_(* &quot;-&quot;??_);_(@_)"/>
    <numFmt numFmtId="164" formatCode="#,##0.0_);\(#,##0.0\);#,##0.0_);@_)"/>
    <numFmt numFmtId="165" formatCode="&quot;$&quot;_(#,##0.00_);&quot;$&quot;\(#,##0.00\);&quot;$&quot;_(0.00_);@_)"/>
    <numFmt numFmtId="166" formatCode="#,##0_)\x;\(#,##0\)\x;0_)\x;@_)_x"/>
    <numFmt numFmtId="167" formatCode="0.0%"/>
    <numFmt numFmtId="168" formatCode="0.00_);[Red]\(0.00\)"/>
    <numFmt numFmtId="169" formatCode="[$-409]mmm\-yy;@"/>
    <numFmt numFmtId="170" formatCode="m/d/yy;@"/>
    <numFmt numFmtId="171" formatCode="&quot;$&quot;#,##0.0_);[Red]\(&quot;$&quot;#,##0.0\)"/>
    <numFmt numFmtId="172" formatCode="#,##0\ &quot;GSF&quot;"/>
    <numFmt numFmtId="173" formatCode="&quot;$&quot;#,##0.00"/>
    <numFmt numFmtId="174" formatCode="&quot;$&quot;#,##0"/>
    <numFmt numFmtId="175" formatCode="#,##0\ &quot;Years&quot;"/>
    <numFmt numFmtId="176" formatCode="#,##0\ &quot;Months&quot;"/>
    <numFmt numFmtId="177" formatCode="#,##0\ &quot;SF&quot;"/>
    <numFmt numFmtId="178" formatCode="0.000000"/>
    <numFmt numFmtId="179" formatCode="#,##0.##\ &quot;Rentable Square Feet&quot;"/>
    <numFmt numFmtId="180" formatCode="&quot;Month&quot;\ #,##0"/>
    <numFmt numFmtId="181" formatCode="#,##0.00000"/>
    <numFmt numFmtId="182" formatCode="#,##0.0000"/>
    <numFmt numFmtId="183" formatCode="0\ &quot;months&quot;"/>
    <numFmt numFmtId="184" formatCode="0\ &quot;Months&quot;\ "/>
    <numFmt numFmtId="185" formatCode="#,##0.00_)&quot;SF&quot;\ ;\(#,##0.00\)\ &quot;SF&quot;\ "/>
    <numFmt numFmtId="186" formatCode="0\ &quot;Units&quot;\ "/>
    <numFmt numFmtId="187" formatCode="#,##0\ &quot;years&quot;"/>
    <numFmt numFmtId="188" formatCode="&quot;Year&quot;\ #,##0"/>
    <numFmt numFmtId="189" formatCode="0%\ &quot;Cap Rate&quot;"/>
    <numFmt numFmtId="190" formatCode="0%\ &quot;Selling Costs&quot;"/>
  </numFmts>
  <fonts count="66" x14ac:knownFonts="1">
    <font>
      <sz val="14"/>
      <color theme="1"/>
      <name val="Garamond"/>
      <family val="2"/>
    </font>
    <font>
      <sz val="14"/>
      <color indexed="8"/>
      <name val="Garamond"/>
      <family val="1"/>
    </font>
    <font>
      <sz val="10"/>
      <name val="Arial"/>
      <family val="2"/>
    </font>
    <font>
      <sz val="14"/>
      <name val="Garamond"/>
      <family val="1"/>
    </font>
    <font>
      <i/>
      <sz val="16"/>
      <name val="Garamond"/>
      <family val="1"/>
    </font>
    <font>
      <i/>
      <sz val="22"/>
      <name val="Garamond"/>
      <family val="1"/>
    </font>
    <font>
      <sz val="16"/>
      <name val="Garamond"/>
      <family val="1"/>
    </font>
    <font>
      <i/>
      <sz val="14"/>
      <name val="Garamond"/>
      <family val="1"/>
    </font>
    <font>
      <sz val="8"/>
      <name val="Garamond"/>
      <family val="1"/>
    </font>
    <font>
      <sz val="12"/>
      <name val="Helv"/>
    </font>
    <font>
      <sz val="12"/>
      <color indexed="9"/>
      <name val="Helv"/>
    </font>
    <font>
      <sz val="12"/>
      <color indexed="13"/>
      <name val="Helv"/>
    </font>
    <font>
      <sz val="10"/>
      <name val="Arial Narrow"/>
      <family val="2"/>
    </font>
    <font>
      <sz val="11"/>
      <color indexed="8"/>
      <name val="Calibri"/>
      <family val="2"/>
    </font>
    <font>
      <sz val="12"/>
      <color indexed="17"/>
      <name val="Helv"/>
    </font>
    <font>
      <u/>
      <sz val="14"/>
      <color indexed="8"/>
      <name val="Garamond"/>
      <family val="1"/>
    </font>
    <font>
      <sz val="10"/>
      <color indexed="81"/>
      <name val="Tahoma"/>
      <family val="2"/>
    </font>
    <font>
      <i/>
      <sz val="18"/>
      <name val="Garamond"/>
      <family val="1"/>
    </font>
    <font>
      <b/>
      <sz val="14"/>
      <name val="Garamond"/>
      <family val="1"/>
    </font>
    <font>
      <sz val="14"/>
      <color indexed="81"/>
      <name val="Tahoma"/>
      <family val="2"/>
    </font>
    <font>
      <b/>
      <sz val="12"/>
      <name val="Garamond"/>
      <family val="1"/>
    </font>
    <font>
      <sz val="12"/>
      <color indexed="81"/>
      <name val="Tahoma"/>
      <family val="2"/>
    </font>
    <font>
      <b/>
      <sz val="18"/>
      <name val="Garamond"/>
      <family val="1"/>
    </font>
    <font>
      <u/>
      <sz val="14"/>
      <name val="Garamond"/>
      <family val="1"/>
    </font>
    <font>
      <sz val="18"/>
      <name val="Garamond"/>
      <family val="1"/>
    </font>
    <font>
      <b/>
      <sz val="10"/>
      <color indexed="81"/>
      <name val="Tahoma"/>
      <family val="2"/>
    </font>
    <font>
      <b/>
      <sz val="8"/>
      <color indexed="81"/>
      <name val="Tahoma"/>
      <family val="2"/>
    </font>
    <font>
      <sz val="8"/>
      <color indexed="81"/>
      <name val="Tahoma"/>
      <family val="2"/>
    </font>
    <font>
      <sz val="14"/>
      <color theme="1"/>
      <name val="Garamond"/>
      <family val="2"/>
    </font>
    <font>
      <u/>
      <sz val="10"/>
      <color theme="10"/>
      <name val="Arial"/>
      <family val="2"/>
    </font>
    <font>
      <sz val="11"/>
      <color theme="1"/>
      <name val="Calibri"/>
      <family val="2"/>
      <scheme val="minor"/>
    </font>
    <font>
      <b/>
      <sz val="14"/>
      <color theme="1"/>
      <name val="Garamond"/>
      <family val="1"/>
    </font>
    <font>
      <b/>
      <sz val="14"/>
      <color rgb="FF0000FF"/>
      <name val="Garamond"/>
      <family val="1"/>
    </font>
    <font>
      <i/>
      <sz val="18"/>
      <color theme="1"/>
      <name val="Garamond"/>
      <family val="1"/>
    </font>
    <font>
      <sz val="14"/>
      <color theme="1"/>
      <name val="Garamond"/>
      <family val="1"/>
    </font>
    <font>
      <b/>
      <sz val="14"/>
      <color rgb="FF00B050"/>
      <name val="Garamond"/>
      <family val="1"/>
    </font>
    <font>
      <sz val="11"/>
      <color theme="1"/>
      <name val="Garamond"/>
      <family val="2"/>
    </font>
    <font>
      <u/>
      <sz val="14"/>
      <color theme="1"/>
      <name val="Garamond"/>
      <family val="2"/>
    </font>
    <font>
      <b/>
      <u/>
      <sz val="14"/>
      <color rgb="FF0000FF"/>
      <name val="Garamond"/>
      <family val="1"/>
    </font>
    <font>
      <i/>
      <sz val="12"/>
      <color theme="1"/>
      <name val="Garamond"/>
      <family val="1"/>
    </font>
    <font>
      <b/>
      <sz val="18"/>
      <color rgb="FF0000FF"/>
      <name val="Garamond"/>
      <family val="1"/>
    </font>
    <font>
      <b/>
      <u/>
      <sz val="14"/>
      <color theme="1"/>
      <name val="Garamond"/>
      <family val="1"/>
    </font>
    <font>
      <u/>
      <sz val="14"/>
      <color theme="10"/>
      <name val="Garamond"/>
      <family val="2"/>
    </font>
    <font>
      <u/>
      <sz val="14"/>
      <color theme="11"/>
      <name val="Garamond"/>
      <family val="2"/>
    </font>
    <font>
      <sz val="14"/>
      <color theme="9" tint="-0.249977111117893"/>
      <name val="Garamond"/>
      <family val="1"/>
    </font>
    <font>
      <b/>
      <sz val="14"/>
      <color theme="9" tint="-0.249977111117893"/>
      <name val="Garamond"/>
      <family val="1"/>
    </font>
    <font>
      <sz val="14"/>
      <color theme="6" tint="-0.499984740745262"/>
      <name val="Garamond"/>
      <family val="1"/>
    </font>
    <font>
      <b/>
      <sz val="14"/>
      <color theme="6" tint="-0.499984740745262"/>
      <name val="Garamond"/>
      <family val="1"/>
    </font>
    <font>
      <sz val="14"/>
      <color rgb="FF000090"/>
      <name val="Garamond"/>
      <family val="1"/>
    </font>
    <font>
      <b/>
      <sz val="14"/>
      <color rgb="FF000090"/>
      <name val="Garamond"/>
      <family val="1"/>
    </font>
    <font>
      <sz val="14"/>
      <color rgb="FF800080"/>
      <name val="Garamond"/>
      <family val="1"/>
    </font>
    <font>
      <b/>
      <sz val="14"/>
      <color rgb="FF800080"/>
      <name val="Garamond"/>
      <family val="1"/>
    </font>
    <font>
      <b/>
      <sz val="14"/>
      <color indexed="12"/>
      <name val="Garamond"/>
      <family val="1"/>
    </font>
    <font>
      <b/>
      <sz val="14"/>
      <color indexed="81"/>
      <name val="Tahoma"/>
      <family val="2"/>
    </font>
    <font>
      <sz val="14"/>
      <color rgb="FFFF0000"/>
      <name val="Garamond"/>
      <family val="1"/>
    </font>
    <font>
      <i/>
      <u/>
      <sz val="14"/>
      <color theme="1"/>
      <name val="Garamond"/>
      <family val="1"/>
    </font>
    <font>
      <sz val="9"/>
      <color indexed="81"/>
      <name val="Tahoma"/>
      <family val="2"/>
    </font>
    <font>
      <b/>
      <sz val="9"/>
      <color indexed="81"/>
      <name val="Tahoma"/>
      <family val="2"/>
    </font>
    <font>
      <b/>
      <u/>
      <sz val="14"/>
      <color indexed="8"/>
      <name val="Garamond"/>
      <family val="1"/>
    </font>
    <font>
      <u/>
      <sz val="14"/>
      <color theme="1"/>
      <name val="Garamond"/>
      <family val="1"/>
    </font>
    <font>
      <b/>
      <u/>
      <sz val="14"/>
      <color indexed="81"/>
      <name val="Tahoma"/>
      <family val="2"/>
    </font>
    <font>
      <b/>
      <u/>
      <sz val="14"/>
      <name val="Garamond"/>
      <family val="1"/>
    </font>
    <font>
      <b/>
      <sz val="10"/>
      <color rgb="FF0000FF"/>
      <name val="Garamond"/>
      <family val="1"/>
    </font>
    <font>
      <sz val="10"/>
      <name val="Times New Roman"/>
      <family val="1"/>
    </font>
    <font>
      <b/>
      <sz val="8"/>
      <color rgb="FFFF0000"/>
      <name val="Garamond"/>
      <family val="1"/>
    </font>
    <font>
      <b/>
      <u/>
      <sz val="10"/>
      <color theme="10"/>
      <name val="Garamond"/>
      <family val="1"/>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99"/>
        <bgColor indexed="64"/>
      </patternFill>
    </fill>
  </fills>
  <borders count="19">
    <border>
      <left/>
      <right/>
      <top/>
      <bottom/>
      <diagonal/>
    </border>
    <border>
      <left style="double">
        <color indexed="10"/>
      </left>
      <right style="double">
        <color indexed="10"/>
      </right>
      <top style="double">
        <color indexed="10"/>
      </top>
      <bottom style="double">
        <color indexed="10"/>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double">
        <color auto="1"/>
      </bottom>
      <diagonal/>
    </border>
    <border>
      <left style="thin">
        <color auto="1"/>
      </left>
      <right style="thin">
        <color auto="1"/>
      </right>
      <top style="thin">
        <color auto="1"/>
      </top>
      <bottom style="thin">
        <color auto="1"/>
      </bottom>
      <diagonal/>
    </border>
    <border>
      <left style="medium">
        <color auto="1"/>
      </left>
      <right/>
      <top/>
      <bottom/>
      <diagonal/>
    </border>
  </borders>
  <cellStyleXfs count="116">
    <xf numFmtId="0" fontId="0" fillId="0" borderId="0"/>
    <xf numFmtId="164" fontId="2" fillId="0" borderId="0" applyFont="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5" fontId="9" fillId="0" borderId="1" applyFont="0" applyFill="0" applyBorder="0" applyProtection="0">
      <alignment horizontal="center"/>
      <protection locked="0"/>
    </xf>
    <xf numFmtId="38" fontId="9" fillId="0" borderId="0" applyFill="0" applyBorder="0" applyAlignment="0" applyProtection="0"/>
    <xf numFmtId="168" fontId="10" fillId="0" borderId="0" applyFill="0" applyBorder="0" applyAlignment="0" applyProtection="0">
      <alignment horizontal="right"/>
    </xf>
    <xf numFmtId="0" fontId="29" fillId="0" borderId="0" applyNumberFormat="0" applyFill="0" applyBorder="0" applyAlignment="0" applyProtection="0">
      <alignment vertical="top"/>
      <protection locked="0"/>
    </xf>
    <xf numFmtId="37" fontId="11" fillId="0" borderId="1" applyNumberFormat="0" applyFont="0" applyFill="0" applyAlignment="0" applyProtection="0">
      <alignment horizontal="center" vertical="center"/>
    </xf>
    <xf numFmtId="0" fontId="2" fillId="0" borderId="0"/>
    <xf numFmtId="0" fontId="2" fillId="0" borderId="0"/>
    <xf numFmtId="0" fontId="2" fillId="0" borderId="0"/>
    <xf numFmtId="0" fontId="28" fillId="0" borderId="0"/>
    <xf numFmtId="0" fontId="2" fillId="0" borderId="0"/>
    <xf numFmtId="0" fontId="2" fillId="0" borderId="0"/>
    <xf numFmtId="0" fontId="12" fillId="0" borderId="0"/>
    <xf numFmtId="0" fontId="13" fillId="0" borderId="0"/>
    <xf numFmtId="0" fontId="13" fillId="0" borderId="0"/>
    <xf numFmtId="0" fontId="13" fillId="0" borderId="0"/>
    <xf numFmtId="0" fontId="2" fillId="0" borderId="0"/>
    <xf numFmtId="0" fontId="2" fillId="0" borderId="0"/>
    <xf numFmtId="0" fontId="2" fillId="0" borderId="0"/>
    <xf numFmtId="0" fontId="2" fillId="0" borderId="0"/>
    <xf numFmtId="0" fontId="2" fillId="0" borderId="0"/>
    <xf numFmtId="0" fontId="2" fillId="0" borderId="0"/>
    <xf numFmtId="0" fontId="13" fillId="0" borderId="0"/>
    <xf numFmtId="0" fontId="30" fillId="0" borderId="0"/>
    <xf numFmtId="0" fontId="2" fillId="0" borderId="0"/>
    <xf numFmtId="0" fontId="2" fillId="0" borderId="0"/>
    <xf numFmtId="0" fontId="2" fillId="0" borderId="0"/>
    <xf numFmtId="37" fontId="14" fillId="0" borderId="0" applyFill="0" applyBorder="0" applyAlignment="0" applyProtection="0"/>
    <xf numFmtId="9" fontId="28"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42" fillId="0" borderId="0" applyNumberFormat="0" applyFill="0" applyBorder="0" applyAlignment="0" applyProtection="0"/>
    <xf numFmtId="0" fontId="43" fillId="0" borderId="0" applyNumberFormat="0" applyFill="0" applyBorder="0" applyAlignment="0" applyProtection="0"/>
    <xf numFmtId="0" fontId="63" fillId="0" borderId="0">
      <alignment vertical="center"/>
    </xf>
  </cellStyleXfs>
  <cellXfs count="431">
    <xf numFmtId="0" fontId="0" fillId="0" borderId="0" xfId="0"/>
    <xf numFmtId="0" fontId="0" fillId="3" borderId="0" xfId="0" applyFill="1"/>
    <xf numFmtId="0" fontId="0" fillId="3" borderId="0" xfId="0" applyFill="1" applyAlignment="1">
      <alignment horizontal="center"/>
    </xf>
    <xf numFmtId="0" fontId="31" fillId="3" borderId="0" xfId="0" applyFont="1" applyFill="1" applyAlignment="1">
      <alignment horizontal="center"/>
    </xf>
    <xf numFmtId="0" fontId="32" fillId="3" borderId="0" xfId="0" applyFont="1" applyFill="1" applyAlignment="1">
      <alignment horizontal="center"/>
    </xf>
    <xf numFmtId="0" fontId="33" fillId="3" borderId="0" xfId="0" applyFont="1" applyFill="1"/>
    <xf numFmtId="3" fontId="0" fillId="3" borderId="0" xfId="0" quotePrefix="1" applyNumberFormat="1" applyFill="1"/>
    <xf numFmtId="0" fontId="0" fillId="3" borderId="0" xfId="0" quotePrefix="1" applyFill="1"/>
    <xf numFmtId="0" fontId="3" fillId="3" borderId="0" xfId="18" applyFont="1" applyFill="1"/>
    <xf numFmtId="0" fontId="3" fillId="3" borderId="0" xfId="18" applyFont="1" applyFill="1" applyBorder="1"/>
    <xf numFmtId="0" fontId="5" fillId="2" borderId="0" xfId="18" applyFont="1" applyFill="1" applyBorder="1" applyAlignment="1"/>
    <xf numFmtId="0" fontId="6" fillId="3" borderId="0" xfId="18" applyFont="1" applyFill="1" applyBorder="1" applyAlignment="1"/>
    <xf numFmtId="0" fontId="32" fillId="3" borderId="0" xfId="0" applyFont="1" applyFill="1"/>
    <xf numFmtId="0" fontId="0" fillId="3" borderId="0" xfId="0" applyFill="1" applyAlignment="1">
      <alignment horizontal="left" indent="1"/>
    </xf>
    <xf numFmtId="0" fontId="0" fillId="3" borderId="0" xfId="0" applyFill="1" applyAlignment="1">
      <alignment horizontal="left" indent="2"/>
    </xf>
    <xf numFmtId="0" fontId="35" fillId="3" borderId="0" xfId="0" applyFont="1" applyFill="1"/>
    <xf numFmtId="14" fontId="0" fillId="3" borderId="0" xfId="0" applyNumberFormat="1" applyFill="1"/>
    <xf numFmtId="14" fontId="32" fillId="3" borderId="0" xfId="0" applyNumberFormat="1" applyFont="1" applyFill="1"/>
    <xf numFmtId="14" fontId="36" fillId="3" borderId="0" xfId="0" applyNumberFormat="1" applyFont="1" applyFill="1"/>
    <xf numFmtId="8" fontId="32" fillId="3" borderId="0" xfId="0" applyNumberFormat="1" applyFont="1" applyFill="1" applyAlignment="1">
      <alignment horizontal="left"/>
    </xf>
    <xf numFmtId="6" fontId="32" fillId="3" borderId="0" xfId="0" applyNumberFormat="1" applyFont="1" applyFill="1"/>
    <xf numFmtId="6" fontId="0" fillId="3" borderId="0" xfId="0" applyNumberFormat="1" applyFill="1"/>
    <xf numFmtId="6" fontId="31" fillId="3" borderId="0" xfId="0" applyNumberFormat="1" applyFont="1" applyFill="1"/>
    <xf numFmtId="10" fontId="32" fillId="3" borderId="0" xfId="0" applyNumberFormat="1" applyFont="1" applyFill="1" applyAlignment="1">
      <alignment horizontal="left"/>
    </xf>
    <xf numFmtId="14" fontId="32" fillId="3" borderId="0" xfId="0" applyNumberFormat="1" applyFont="1" applyFill="1" applyAlignment="1">
      <alignment horizontal="center"/>
    </xf>
    <xf numFmtId="0" fontId="3" fillId="3" borderId="0" xfId="0" applyFont="1" applyFill="1" applyAlignment="1">
      <alignment horizontal="center"/>
    </xf>
    <xf numFmtId="1" fontId="3" fillId="3" borderId="0" xfId="0" applyNumberFormat="1" applyFont="1" applyFill="1" applyAlignment="1">
      <alignment horizontal="center"/>
    </xf>
    <xf numFmtId="6" fontId="32" fillId="3" borderId="0" xfId="0" applyNumberFormat="1" applyFont="1" applyFill="1" applyAlignment="1">
      <alignment horizontal="center"/>
    </xf>
    <xf numFmtId="0" fontId="0" fillId="3" borderId="0" xfId="0" applyFill="1" applyAlignment="1">
      <alignment horizontal="right"/>
    </xf>
    <xf numFmtId="0" fontId="0" fillId="3" borderId="0" xfId="0" applyFill="1" applyAlignment="1">
      <alignment horizontal="center" vertical="top" wrapText="1"/>
    </xf>
    <xf numFmtId="9" fontId="28" fillId="3" borderId="0" xfId="39" applyFont="1" applyFill="1" applyAlignment="1">
      <alignment horizontal="center"/>
    </xf>
    <xf numFmtId="0" fontId="32" fillId="3" borderId="0" xfId="0" applyFont="1" applyFill="1" applyAlignment="1">
      <alignment horizontal="center" vertical="top" wrapText="1"/>
    </xf>
    <xf numFmtId="0" fontId="32" fillId="3" borderId="2" xfId="0" applyFont="1" applyFill="1" applyBorder="1" applyAlignment="1">
      <alignment horizontal="center"/>
    </xf>
    <xf numFmtId="0" fontId="32" fillId="3" borderId="5" xfId="0" applyFont="1" applyFill="1" applyBorder="1" applyAlignment="1">
      <alignment horizontal="center"/>
    </xf>
    <xf numFmtId="0" fontId="32" fillId="3" borderId="7" xfId="0" applyFont="1" applyFill="1" applyBorder="1" applyAlignment="1">
      <alignment horizontal="center"/>
    </xf>
    <xf numFmtId="8" fontId="32" fillId="3" borderId="0" xfId="0" applyNumberFormat="1" applyFont="1" applyFill="1"/>
    <xf numFmtId="0" fontId="31" fillId="3" borderId="0" xfId="0" applyFont="1" applyFill="1"/>
    <xf numFmtId="172" fontId="32" fillId="3" borderId="0" xfId="0" applyNumberFormat="1" applyFont="1" applyFill="1"/>
    <xf numFmtId="0" fontId="0" fillId="3" borderId="0" xfId="0" applyFill="1" applyAlignment="1">
      <alignment horizontal="left"/>
    </xf>
    <xf numFmtId="10" fontId="32" fillId="3" borderId="0" xfId="0" applyNumberFormat="1" applyFont="1" applyFill="1" applyAlignment="1">
      <alignment horizontal="center"/>
    </xf>
    <xf numFmtId="9" fontId="0" fillId="3" borderId="0" xfId="0" applyNumberFormat="1" applyFill="1"/>
    <xf numFmtId="0" fontId="3" fillId="3" borderId="0" xfId="18" applyFont="1" applyFill="1" applyAlignment="1">
      <alignment horizontal="center"/>
    </xf>
    <xf numFmtId="173" fontId="32" fillId="3" borderId="0" xfId="18" applyNumberFormat="1" applyFont="1" applyFill="1"/>
    <xf numFmtId="174" fontId="32" fillId="3" borderId="0" xfId="18" applyNumberFormat="1" applyFont="1" applyFill="1"/>
    <xf numFmtId="0" fontId="18" fillId="3" borderId="0" xfId="18" applyFont="1" applyFill="1" applyAlignment="1">
      <alignment horizontal="center"/>
    </xf>
    <xf numFmtId="175" fontId="32" fillId="3" borderId="0" xfId="18" applyNumberFormat="1" applyFont="1" applyFill="1"/>
    <xf numFmtId="176" fontId="3" fillId="3" borderId="0" xfId="18" applyNumberFormat="1" applyFont="1" applyFill="1" applyAlignment="1">
      <alignment horizontal="center"/>
    </xf>
    <xf numFmtId="10" fontId="32" fillId="3" borderId="0" xfId="18" applyNumberFormat="1" applyFont="1" applyFill="1"/>
    <xf numFmtId="10" fontId="3" fillId="3" borderId="0" xfId="18" applyNumberFormat="1" applyFont="1" applyFill="1"/>
    <xf numFmtId="0" fontId="7" fillId="3" borderId="0" xfId="18" applyFont="1" applyFill="1"/>
    <xf numFmtId="6" fontId="7" fillId="3" borderId="0" xfId="18" applyNumberFormat="1" applyFont="1" applyFill="1"/>
    <xf numFmtId="174" fontId="7" fillId="3" borderId="0" xfId="18" applyNumberFormat="1" applyFont="1" applyFill="1"/>
    <xf numFmtId="174" fontId="3" fillId="3" borderId="0" xfId="18" applyNumberFormat="1" applyFont="1" applyFill="1"/>
    <xf numFmtId="0" fontId="3" fillId="3" borderId="0" xfId="18" applyNumberFormat="1" applyFont="1" applyFill="1" applyAlignment="1">
      <alignment horizontal="center" vertical="top" wrapText="1"/>
    </xf>
    <xf numFmtId="6" fontId="3" fillId="3" borderId="0" xfId="18" applyNumberFormat="1" applyFont="1" applyFill="1"/>
    <xf numFmtId="0" fontId="32" fillId="3" borderId="0" xfId="18" applyFont="1" applyFill="1" applyAlignment="1">
      <alignment horizontal="center"/>
    </xf>
    <xf numFmtId="10" fontId="3" fillId="3" borderId="0" xfId="40" applyNumberFormat="1" applyFont="1" applyFill="1" applyAlignment="1">
      <alignment horizontal="center"/>
    </xf>
    <xf numFmtId="0" fontId="37" fillId="3" borderId="0" xfId="0" applyFont="1" applyFill="1"/>
    <xf numFmtId="0" fontId="3" fillId="3" borderId="0" xfId="0" applyFont="1" applyFill="1" applyAlignment="1">
      <alignment horizontal="left"/>
    </xf>
    <xf numFmtId="8" fontId="38" fillId="3" borderId="0" xfId="0" applyNumberFormat="1" applyFont="1" applyFill="1"/>
    <xf numFmtId="8" fontId="0" fillId="3" borderId="0" xfId="0" applyNumberFormat="1" applyFill="1"/>
    <xf numFmtId="177" fontId="32" fillId="3" borderId="0" xfId="0" applyNumberFormat="1" applyFont="1" applyFill="1"/>
    <xf numFmtId="10" fontId="32" fillId="3" borderId="0" xfId="0" applyNumberFormat="1" applyFont="1" applyFill="1"/>
    <xf numFmtId="0" fontId="0" fillId="3" borderId="0" xfId="0" applyFill="1" applyAlignment="1">
      <alignment horizontal="center"/>
    </xf>
    <xf numFmtId="0" fontId="0" fillId="3" borderId="0" xfId="0" applyFill="1" applyAlignment="1"/>
    <xf numFmtId="170" fontId="0" fillId="3" borderId="0" xfId="0" applyNumberFormat="1" applyFill="1"/>
    <xf numFmtId="0" fontId="3" fillId="3" borderId="0" xfId="18" applyFont="1" applyFill="1" applyBorder="1" applyAlignment="1">
      <alignment horizontal="center"/>
    </xf>
    <xf numFmtId="0" fontId="0" fillId="3" borderId="0" xfId="0" applyFill="1" applyAlignment="1">
      <alignment horizontal="center"/>
    </xf>
    <xf numFmtId="10" fontId="0" fillId="3" borderId="0" xfId="0" applyNumberFormat="1" applyFill="1" applyBorder="1"/>
    <xf numFmtId="0" fontId="31" fillId="3" borderId="0" xfId="0" applyFont="1" applyFill="1" applyAlignment="1">
      <alignment horizontal="left"/>
    </xf>
    <xf numFmtId="0" fontId="17" fillId="3" borderId="0" xfId="18" applyFont="1" applyFill="1" applyAlignment="1">
      <alignment horizontal="left"/>
    </xf>
    <xf numFmtId="14" fontId="3" fillId="3" borderId="0" xfId="0" applyNumberFormat="1" applyFont="1" applyFill="1" applyAlignment="1">
      <alignment horizontal="center"/>
    </xf>
    <xf numFmtId="0" fontId="0" fillId="3" borderId="0" xfId="0" applyFill="1" applyBorder="1"/>
    <xf numFmtId="10" fontId="32" fillId="3" borderId="0" xfId="0" applyNumberFormat="1" applyFont="1" applyFill="1" applyBorder="1"/>
    <xf numFmtId="0" fontId="32" fillId="3" borderId="3" xfId="0" applyFont="1" applyFill="1" applyBorder="1" applyAlignment="1">
      <alignment horizontal="center"/>
    </xf>
    <xf numFmtId="0" fontId="32" fillId="3" borderId="0" xfId="0" applyFont="1" applyFill="1" applyAlignment="1">
      <alignment horizontal="left"/>
    </xf>
    <xf numFmtId="0" fontId="31" fillId="3" borderId="9" xfId="0" applyFont="1" applyFill="1" applyBorder="1" applyAlignment="1">
      <alignment horizontal="center"/>
    </xf>
    <xf numFmtId="0" fontId="17" fillId="3" borderId="0" xfId="18" applyFont="1" applyFill="1" applyAlignment="1"/>
    <xf numFmtId="171" fontId="3" fillId="3" borderId="0" xfId="18" applyNumberFormat="1" applyFont="1" applyFill="1"/>
    <xf numFmtId="0" fontId="3" fillId="3" borderId="0" xfId="18" applyFont="1" applyFill="1" applyAlignment="1">
      <alignment horizontal="left"/>
    </xf>
    <xf numFmtId="0" fontId="17" fillId="3" borderId="0" xfId="18" applyFont="1" applyFill="1" applyAlignment="1">
      <alignment vertical="center"/>
    </xf>
    <xf numFmtId="0" fontId="17" fillId="3" borderId="0" xfId="18" applyFont="1" applyFill="1" applyAlignment="1">
      <alignment horizontal="left" vertical="center"/>
    </xf>
    <xf numFmtId="8" fontId="32" fillId="3" borderId="0" xfId="0" applyNumberFormat="1" applyFont="1" applyFill="1" applyBorder="1"/>
    <xf numFmtId="6" fontId="0" fillId="3" borderId="0" xfId="0" applyNumberFormat="1" applyFill="1" applyBorder="1"/>
    <xf numFmtId="0" fontId="0" fillId="3" borderId="0" xfId="0" applyFill="1" applyAlignment="1">
      <alignment horizontal="center"/>
    </xf>
    <xf numFmtId="181" fontId="32" fillId="3" borderId="0" xfId="0" applyNumberFormat="1" applyFont="1" applyFill="1"/>
    <xf numFmtId="182" fontId="0" fillId="3" borderId="0" xfId="0" applyNumberFormat="1" applyFill="1" applyAlignment="1">
      <alignment horizontal="center"/>
    </xf>
    <xf numFmtId="177" fontId="3" fillId="3" borderId="0" xfId="0" applyNumberFormat="1" applyFont="1" applyFill="1"/>
    <xf numFmtId="177" fontId="0" fillId="3" borderId="0" xfId="0" applyNumberFormat="1" applyFill="1"/>
    <xf numFmtId="177" fontId="23" fillId="3" borderId="0" xfId="0" applyNumberFormat="1" applyFont="1" applyFill="1"/>
    <xf numFmtId="2" fontId="32" fillId="3" borderId="0" xfId="0" applyNumberFormat="1" applyFont="1" applyFill="1"/>
    <xf numFmtId="2" fontId="38" fillId="3" borderId="0" xfId="0" applyNumberFormat="1" applyFont="1" applyFill="1"/>
    <xf numFmtId="2" fontId="0" fillId="3" borderId="0" xfId="0" applyNumberFormat="1" applyFill="1"/>
    <xf numFmtId="177" fontId="32" fillId="3" borderId="0" xfId="0" applyNumberFormat="1" applyFont="1" applyFill="1" applyBorder="1"/>
    <xf numFmtId="170" fontId="0" fillId="3" borderId="0" xfId="0" applyNumberFormat="1" applyFill="1" applyAlignment="1"/>
    <xf numFmtId="8" fontId="32" fillId="3" borderId="0" xfId="0" applyNumberFormat="1" applyFont="1" applyFill="1" applyBorder="1" applyAlignment="1">
      <alignment horizontal="left"/>
    </xf>
    <xf numFmtId="16" fontId="0" fillId="3" borderId="0" xfId="0" quotePrefix="1" applyNumberFormat="1" applyFill="1" applyAlignment="1">
      <alignment horizontal="left" indent="3"/>
    </xf>
    <xf numFmtId="0" fontId="0" fillId="3" borderId="0" xfId="0" quotePrefix="1" applyFill="1" applyAlignment="1">
      <alignment horizontal="left" indent="3"/>
    </xf>
    <xf numFmtId="6" fontId="0" fillId="3" borderId="0" xfId="0" applyNumberFormat="1" applyFill="1" applyAlignment="1">
      <alignment horizontal="center"/>
    </xf>
    <xf numFmtId="172" fontId="32" fillId="3" borderId="0" xfId="0" applyNumberFormat="1" applyFont="1" applyFill="1" applyAlignment="1">
      <alignment horizontal="center"/>
    </xf>
    <xf numFmtId="6" fontId="34" fillId="3" borderId="0" xfId="0" applyNumberFormat="1" applyFont="1" applyFill="1" applyBorder="1"/>
    <xf numFmtId="9" fontId="28" fillId="3" borderId="0" xfId="39" applyFont="1" applyFill="1" applyAlignment="1">
      <alignment horizontal="center"/>
    </xf>
    <xf numFmtId="0" fontId="5" fillId="2" borderId="0" xfId="18" applyFont="1" applyFill="1" applyAlignment="1"/>
    <xf numFmtId="0" fontId="24" fillId="2" borderId="0" xfId="18" applyFont="1" applyFill="1" applyAlignment="1">
      <alignment horizontal="left" vertical="top" wrapText="1"/>
    </xf>
    <xf numFmtId="0" fontId="24" fillId="2" borderId="0" xfId="18" applyFont="1" applyFill="1" applyAlignment="1">
      <alignment vertical="top" wrapText="1"/>
    </xf>
    <xf numFmtId="0" fontId="3" fillId="2" borderId="0" xfId="18" applyFont="1" applyFill="1" applyAlignment="1">
      <alignment vertical="top" wrapText="1"/>
    </xf>
    <xf numFmtId="0" fontId="24" fillId="2" borderId="0" xfId="18" applyFont="1" applyFill="1" applyAlignment="1">
      <alignment horizontal="left"/>
    </xf>
    <xf numFmtId="0" fontId="24" fillId="2" borderId="0" xfId="18" applyFont="1" applyFill="1" applyAlignment="1">
      <alignment horizontal="center"/>
    </xf>
    <xf numFmtId="0" fontId="24" fillId="2" borderId="0" xfId="18" applyFont="1" applyFill="1"/>
    <xf numFmtId="174" fontId="40" fillId="2" borderId="0" xfId="18" applyNumberFormat="1" applyFont="1" applyFill="1"/>
    <xf numFmtId="9" fontId="40" fillId="2" borderId="0" xfId="18" applyNumberFormat="1" applyFont="1" applyFill="1"/>
    <xf numFmtId="174" fontId="24" fillId="2" borderId="16" xfId="18" applyNumberFormat="1" applyFont="1" applyFill="1" applyBorder="1" applyAlignment="1">
      <alignment horizontal="center"/>
    </xf>
    <xf numFmtId="174" fontId="24" fillId="2" borderId="16" xfId="18" applyNumberFormat="1" applyFont="1" applyFill="1" applyBorder="1"/>
    <xf numFmtId="0" fontId="22" fillId="2" borderId="0" xfId="18" applyFont="1" applyFill="1"/>
    <xf numFmtId="174" fontId="22" fillId="2" borderId="0" xfId="18" applyNumberFormat="1" applyFont="1" applyFill="1"/>
    <xf numFmtId="0" fontId="18" fillId="3" borderId="0" xfId="18" applyFont="1" applyFill="1"/>
    <xf numFmtId="0" fontId="3" fillId="2" borderId="0" xfId="18" quotePrefix="1" applyFont="1" applyFill="1" applyAlignment="1">
      <alignment vertical="top" wrapText="1"/>
    </xf>
    <xf numFmtId="0" fontId="31" fillId="3" borderId="0" xfId="0" applyFont="1" applyFill="1" applyAlignment="1">
      <alignment horizontal="left" vertical="top" wrapText="1"/>
    </xf>
    <xf numFmtId="0" fontId="0" fillId="3" borderId="0" xfId="0" applyFill="1" applyBorder="1" applyAlignment="1">
      <alignment horizontal="center"/>
    </xf>
    <xf numFmtId="184" fontId="32" fillId="3" borderId="0" xfId="0" applyNumberFormat="1" applyFont="1" applyFill="1"/>
    <xf numFmtId="0" fontId="32" fillId="3" borderId="0" xfId="0" applyNumberFormat="1" applyFont="1" applyFill="1"/>
    <xf numFmtId="10" fontId="0" fillId="3" borderId="0" xfId="0" applyNumberFormat="1" applyFill="1"/>
    <xf numFmtId="0" fontId="34" fillId="3" borderId="0" xfId="0" applyFont="1" applyFill="1"/>
    <xf numFmtId="0" fontId="41" fillId="3" borderId="0" xfId="0" applyFont="1" applyFill="1"/>
    <xf numFmtId="0" fontId="32" fillId="3" borderId="0" xfId="0" applyFont="1" applyFill="1" applyBorder="1" applyAlignment="1">
      <alignment horizontal="center"/>
    </xf>
    <xf numFmtId="0" fontId="32" fillId="3" borderId="9" xfId="0" applyFont="1" applyFill="1" applyBorder="1" applyAlignment="1">
      <alignment horizontal="center"/>
    </xf>
    <xf numFmtId="0" fontId="3" fillId="3" borderId="0" xfId="0" applyFont="1" applyFill="1" applyBorder="1" applyAlignment="1">
      <alignment horizontal="center"/>
    </xf>
    <xf numFmtId="0" fontId="32" fillId="3" borderId="4" xfId="0" applyFont="1" applyFill="1" applyBorder="1" applyAlignment="1">
      <alignment horizontal="center"/>
    </xf>
    <xf numFmtId="0" fontId="32" fillId="3" borderId="6" xfId="0" applyFont="1" applyFill="1" applyBorder="1" applyAlignment="1">
      <alignment horizontal="center"/>
    </xf>
    <xf numFmtId="0" fontId="32" fillId="3" borderId="8" xfId="0" applyFont="1" applyFill="1" applyBorder="1" applyAlignment="1">
      <alignment horizontal="center"/>
    </xf>
    <xf numFmtId="0" fontId="0" fillId="3" borderId="13" xfId="0" applyFill="1" applyBorder="1" applyAlignment="1">
      <alignment horizontal="center"/>
    </xf>
    <xf numFmtId="0" fontId="0" fillId="3" borderId="14" xfId="0" applyFill="1" applyBorder="1" applyAlignment="1">
      <alignment horizontal="center"/>
    </xf>
    <xf numFmtId="0" fontId="0" fillId="3" borderId="15" xfId="0" applyFill="1" applyBorder="1" applyAlignment="1">
      <alignment horizontal="center"/>
    </xf>
    <xf numFmtId="0" fontId="0" fillId="3" borderId="0" xfId="0" applyFill="1" applyBorder="1" applyAlignment="1">
      <alignment horizontal="left" wrapText="1"/>
    </xf>
    <xf numFmtId="0" fontId="31" fillId="3" borderId="0" xfId="0" applyFont="1" applyFill="1" applyAlignment="1">
      <alignment horizontal="center"/>
    </xf>
    <xf numFmtId="173" fontId="32" fillId="3" borderId="0" xfId="0" applyNumberFormat="1" applyFont="1" applyFill="1" applyAlignment="1">
      <alignment horizontal="center"/>
    </xf>
    <xf numFmtId="10" fontId="32" fillId="3" borderId="0" xfId="39" applyNumberFormat="1" applyFont="1" applyFill="1" applyAlignment="1">
      <alignment horizontal="center"/>
    </xf>
    <xf numFmtId="187" fontId="32" fillId="3" borderId="0" xfId="0" applyNumberFormat="1" applyFont="1" applyFill="1" applyAlignment="1">
      <alignment horizontal="center"/>
    </xf>
    <xf numFmtId="0" fontId="0" fillId="3" borderId="0" xfId="0" applyFont="1" applyFill="1"/>
    <xf numFmtId="188" fontId="32" fillId="3" borderId="0" xfId="0" applyNumberFormat="1" applyFont="1" applyFill="1" applyAlignment="1">
      <alignment horizontal="center"/>
    </xf>
    <xf numFmtId="0" fontId="44" fillId="3" borderId="0" xfId="0" applyFont="1" applyFill="1" applyAlignment="1">
      <alignment horizontal="left" indent="3"/>
    </xf>
    <xf numFmtId="0" fontId="46" fillId="3" borderId="0" xfId="0" applyFont="1" applyFill="1" applyAlignment="1">
      <alignment horizontal="left" indent="3"/>
    </xf>
    <xf numFmtId="0" fontId="46" fillId="3" borderId="0" xfId="0" applyFont="1" applyFill="1"/>
    <xf numFmtId="0" fontId="44" fillId="3" borderId="0" xfId="0" applyFont="1" applyFill="1"/>
    <xf numFmtId="0" fontId="0" fillId="4" borderId="2" xfId="0" applyFill="1" applyBorder="1"/>
    <xf numFmtId="0" fontId="0" fillId="4" borderId="3" xfId="0" applyFill="1" applyBorder="1"/>
    <xf numFmtId="0" fontId="0" fillId="4" borderId="4" xfId="0" applyFill="1" applyBorder="1"/>
    <xf numFmtId="0" fontId="0" fillId="4" borderId="8" xfId="0" applyFill="1" applyBorder="1"/>
    <xf numFmtId="0" fontId="0" fillId="4" borderId="5" xfId="0" applyFill="1" applyBorder="1"/>
    <xf numFmtId="0" fontId="0" fillId="4" borderId="0" xfId="0" applyFill="1" applyBorder="1"/>
    <xf numFmtId="0" fontId="0" fillId="4" borderId="0" xfId="0" applyFill="1" applyBorder="1" applyAlignment="1"/>
    <xf numFmtId="0" fontId="0" fillId="4" borderId="6" xfId="0" applyFill="1" applyBorder="1" applyAlignment="1"/>
    <xf numFmtId="0" fontId="0" fillId="4" borderId="5" xfId="0" applyFill="1" applyBorder="1" applyAlignment="1">
      <alignment horizontal="right"/>
    </xf>
    <xf numFmtId="182" fontId="0" fillId="4" borderId="0" xfId="0" applyNumberFormat="1" applyFill="1" applyBorder="1" applyAlignment="1">
      <alignment horizontal="center"/>
    </xf>
    <xf numFmtId="182" fontId="0" fillId="4" borderId="6" xfId="0" applyNumberFormat="1" applyFill="1" applyBorder="1" applyAlignment="1">
      <alignment horizontal="center"/>
    </xf>
    <xf numFmtId="0" fontId="0" fillId="4" borderId="7" xfId="0" applyFill="1" applyBorder="1" applyAlignment="1">
      <alignment horizontal="right"/>
    </xf>
    <xf numFmtId="182" fontId="0" fillId="4" borderId="8" xfId="0" applyNumberFormat="1" applyFill="1" applyBorder="1" applyAlignment="1">
      <alignment horizontal="center"/>
    </xf>
    <xf numFmtId="182" fontId="0" fillId="4" borderId="9" xfId="0" applyNumberFormat="1" applyFill="1" applyBorder="1" applyAlignment="1">
      <alignment horizontal="center"/>
    </xf>
    <xf numFmtId="0" fontId="31" fillId="5" borderId="2" xfId="0" applyFont="1" applyFill="1" applyBorder="1"/>
    <xf numFmtId="0" fontId="0" fillId="5" borderId="3" xfId="0" applyFill="1" applyBorder="1"/>
    <xf numFmtId="0" fontId="0" fillId="5" borderId="4" xfId="0" applyFill="1" applyBorder="1"/>
    <xf numFmtId="0" fontId="0" fillId="5" borderId="7" xfId="0" quotePrefix="1" applyFill="1" applyBorder="1"/>
    <xf numFmtId="0" fontId="0" fillId="5" borderId="8" xfId="0" applyFill="1" applyBorder="1"/>
    <xf numFmtId="173" fontId="0" fillId="5" borderId="9" xfId="0" applyNumberFormat="1" applyFill="1" applyBorder="1"/>
    <xf numFmtId="0" fontId="0" fillId="5" borderId="5" xfId="0" applyFill="1" applyBorder="1"/>
    <xf numFmtId="0" fontId="0" fillId="5" borderId="0" xfId="0" applyFill="1" applyBorder="1"/>
    <xf numFmtId="0" fontId="0" fillId="5" borderId="0" xfId="0" applyFill="1" applyBorder="1" applyAlignment="1"/>
    <xf numFmtId="0" fontId="0" fillId="5" borderId="6" xfId="0" applyFill="1" applyBorder="1" applyAlignment="1"/>
    <xf numFmtId="0" fontId="0" fillId="5" borderId="5" xfId="0" applyFill="1" applyBorder="1" applyAlignment="1">
      <alignment horizontal="right"/>
    </xf>
    <xf numFmtId="182" fontId="0" fillId="5" borderId="0" xfId="0" applyNumberFormat="1" applyFill="1" applyBorder="1" applyAlignment="1">
      <alignment horizontal="center"/>
    </xf>
    <xf numFmtId="182" fontId="0" fillId="5" borderId="6" xfId="0" applyNumberFormat="1" applyFill="1" applyBorder="1" applyAlignment="1">
      <alignment horizontal="center"/>
    </xf>
    <xf numFmtId="0" fontId="0" fillId="5" borderId="7" xfId="0" applyFill="1" applyBorder="1" applyAlignment="1">
      <alignment horizontal="right"/>
    </xf>
    <xf numFmtId="182" fontId="0" fillId="5" borderId="8" xfId="0" applyNumberFormat="1" applyFill="1" applyBorder="1" applyAlignment="1">
      <alignment horizontal="center"/>
    </xf>
    <xf numFmtId="182" fontId="0" fillId="5" borderId="9" xfId="0" applyNumberFormat="1" applyFill="1" applyBorder="1" applyAlignment="1">
      <alignment horizontal="center"/>
    </xf>
    <xf numFmtId="0" fontId="48" fillId="3" borderId="0" xfId="0" applyFont="1" applyFill="1" applyAlignment="1">
      <alignment horizontal="left" indent="3"/>
    </xf>
    <xf numFmtId="0" fontId="48" fillId="3" borderId="0" xfId="0" applyFont="1" applyFill="1"/>
    <xf numFmtId="0" fontId="50" fillId="3" borderId="0" xfId="0" applyFont="1" applyFill="1" applyAlignment="1">
      <alignment horizontal="left" indent="3"/>
    </xf>
    <xf numFmtId="0" fontId="50" fillId="3" borderId="0" xfId="0" applyFont="1" applyFill="1"/>
    <xf numFmtId="177" fontId="0" fillId="5" borderId="6" xfId="0" applyNumberFormat="1" applyFill="1" applyBorder="1"/>
    <xf numFmtId="0" fontId="0" fillId="5" borderId="7" xfId="0" applyFill="1" applyBorder="1"/>
    <xf numFmtId="177" fontId="0" fillId="5" borderId="9" xfId="0" applyNumberFormat="1" applyFill="1" applyBorder="1"/>
    <xf numFmtId="177" fontId="0" fillId="4" borderId="4" xfId="0" applyNumberFormat="1" applyFill="1" applyBorder="1"/>
    <xf numFmtId="177" fontId="0" fillId="4" borderId="6" xfId="0" applyNumberFormat="1" applyFill="1" applyBorder="1"/>
    <xf numFmtId="0" fontId="0" fillId="4" borderId="7" xfId="0" applyFill="1" applyBorder="1"/>
    <xf numFmtId="177" fontId="0" fillId="4" borderId="9" xfId="0" applyNumberFormat="1" applyFill="1" applyBorder="1"/>
    <xf numFmtId="14" fontId="32" fillId="3" borderId="0" xfId="0" applyNumberFormat="1" applyFont="1" applyFill="1" applyAlignment="1">
      <alignment horizontal="left"/>
    </xf>
    <xf numFmtId="169" fontId="32" fillId="4" borderId="3" xfId="0" applyNumberFormat="1" applyFont="1" applyFill="1" applyBorder="1"/>
    <xf numFmtId="169" fontId="0" fillId="4" borderId="3" xfId="0" applyNumberFormat="1" applyFill="1" applyBorder="1"/>
    <xf numFmtId="169" fontId="0" fillId="4" borderId="4" xfId="0" applyNumberFormat="1" applyFill="1" applyBorder="1"/>
    <xf numFmtId="169" fontId="0" fillId="4" borderId="0" xfId="0" applyNumberFormat="1" applyFill="1" applyBorder="1"/>
    <xf numFmtId="0" fontId="0" fillId="4" borderId="6" xfId="0" applyFill="1" applyBorder="1"/>
    <xf numFmtId="169" fontId="32" fillId="4" borderId="8" xfId="0" applyNumberFormat="1" applyFont="1" applyFill="1" applyBorder="1"/>
    <xf numFmtId="169" fontId="0" fillId="4" borderId="8" xfId="0" applyNumberFormat="1" applyFill="1" applyBorder="1"/>
    <xf numFmtId="169" fontId="0" fillId="4" borderId="9" xfId="0" applyNumberFormat="1" applyFill="1" applyBorder="1"/>
    <xf numFmtId="170" fontId="0" fillId="5" borderId="3" xfId="0" applyNumberFormat="1" applyFill="1" applyBorder="1"/>
    <xf numFmtId="170" fontId="0" fillId="5" borderId="0" xfId="0" applyNumberFormat="1" applyFill="1" applyBorder="1"/>
    <xf numFmtId="0" fontId="0" fillId="5" borderId="6" xfId="0" applyFill="1" applyBorder="1"/>
    <xf numFmtId="169" fontId="32" fillId="5" borderId="0" xfId="0" applyNumberFormat="1" applyFont="1" applyFill="1" applyBorder="1"/>
    <xf numFmtId="169" fontId="0" fillId="5" borderId="0" xfId="0" applyNumberFormat="1" applyFill="1" applyBorder="1"/>
    <xf numFmtId="169" fontId="0" fillId="5" borderId="6" xfId="0" applyNumberFormat="1" applyFill="1" applyBorder="1"/>
    <xf numFmtId="0" fontId="39" fillId="5" borderId="0" xfId="0" applyFont="1" applyFill="1" applyBorder="1"/>
    <xf numFmtId="170" fontId="39" fillId="5" borderId="0" xfId="0" applyNumberFormat="1" applyFont="1" applyFill="1" applyBorder="1" applyAlignment="1"/>
    <xf numFmtId="170" fontId="39" fillId="5" borderId="6" xfId="0" applyNumberFormat="1" applyFont="1" applyFill="1" applyBorder="1" applyAlignment="1"/>
    <xf numFmtId="0" fontId="39" fillId="5" borderId="8" xfId="0" applyFont="1" applyFill="1" applyBorder="1"/>
    <xf numFmtId="170" fontId="39" fillId="5" borderId="8" xfId="0" applyNumberFormat="1" applyFont="1" applyFill="1" applyBorder="1" applyAlignment="1"/>
    <xf numFmtId="170" fontId="39" fillId="5" borderId="9" xfId="0" applyNumberFormat="1" applyFont="1" applyFill="1" applyBorder="1" applyAlignment="1"/>
    <xf numFmtId="174" fontId="32" fillId="3" borderId="0" xfId="0" applyNumberFormat="1" applyFont="1" applyFill="1" applyBorder="1" applyAlignment="1">
      <alignment horizontal="left"/>
    </xf>
    <xf numFmtId="0" fontId="3" fillId="2" borderId="0" xfId="0" applyFont="1" applyFill="1"/>
    <xf numFmtId="0" fontId="3" fillId="2" borderId="5" xfId="0" applyFont="1" applyFill="1" applyBorder="1"/>
    <xf numFmtId="14" fontId="3" fillId="2" borderId="0" xfId="0" applyNumberFormat="1" applyFont="1" applyFill="1" applyBorder="1"/>
    <xf numFmtId="0" fontId="3" fillId="2" borderId="0" xfId="0" applyFont="1" applyFill="1" applyBorder="1"/>
    <xf numFmtId="0" fontId="52" fillId="2" borderId="6" xfId="0" applyFont="1" applyFill="1" applyBorder="1" applyAlignment="1">
      <alignment horizontal="center"/>
    </xf>
    <xf numFmtId="0" fontId="52" fillId="2" borderId="0" xfId="0" applyFont="1" applyFill="1" applyBorder="1" applyAlignment="1">
      <alignment horizontal="center"/>
    </xf>
    <xf numFmtId="0" fontId="3" fillId="2" borderId="6" xfId="0" applyFont="1" applyFill="1" applyBorder="1" applyAlignment="1">
      <alignment horizontal="center"/>
    </xf>
    <xf numFmtId="0" fontId="3" fillId="2" borderId="5" xfId="0" applyFont="1" applyFill="1" applyBorder="1" applyAlignment="1">
      <alignment horizontal="left"/>
    </xf>
    <xf numFmtId="0" fontId="3" fillId="2" borderId="6" xfId="0" applyFont="1" applyFill="1" applyBorder="1"/>
    <xf numFmtId="0" fontId="3" fillId="2" borderId="18" xfId="0" applyFont="1" applyFill="1" applyBorder="1" applyAlignment="1">
      <alignment horizontal="center"/>
    </xf>
    <xf numFmtId="0" fontId="3" fillId="2" borderId="0" xfId="0" applyFont="1" applyFill="1" applyBorder="1" applyAlignment="1">
      <alignment horizontal="center"/>
    </xf>
    <xf numFmtId="0" fontId="3" fillId="2" borderId="7" xfId="0" applyFont="1" applyFill="1" applyBorder="1"/>
    <xf numFmtId="0" fontId="3" fillId="2" borderId="8" xfId="0" applyFont="1" applyFill="1" applyBorder="1" applyAlignment="1">
      <alignment horizontal="center"/>
    </xf>
    <xf numFmtId="0" fontId="3" fillId="2" borderId="8" xfId="0" applyFont="1" applyFill="1" applyBorder="1"/>
    <xf numFmtId="169" fontId="52" fillId="2" borderId="0" xfId="0" applyNumberFormat="1" applyFont="1" applyFill="1" applyAlignment="1">
      <alignment horizontal="center"/>
    </xf>
    <xf numFmtId="169" fontId="3" fillId="2" borderId="0" xfId="0" applyNumberFormat="1" applyFont="1" applyFill="1" applyAlignment="1">
      <alignment horizontal="center"/>
    </xf>
    <xf numFmtId="0" fontId="52" fillId="2" borderId="0" xfId="0" applyFont="1" applyFill="1" applyAlignment="1">
      <alignment horizontal="center"/>
    </xf>
    <xf numFmtId="0" fontId="3" fillId="2" borderId="0" xfId="0" applyFont="1" applyFill="1" applyAlignment="1">
      <alignment horizontal="center"/>
    </xf>
    <xf numFmtId="0" fontId="3" fillId="2" borderId="0" xfId="0" applyFont="1" applyFill="1" applyAlignment="1">
      <alignment vertical="top" wrapText="1"/>
    </xf>
    <xf numFmtId="0" fontId="3" fillId="2" borderId="0" xfId="0" applyFont="1" applyFill="1" applyAlignment="1">
      <alignment horizontal="center" vertical="top" wrapText="1"/>
    </xf>
    <xf numFmtId="0" fontId="3" fillId="2" borderId="0" xfId="0" applyFont="1" applyFill="1" applyAlignment="1">
      <alignment horizontal="left" indent="1"/>
    </xf>
    <xf numFmtId="174" fontId="52" fillId="2" borderId="0" xfId="0" applyNumberFormat="1" applyFont="1" applyFill="1" applyAlignment="1">
      <alignment horizontal="center" vertical="top" wrapText="1"/>
    </xf>
    <xf numFmtId="174" fontId="3" fillId="2" borderId="0" xfId="0" applyNumberFormat="1" applyFont="1" applyFill="1" applyAlignment="1">
      <alignment horizontal="center" vertical="top" wrapText="1"/>
    </xf>
    <xf numFmtId="174" fontId="3" fillId="2" borderId="0" xfId="0" applyNumberFormat="1" applyFont="1" applyFill="1"/>
    <xf numFmtId="174" fontId="3" fillId="2" borderId="0" xfId="0" applyNumberFormat="1" applyFont="1" applyFill="1" applyAlignment="1">
      <alignment horizontal="center"/>
    </xf>
    <xf numFmtId="0" fontId="3" fillId="2" borderId="0" xfId="0" applyFont="1" applyFill="1" applyAlignment="1"/>
    <xf numFmtId="0" fontId="3" fillId="2" borderId="0" xfId="0" applyFont="1" applyFill="1" applyAlignment="1">
      <alignment horizontal="left"/>
    </xf>
    <xf numFmtId="0" fontId="3" fillId="2" borderId="0" xfId="0" applyFont="1" applyFill="1" applyAlignment="1">
      <alignment horizontal="left" vertical="top"/>
    </xf>
    <xf numFmtId="0" fontId="7" fillId="2" borderId="0" xfId="0" applyFont="1" applyFill="1" applyAlignment="1"/>
    <xf numFmtId="0" fontId="32" fillId="2" borderId="0" xfId="0" applyFont="1" applyFill="1"/>
    <xf numFmtId="0" fontId="32" fillId="2" borderId="9" xfId="0" applyFont="1" applyFill="1" applyBorder="1" applyAlignment="1">
      <alignment horizontal="center"/>
    </xf>
    <xf numFmtId="0" fontId="18" fillId="2" borderId="2" xfId="0" applyFont="1" applyFill="1" applyBorder="1" applyAlignment="1">
      <alignment horizontal="left"/>
    </xf>
    <xf numFmtId="0" fontId="18" fillId="2" borderId="3" xfId="0" applyFont="1" applyFill="1" applyBorder="1"/>
    <xf numFmtId="0" fontId="18" fillId="2" borderId="3" xfId="0" applyFont="1" applyFill="1" applyBorder="1" applyAlignment="1">
      <alignment horizontal="center"/>
    </xf>
    <xf numFmtId="0" fontId="18" fillId="2" borderId="4" xfId="0" applyFont="1" applyFill="1" applyBorder="1" applyAlignment="1">
      <alignment horizontal="center"/>
    </xf>
    <xf numFmtId="174" fontId="3" fillId="5" borderId="11" xfId="0" applyNumberFormat="1" applyFont="1" applyFill="1" applyBorder="1"/>
    <xf numFmtId="174" fontId="3" fillId="5" borderId="12" xfId="0" applyNumberFormat="1" applyFont="1" applyFill="1" applyBorder="1"/>
    <xf numFmtId="174" fontId="3" fillId="4" borderId="11" xfId="0" applyNumberFormat="1" applyFont="1" applyFill="1" applyBorder="1"/>
    <xf numFmtId="174" fontId="3" fillId="4" borderId="12" xfId="0" applyNumberFormat="1" applyFont="1" applyFill="1" applyBorder="1"/>
    <xf numFmtId="0" fontId="3" fillId="4" borderId="10" xfId="0" applyFont="1" applyFill="1" applyBorder="1"/>
    <xf numFmtId="8" fontId="0" fillId="5" borderId="3" xfId="0" applyNumberFormat="1" applyFill="1" applyBorder="1"/>
    <xf numFmtId="8" fontId="0" fillId="5" borderId="4" xfId="0" applyNumberFormat="1" applyFill="1" applyBorder="1"/>
    <xf numFmtId="0" fontId="32" fillId="5" borderId="0" xfId="0" applyFont="1" applyFill="1" applyAlignment="1">
      <alignment horizontal="right"/>
    </xf>
    <xf numFmtId="0" fontId="32" fillId="5" borderId="0" xfId="0" applyFont="1" applyFill="1" applyBorder="1"/>
    <xf numFmtId="0" fontId="32" fillId="5" borderId="6" xfId="0" applyFont="1" applyFill="1" applyBorder="1"/>
    <xf numFmtId="10" fontId="32" fillId="5" borderId="0" xfId="0" applyNumberFormat="1" applyFont="1" applyFill="1" applyBorder="1"/>
    <xf numFmtId="8" fontId="32" fillId="5" borderId="8" xfId="0" applyNumberFormat="1" applyFont="1" applyFill="1" applyBorder="1"/>
    <xf numFmtId="8" fontId="0" fillId="5" borderId="8" xfId="0" applyNumberFormat="1" applyFill="1" applyBorder="1"/>
    <xf numFmtId="8" fontId="0" fillId="5" borderId="9" xfId="0" applyNumberFormat="1" applyFill="1" applyBorder="1"/>
    <xf numFmtId="0" fontId="32" fillId="4" borderId="3" xfId="0" applyFont="1" applyFill="1" applyBorder="1" applyAlignment="1">
      <alignment horizontal="right"/>
    </xf>
    <xf numFmtId="0" fontId="32" fillId="4" borderId="3" xfId="0" applyFont="1" applyFill="1" applyBorder="1"/>
    <xf numFmtId="0" fontId="3" fillId="4" borderId="3" xfId="0" applyFont="1" applyFill="1" applyBorder="1"/>
    <xf numFmtId="0" fontId="3" fillId="4" borderId="4" xfId="0" applyFont="1" applyFill="1" applyBorder="1"/>
    <xf numFmtId="10" fontId="32" fillId="4" borderId="0" xfId="0" applyNumberFormat="1" applyFont="1" applyFill="1" applyBorder="1"/>
    <xf numFmtId="8" fontId="32" fillId="4" borderId="8" xfId="0" applyNumberFormat="1" applyFont="1" applyFill="1" applyBorder="1"/>
    <xf numFmtId="8" fontId="0" fillId="4" borderId="8" xfId="0" applyNumberFormat="1" applyFill="1" applyBorder="1"/>
    <xf numFmtId="8" fontId="0" fillId="4" borderId="9" xfId="0" applyNumberFormat="1" applyFill="1" applyBorder="1"/>
    <xf numFmtId="174" fontId="3" fillId="5" borderId="10" xfId="0" applyNumberFormat="1" applyFont="1" applyFill="1" applyBorder="1"/>
    <xf numFmtId="174" fontId="18" fillId="2" borderId="0" xfId="0" applyNumberFormat="1" applyFont="1" applyFill="1" applyAlignment="1">
      <alignment horizontal="right"/>
    </xf>
    <xf numFmtId="174" fontId="18" fillId="2" borderId="0" xfId="0" applyNumberFormat="1" applyFont="1" applyFill="1" applyAlignment="1">
      <alignment horizontal="center"/>
    </xf>
    <xf numFmtId="0" fontId="3" fillId="4" borderId="3" xfId="0" applyFont="1" applyFill="1" applyBorder="1" applyAlignment="1">
      <alignment horizontal="center"/>
    </xf>
    <xf numFmtId="0" fontId="31" fillId="4" borderId="4" xfId="0" applyFont="1" applyFill="1" applyBorder="1" applyAlignment="1">
      <alignment horizontal="center"/>
    </xf>
    <xf numFmtId="0" fontId="0" fillId="4" borderId="7" xfId="0" applyFill="1" applyBorder="1" applyAlignment="1">
      <alignment horizontal="left" indent="1"/>
    </xf>
    <xf numFmtId="6" fontId="0" fillId="4" borderId="8" xfId="0" applyNumberFormat="1" applyFill="1" applyBorder="1"/>
    <xf numFmtId="6" fontId="31" fillId="4" borderId="9" xfId="0" applyNumberFormat="1" applyFont="1" applyFill="1" applyBorder="1"/>
    <xf numFmtId="0" fontId="31" fillId="5" borderId="2" xfId="0" applyFont="1" applyFill="1" applyBorder="1" applyAlignment="1">
      <alignment horizontal="left" indent="1"/>
    </xf>
    <xf numFmtId="0" fontId="3" fillId="5" borderId="3" xfId="0" applyFont="1" applyFill="1" applyBorder="1" applyAlignment="1">
      <alignment horizontal="center"/>
    </xf>
    <xf numFmtId="0" fontId="31" fillId="5" borderId="4" xfId="0" applyFont="1" applyFill="1" applyBorder="1" applyAlignment="1">
      <alignment horizontal="center"/>
    </xf>
    <xf numFmtId="0" fontId="0" fillId="5" borderId="7" xfId="0" applyFill="1" applyBorder="1" applyAlignment="1">
      <alignment horizontal="left" indent="1"/>
    </xf>
    <xf numFmtId="6" fontId="0" fillId="5" borderId="8" xfId="0" applyNumberFormat="1" applyFill="1" applyBorder="1"/>
    <xf numFmtId="6" fontId="31" fillId="5" borderId="9" xfId="0" applyNumberFormat="1" applyFont="1" applyFill="1" applyBorder="1"/>
    <xf numFmtId="0" fontId="0" fillId="4" borderId="2" xfId="0" applyFill="1" applyBorder="1" applyAlignment="1">
      <alignment horizontal="center"/>
    </xf>
    <xf numFmtId="0" fontId="32" fillId="4" borderId="4" xfId="0" applyFont="1" applyFill="1" applyBorder="1" applyAlignment="1">
      <alignment horizontal="center"/>
    </xf>
    <xf numFmtId="0" fontId="0" fillId="4" borderId="5" xfId="0" applyFill="1" applyBorder="1" applyAlignment="1">
      <alignment horizontal="center"/>
    </xf>
    <xf numFmtId="0" fontId="32" fillId="4" borderId="6" xfId="0" applyFont="1" applyFill="1" applyBorder="1" applyAlignment="1">
      <alignment horizontal="center"/>
    </xf>
    <xf numFmtId="0" fontId="0" fillId="4" borderId="7" xfId="0" applyFill="1" applyBorder="1" applyAlignment="1">
      <alignment horizontal="center"/>
    </xf>
    <xf numFmtId="6" fontId="0" fillId="4" borderId="9" xfId="0" applyNumberFormat="1" applyFill="1" applyBorder="1"/>
    <xf numFmtId="0" fontId="31" fillId="5" borderId="2" xfId="0" applyFont="1" applyFill="1" applyBorder="1" applyAlignment="1"/>
    <xf numFmtId="0" fontId="3" fillId="5" borderId="4" xfId="0" applyFont="1" applyFill="1" applyBorder="1" applyAlignment="1">
      <alignment horizontal="center"/>
    </xf>
    <xf numFmtId="0" fontId="0" fillId="5" borderId="5" xfId="0" applyFill="1" applyBorder="1" applyAlignment="1">
      <alignment horizontal="center"/>
    </xf>
    <xf numFmtId="0" fontId="32" fillId="5" borderId="6" xfId="0" applyFont="1" applyFill="1" applyBorder="1" applyAlignment="1">
      <alignment horizontal="center"/>
    </xf>
    <xf numFmtId="0" fontId="0" fillId="5" borderId="7" xfId="0" applyFill="1" applyBorder="1" applyAlignment="1">
      <alignment horizontal="center"/>
    </xf>
    <xf numFmtId="6" fontId="0" fillId="5" borderId="9" xfId="0" applyNumberFormat="1" applyFill="1" applyBorder="1"/>
    <xf numFmtId="6" fontId="0" fillId="5" borderId="9" xfId="0" applyNumberFormat="1" applyFill="1" applyBorder="1" applyAlignment="1">
      <alignment horizontal="center"/>
    </xf>
    <xf numFmtId="0" fontId="0" fillId="4" borderId="11" xfId="0" applyFill="1" applyBorder="1"/>
    <xf numFmtId="0" fontId="0" fillId="4" borderId="10" xfId="0" applyFill="1" applyBorder="1"/>
    <xf numFmtId="0" fontId="31" fillId="5" borderId="11" xfId="0" applyFont="1" applyFill="1" applyBorder="1"/>
    <xf numFmtId="186" fontId="0" fillId="5" borderId="10" xfId="0" applyNumberFormat="1" applyFill="1" applyBorder="1" applyAlignment="1">
      <alignment horizontal="center"/>
    </xf>
    <xf numFmtId="0" fontId="3" fillId="3" borderId="0" xfId="0" applyFont="1" applyFill="1" applyAlignment="1"/>
    <xf numFmtId="0" fontId="31" fillId="3" borderId="10" xfId="0" applyFont="1" applyFill="1" applyBorder="1" applyAlignment="1">
      <alignment horizontal="center"/>
    </xf>
    <xf numFmtId="173" fontId="32" fillId="5" borderId="7" xfId="0" applyNumberFormat="1" applyFont="1" applyFill="1" applyBorder="1" applyAlignment="1">
      <alignment horizontal="center"/>
    </xf>
    <xf numFmtId="173" fontId="32" fillId="4" borderId="11" xfId="0" applyNumberFormat="1" applyFont="1" applyFill="1" applyBorder="1" applyAlignment="1">
      <alignment horizontal="center"/>
    </xf>
    <xf numFmtId="0" fontId="0" fillId="4" borderId="12" xfId="0" applyFill="1" applyBorder="1"/>
    <xf numFmtId="0" fontId="0" fillId="4" borderId="13" xfId="0" applyNumberFormat="1" applyFill="1" applyBorder="1"/>
    <xf numFmtId="0" fontId="0" fillId="4" borderId="14" xfId="0" applyNumberFormat="1" applyFill="1" applyBorder="1"/>
    <xf numFmtId="0" fontId="0" fillId="4" borderId="15" xfId="0" applyNumberFormat="1" applyFill="1" applyBorder="1"/>
    <xf numFmtId="185" fontId="32" fillId="3" borderId="0" xfId="0" applyNumberFormat="1" applyFont="1" applyFill="1" applyBorder="1"/>
    <xf numFmtId="172" fontId="32" fillId="3" borderId="0" xfId="0" applyNumberFormat="1" applyFont="1" applyFill="1" applyBorder="1"/>
    <xf numFmtId="0" fontId="32" fillId="3" borderId="0" xfId="0" applyNumberFormat="1" applyFont="1" applyFill="1" applyBorder="1"/>
    <xf numFmtId="0" fontId="34" fillId="5" borderId="2" xfId="0" applyFont="1" applyFill="1" applyBorder="1"/>
    <xf numFmtId="0" fontId="34" fillId="5" borderId="3" xfId="0" applyFont="1" applyFill="1" applyBorder="1"/>
    <xf numFmtId="0" fontId="34" fillId="5" borderId="4" xfId="0" applyFont="1" applyFill="1" applyBorder="1"/>
    <xf numFmtId="0" fontId="31" fillId="5" borderId="13" xfId="0" applyFont="1" applyFill="1" applyBorder="1" applyAlignment="1">
      <alignment horizontal="left" wrapText="1"/>
    </xf>
    <xf numFmtId="0" fontId="0" fillId="5" borderId="14" xfId="0" applyFill="1" applyBorder="1" applyAlignment="1">
      <alignment horizontal="right"/>
    </xf>
    <xf numFmtId="172" fontId="0" fillId="5" borderId="14" xfId="0" applyNumberFormat="1" applyFill="1" applyBorder="1" applyAlignment="1">
      <alignment horizontal="right"/>
    </xf>
    <xf numFmtId="0" fontId="0" fillId="5" borderId="15" xfId="0" applyFill="1" applyBorder="1" applyAlignment="1">
      <alignment horizontal="right"/>
    </xf>
    <xf numFmtId="0" fontId="0" fillId="4" borderId="0" xfId="0" applyFill="1" applyBorder="1" applyAlignment="1">
      <alignment horizontal="right"/>
    </xf>
    <xf numFmtId="172" fontId="0" fillId="4" borderId="0" xfId="0" applyNumberFormat="1" applyFill="1" applyBorder="1" applyAlignment="1">
      <alignment horizontal="right"/>
    </xf>
    <xf numFmtId="172" fontId="0" fillId="4" borderId="6" xfId="0" applyNumberFormat="1" applyFill="1" applyBorder="1"/>
    <xf numFmtId="0" fontId="0" fillId="4" borderId="8" xfId="0" applyFill="1" applyBorder="1" applyAlignment="1">
      <alignment horizontal="right"/>
    </xf>
    <xf numFmtId="0" fontId="0" fillId="4" borderId="9" xfId="0" applyFill="1" applyBorder="1"/>
    <xf numFmtId="172" fontId="32" fillId="3" borderId="0" xfId="0" applyNumberFormat="1" applyFont="1" applyFill="1" applyAlignment="1">
      <alignment horizontal="right"/>
    </xf>
    <xf numFmtId="172" fontId="38" fillId="3" borderId="0" xfId="0" applyNumberFormat="1" applyFont="1" applyFill="1" applyAlignment="1">
      <alignment horizontal="right"/>
    </xf>
    <xf numFmtId="172" fontId="0" fillId="3" borderId="0" xfId="0" applyNumberFormat="1" applyFill="1" applyAlignment="1">
      <alignment horizontal="right"/>
    </xf>
    <xf numFmtId="6" fontId="32" fillId="3" borderId="0" xfId="0" applyNumberFormat="1" applyFont="1" applyFill="1" applyBorder="1" applyAlignment="1">
      <alignment horizontal="center"/>
    </xf>
    <xf numFmtId="6" fontId="32" fillId="4" borderId="11" xfId="0" applyNumberFormat="1" applyFont="1" applyFill="1" applyBorder="1" applyAlignment="1">
      <alignment horizontal="center"/>
    </xf>
    <xf numFmtId="6" fontId="32" fillId="4" borderId="12" xfId="0" applyNumberFormat="1" applyFont="1" applyFill="1" applyBorder="1" applyAlignment="1">
      <alignment horizontal="center"/>
    </xf>
    <xf numFmtId="6" fontId="32" fillId="4" borderId="10" xfId="0" applyNumberFormat="1" applyFont="1" applyFill="1" applyBorder="1" applyAlignment="1">
      <alignment horizontal="center"/>
    </xf>
    <xf numFmtId="6" fontId="31" fillId="5" borderId="2" xfId="0" applyNumberFormat="1" applyFont="1" applyFill="1" applyBorder="1"/>
    <xf numFmtId="6" fontId="0" fillId="5" borderId="3" xfId="0" applyNumberFormat="1" applyFill="1" applyBorder="1"/>
    <xf numFmtId="6" fontId="0" fillId="5" borderId="4" xfId="0" applyNumberFormat="1" applyFill="1" applyBorder="1"/>
    <xf numFmtId="6" fontId="32" fillId="5" borderId="7" xfId="0" applyNumberFormat="1" applyFont="1" applyFill="1" applyBorder="1" applyAlignment="1">
      <alignment horizontal="center"/>
    </xf>
    <xf numFmtId="6" fontId="32" fillId="5" borderId="8" xfId="0" applyNumberFormat="1" applyFont="1" applyFill="1" applyBorder="1" applyAlignment="1">
      <alignment horizontal="center"/>
    </xf>
    <xf numFmtId="6" fontId="32" fillId="5" borderId="9" xfId="0" applyNumberFormat="1" applyFont="1" applyFill="1" applyBorder="1" applyAlignment="1">
      <alignment horizontal="center"/>
    </xf>
    <xf numFmtId="9" fontId="32" fillId="3" borderId="0" xfId="39" applyFont="1" applyFill="1" applyBorder="1" applyAlignment="1">
      <alignment horizontal="center"/>
    </xf>
    <xf numFmtId="10" fontId="32" fillId="3" borderId="0" xfId="39" applyNumberFormat="1" applyFont="1" applyFill="1" applyBorder="1" applyAlignment="1">
      <alignment horizontal="center"/>
    </xf>
    <xf numFmtId="0" fontId="0" fillId="3" borderId="0" xfId="0" applyFont="1" applyFill="1" applyAlignment="1">
      <alignment horizontal="left"/>
    </xf>
    <xf numFmtId="0" fontId="0" fillId="7" borderId="0" xfId="0" applyFill="1" applyBorder="1" applyAlignment="1">
      <alignment horizontal="center" wrapText="1"/>
    </xf>
    <xf numFmtId="183" fontId="32" fillId="4" borderId="4" xfId="0" applyNumberFormat="1" applyFont="1" applyFill="1" applyBorder="1" applyAlignment="1">
      <alignment horizontal="center" vertical="top" wrapText="1"/>
    </xf>
    <xf numFmtId="0" fontId="3" fillId="6" borderId="0" xfId="0" applyFont="1" applyFill="1" applyBorder="1" applyAlignment="1">
      <alignment horizontal="center"/>
    </xf>
    <xf numFmtId="0" fontId="0" fillId="5" borderId="12" xfId="0" applyFill="1" applyBorder="1"/>
    <xf numFmtId="10" fontId="0" fillId="5" borderId="10" xfId="0" applyNumberFormat="1" applyFill="1" applyBorder="1"/>
    <xf numFmtId="0" fontId="0" fillId="5" borderId="0" xfId="0" applyFill="1" applyBorder="1" applyAlignment="1">
      <alignment horizontal="center"/>
    </xf>
    <xf numFmtId="0" fontId="0" fillId="5" borderId="6" xfId="0" applyFill="1" applyBorder="1" applyAlignment="1">
      <alignment horizontal="center"/>
    </xf>
    <xf numFmtId="6" fontId="0" fillId="5" borderId="0" xfId="0" applyNumberFormat="1" applyFill="1" applyBorder="1" applyAlignment="1">
      <alignment horizontal="right"/>
    </xf>
    <xf numFmtId="6" fontId="0" fillId="5" borderId="6" xfId="0" applyNumberFormat="1" applyFill="1" applyBorder="1" applyAlignment="1">
      <alignment horizontal="right"/>
    </xf>
    <xf numFmtId="0" fontId="0" fillId="5" borderId="9" xfId="0" applyFill="1" applyBorder="1"/>
    <xf numFmtId="0" fontId="0" fillId="4" borderId="3" xfId="0" applyFill="1" applyBorder="1" applyAlignment="1">
      <alignment horizontal="center"/>
    </xf>
    <xf numFmtId="0" fontId="0" fillId="4" borderId="4" xfId="0" applyFill="1" applyBorder="1" applyAlignment="1">
      <alignment horizontal="center"/>
    </xf>
    <xf numFmtId="6" fontId="0" fillId="4" borderId="0" xfId="0" applyNumberFormat="1" applyFill="1" applyBorder="1" applyAlignment="1">
      <alignment horizontal="right"/>
    </xf>
    <xf numFmtId="6" fontId="0" fillId="4" borderId="6" xfId="0" applyNumberFormat="1" applyFill="1" applyBorder="1" applyAlignment="1">
      <alignment horizontal="right"/>
    </xf>
    <xf numFmtId="6" fontId="0" fillId="4" borderId="8" xfId="0" applyNumberFormat="1" applyFill="1" applyBorder="1" applyAlignment="1">
      <alignment horizontal="right"/>
    </xf>
    <xf numFmtId="0" fontId="31" fillId="5" borderId="0" xfId="0" applyFont="1" applyFill="1" applyBorder="1" applyAlignment="1">
      <alignment horizontal="center"/>
    </xf>
    <xf numFmtId="6" fontId="0" fillId="4" borderId="17" xfId="0" applyNumberFormat="1" applyFill="1" applyBorder="1"/>
    <xf numFmtId="10" fontId="0" fillId="4" borderId="17" xfId="0" applyNumberFormat="1" applyFill="1" applyBorder="1"/>
    <xf numFmtId="6" fontId="3" fillId="5" borderId="0" xfId="0" applyNumberFormat="1" applyFont="1" applyFill="1" applyBorder="1"/>
    <xf numFmtId="8" fontId="32" fillId="5" borderId="0" xfId="0" applyNumberFormat="1" applyFont="1" applyFill="1" applyBorder="1"/>
    <xf numFmtId="8" fontId="32" fillId="5" borderId="6" xfId="0" applyNumberFormat="1" applyFont="1" applyFill="1" applyBorder="1"/>
    <xf numFmtId="6" fontId="0" fillId="5" borderId="0" xfId="0" applyNumberFormat="1" applyFill="1" applyBorder="1"/>
    <xf numFmtId="6" fontId="0" fillId="5" borderId="6" xfId="0" applyNumberFormat="1" applyFill="1" applyBorder="1"/>
    <xf numFmtId="10" fontId="32" fillId="5" borderId="8" xfId="0" applyNumberFormat="1" applyFont="1" applyFill="1" applyBorder="1"/>
    <xf numFmtId="6" fontId="0" fillId="4" borderId="3" xfId="0" applyNumberFormat="1" applyFill="1" applyBorder="1"/>
    <xf numFmtId="6" fontId="3" fillId="4" borderId="0" xfId="0" applyNumberFormat="1" applyFont="1" applyFill="1" applyBorder="1"/>
    <xf numFmtId="8" fontId="32" fillId="4" borderId="0" xfId="0" applyNumberFormat="1" applyFont="1" applyFill="1" applyBorder="1"/>
    <xf numFmtId="8" fontId="32" fillId="4" borderId="6" xfId="0" applyNumberFormat="1" applyFont="1" applyFill="1" applyBorder="1"/>
    <xf numFmtId="6" fontId="0" fillId="4" borderId="0" xfId="0" applyNumberFormat="1" applyFill="1" applyBorder="1"/>
    <xf numFmtId="6" fontId="0" fillId="4" borderId="6" xfId="0" applyNumberFormat="1" applyFill="1" applyBorder="1"/>
    <xf numFmtId="10" fontId="32" fillId="4" borderId="8" xfId="0" applyNumberFormat="1" applyFont="1" applyFill="1" applyBorder="1"/>
    <xf numFmtId="0" fontId="3" fillId="5" borderId="0" xfId="18" applyFont="1" applyFill="1"/>
    <xf numFmtId="0" fontId="0" fillId="3" borderId="0" xfId="0" applyFill="1" applyAlignment="1">
      <alignment horizontal="center"/>
    </xf>
    <xf numFmtId="169" fontId="0" fillId="3" borderId="0" xfId="0" applyNumberFormat="1" applyFill="1" applyAlignment="1"/>
    <xf numFmtId="187" fontId="32" fillId="3" borderId="0" xfId="0" applyNumberFormat="1" applyFont="1" applyFill="1"/>
    <xf numFmtId="174" fontId="28" fillId="3" borderId="0" xfId="39" applyNumberFormat="1" applyFont="1" applyFill="1" applyAlignment="1">
      <alignment horizontal="center"/>
    </xf>
    <xf numFmtId="0" fontId="55" fillId="3" borderId="0" xfId="0" applyFont="1" applyFill="1"/>
    <xf numFmtId="173" fontId="0" fillId="3" borderId="0" xfId="0" applyNumberFormat="1" applyFill="1" applyBorder="1"/>
    <xf numFmtId="0" fontId="7" fillId="2" borderId="0" xfId="0" applyFont="1" applyFill="1" applyAlignment="1">
      <alignment horizontal="center"/>
    </xf>
    <xf numFmtId="174" fontId="34" fillId="6" borderId="0" xfId="0" applyNumberFormat="1" applyFont="1" applyFill="1" applyAlignment="1">
      <alignment horizontal="center" vertical="top" wrapText="1"/>
    </xf>
    <xf numFmtId="0" fontId="31" fillId="6" borderId="0" xfId="0" applyFont="1" applyFill="1" applyAlignment="1">
      <alignment horizontal="center"/>
    </xf>
    <xf numFmtId="0" fontId="0" fillId="6" borderId="0" xfId="0" applyFill="1"/>
    <xf numFmtId="6" fontId="31" fillId="6" borderId="0" xfId="0" applyNumberFormat="1" applyFont="1" applyFill="1"/>
    <xf numFmtId="174" fontId="32" fillId="3" borderId="0" xfId="0" applyNumberFormat="1" applyFont="1" applyFill="1"/>
    <xf numFmtId="0" fontId="31" fillId="4" borderId="0" xfId="0" applyFont="1" applyFill="1" applyBorder="1" applyAlignment="1">
      <alignment horizontal="center"/>
    </xf>
    <xf numFmtId="0" fontId="0" fillId="4" borderId="17" xfId="0" applyFill="1" applyBorder="1"/>
    <xf numFmtId="0" fontId="32" fillId="4" borderId="5" xfId="0" applyFont="1" applyFill="1" applyBorder="1" applyAlignment="1">
      <alignment horizontal="left"/>
    </xf>
    <xf numFmtId="189" fontId="32" fillId="4" borderId="5" xfId="0" applyNumberFormat="1" applyFont="1" applyFill="1" applyBorder="1" applyAlignment="1">
      <alignment horizontal="left"/>
    </xf>
    <xf numFmtId="190" fontId="32" fillId="4" borderId="7" xfId="0" applyNumberFormat="1" applyFont="1" applyFill="1" applyBorder="1" applyAlignment="1">
      <alignment horizontal="left"/>
    </xf>
    <xf numFmtId="0" fontId="32" fillId="5" borderId="5" xfId="0" applyFont="1" applyFill="1" applyBorder="1" applyAlignment="1">
      <alignment horizontal="left"/>
    </xf>
    <xf numFmtId="189" fontId="32" fillId="5" borderId="5" xfId="0" applyNumberFormat="1" applyFont="1" applyFill="1" applyBorder="1" applyAlignment="1">
      <alignment horizontal="left"/>
    </xf>
    <xf numFmtId="190" fontId="32" fillId="5" borderId="7" xfId="0" applyNumberFormat="1" applyFont="1" applyFill="1" applyBorder="1" applyAlignment="1">
      <alignment horizontal="left"/>
    </xf>
    <xf numFmtId="9" fontId="0" fillId="4" borderId="17" xfId="0" applyNumberFormat="1" applyFill="1" applyBorder="1"/>
    <xf numFmtId="6" fontId="3" fillId="8" borderId="0" xfId="18" applyNumberFormat="1" applyFont="1" applyFill="1"/>
    <xf numFmtId="0" fontId="4" fillId="2" borderId="0" xfId="18" applyFont="1" applyFill="1" applyBorder="1" applyAlignment="1">
      <alignment horizontal="center"/>
    </xf>
    <xf numFmtId="0" fontId="20" fillId="3" borderId="0" xfId="18" applyFont="1" applyFill="1" applyBorder="1" applyAlignment="1">
      <alignment horizontal="center"/>
    </xf>
    <xf numFmtId="0" fontId="8" fillId="3" borderId="0" xfId="18" applyFont="1" applyFill="1" applyAlignment="1">
      <alignment horizontal="center"/>
    </xf>
    <xf numFmtId="181" fontId="32" fillId="3" borderId="0" xfId="0" applyNumberFormat="1" applyFont="1" applyFill="1" applyAlignment="1">
      <alignment horizontal="center"/>
    </xf>
    <xf numFmtId="0" fontId="0" fillId="4" borderId="11" xfId="0" applyFill="1" applyBorder="1" applyAlignment="1">
      <alignment horizontal="center"/>
    </xf>
    <xf numFmtId="0" fontId="0" fillId="4" borderId="12" xfId="0" applyFill="1" applyBorder="1" applyAlignment="1">
      <alignment horizontal="center"/>
    </xf>
    <xf numFmtId="0" fontId="0" fillId="4" borderId="10" xfId="0" applyFill="1" applyBorder="1" applyAlignment="1">
      <alignment horizontal="center"/>
    </xf>
    <xf numFmtId="0" fontId="0" fillId="3" borderId="0" xfId="0" applyFont="1" applyFill="1" applyAlignment="1">
      <alignment horizontal="left" vertical="top" wrapText="1"/>
    </xf>
    <xf numFmtId="0" fontId="34" fillId="3" borderId="0" xfId="0" applyFont="1" applyFill="1" applyAlignment="1">
      <alignment horizontal="left" vertical="top" wrapText="1"/>
    </xf>
    <xf numFmtId="0" fontId="31" fillId="3" borderId="0" xfId="0" applyFont="1" applyFill="1" applyAlignment="1">
      <alignment horizontal="center"/>
    </xf>
    <xf numFmtId="0" fontId="0" fillId="3" borderId="11" xfId="0" applyFill="1" applyBorder="1" applyAlignment="1">
      <alignment horizontal="center"/>
    </xf>
    <xf numFmtId="0" fontId="0" fillId="3" borderId="12" xfId="0" applyFill="1" applyBorder="1" applyAlignment="1">
      <alignment horizontal="center"/>
    </xf>
    <xf numFmtId="0" fontId="0" fillId="3" borderId="10" xfId="0" applyFill="1" applyBorder="1" applyAlignment="1">
      <alignment horizontal="center"/>
    </xf>
    <xf numFmtId="178" fontId="54" fillId="4" borderId="11" xfId="0" applyNumberFormat="1" applyFont="1" applyFill="1" applyBorder="1" applyAlignment="1">
      <alignment horizontal="center"/>
    </xf>
    <xf numFmtId="178" fontId="54" fillId="4" borderId="12" xfId="0" applyNumberFormat="1" applyFont="1" applyFill="1" applyBorder="1" applyAlignment="1">
      <alignment horizontal="center"/>
    </xf>
    <xf numFmtId="178" fontId="54" fillId="4" borderId="10" xfId="0" applyNumberFormat="1" applyFont="1" applyFill="1" applyBorder="1" applyAlignment="1">
      <alignment horizontal="center"/>
    </xf>
    <xf numFmtId="179" fontId="18" fillId="5" borderId="7" xfId="0" applyNumberFormat="1" applyFont="1" applyFill="1" applyBorder="1" applyAlignment="1">
      <alignment horizontal="center"/>
    </xf>
    <xf numFmtId="179" fontId="18" fillId="5" borderId="8" xfId="0" applyNumberFormat="1" applyFont="1" applyFill="1" applyBorder="1" applyAlignment="1">
      <alignment horizontal="center"/>
    </xf>
    <xf numFmtId="179" fontId="18" fillId="5" borderId="9" xfId="0" applyNumberFormat="1" applyFont="1" applyFill="1" applyBorder="1" applyAlignment="1">
      <alignment horizontal="center"/>
    </xf>
    <xf numFmtId="0" fontId="0" fillId="7" borderId="0" xfId="0" applyFill="1" applyBorder="1" applyAlignment="1">
      <alignment horizontal="center" wrapText="1"/>
    </xf>
    <xf numFmtId="0" fontId="0" fillId="6" borderId="0" xfId="0" applyFill="1" applyAlignment="1">
      <alignment horizontal="center" wrapText="1"/>
    </xf>
    <xf numFmtId="0" fontId="0" fillId="6" borderId="0" xfId="0" applyFill="1" applyBorder="1" applyAlignment="1">
      <alignment horizontal="center" wrapText="1"/>
    </xf>
    <xf numFmtId="0" fontId="17" fillId="3" borderId="0" xfId="18" applyFont="1" applyFill="1" applyAlignment="1">
      <alignment horizontal="left" vertical="center"/>
    </xf>
    <xf numFmtId="0" fontId="18" fillId="3" borderId="0" xfId="18" applyFont="1" applyFill="1" applyAlignment="1">
      <alignment horizontal="center"/>
    </xf>
    <xf numFmtId="176" fontId="3" fillId="3" borderId="0" xfId="18" applyNumberFormat="1" applyFont="1" applyFill="1" applyAlignment="1">
      <alignment horizontal="center"/>
    </xf>
    <xf numFmtId="175" fontId="32" fillId="5" borderId="0" xfId="18" applyNumberFormat="1" applyFont="1" applyFill="1" applyAlignment="1">
      <alignment horizontal="center"/>
    </xf>
    <xf numFmtId="180" fontId="3" fillId="5" borderId="0" xfId="18" applyNumberFormat="1" applyFont="1" applyFill="1" applyAlignment="1">
      <alignment horizontal="center"/>
    </xf>
    <xf numFmtId="0" fontId="0" fillId="3" borderId="0" xfId="0" applyFill="1" applyAlignment="1">
      <alignment horizontal="center"/>
    </xf>
    <xf numFmtId="0" fontId="0" fillId="4" borderId="3" xfId="0" applyFill="1" applyBorder="1" applyAlignment="1">
      <alignment horizontal="center"/>
    </xf>
    <xf numFmtId="0" fontId="0" fillId="4" borderId="4" xfId="0" applyFill="1" applyBorder="1" applyAlignment="1">
      <alignment horizontal="center"/>
    </xf>
    <xf numFmtId="0" fontId="0" fillId="5" borderId="3" xfId="0" applyFill="1" applyBorder="1" applyAlignment="1">
      <alignment horizontal="center"/>
    </xf>
    <xf numFmtId="0" fontId="0" fillId="5" borderId="4" xfId="0" applyFill="1" applyBorder="1" applyAlignment="1">
      <alignment horizontal="center"/>
    </xf>
    <xf numFmtId="0" fontId="24" fillId="2" borderId="0" xfId="18" applyFont="1" applyFill="1" applyAlignment="1">
      <alignment horizontal="left" vertical="top" wrapText="1"/>
    </xf>
    <xf numFmtId="0" fontId="3" fillId="2" borderId="0" xfId="18" quotePrefix="1" applyFont="1" applyFill="1" applyAlignment="1">
      <alignment horizontal="left"/>
    </xf>
    <xf numFmtId="0" fontId="3" fillId="2" borderId="0" xfId="18" quotePrefix="1" applyFont="1" applyFill="1" applyAlignment="1">
      <alignment horizontal="left" vertical="top" wrapText="1"/>
    </xf>
    <xf numFmtId="0" fontId="8" fillId="2" borderId="0" xfId="18" applyFont="1" applyFill="1" applyAlignment="1">
      <alignment horizontal="center"/>
    </xf>
    <xf numFmtId="0" fontId="62" fillId="3" borderId="0" xfId="18" applyFont="1" applyFill="1" applyAlignment="1">
      <alignment horizontal="center"/>
    </xf>
    <xf numFmtId="0" fontId="62" fillId="3" borderId="0" xfId="18" applyFont="1" applyFill="1" applyAlignment="1">
      <alignment horizontal="center"/>
    </xf>
    <xf numFmtId="0" fontId="64" fillId="2" borderId="11" xfId="115" applyFont="1" applyFill="1" applyBorder="1" applyAlignment="1">
      <alignment horizontal="center" vertical="center"/>
    </xf>
    <xf numFmtId="0" fontId="64" fillId="2" borderId="12" xfId="115" applyFont="1" applyFill="1" applyBorder="1" applyAlignment="1">
      <alignment horizontal="center" vertical="center"/>
    </xf>
    <xf numFmtId="0" fontId="64" fillId="2" borderId="10" xfId="115" applyFont="1" applyFill="1" applyBorder="1" applyAlignment="1">
      <alignment horizontal="center" vertical="center"/>
    </xf>
    <xf numFmtId="0" fontId="3" fillId="2" borderId="0" xfId="34" applyFont="1" applyFill="1" applyBorder="1"/>
    <xf numFmtId="0" fontId="65" fillId="3" borderId="0" xfId="15" applyFont="1" applyFill="1" applyAlignment="1" applyProtection="1">
      <alignment horizontal="center" vertical="center"/>
    </xf>
  </cellXfs>
  <cellStyles count="116">
    <cellStyle name="_Comma" xfId="1"/>
    <cellStyle name="_Currency" xfId="2"/>
    <cellStyle name="_Multiple" xfId="3"/>
    <cellStyle name="Comma 10" xfId="4"/>
    <cellStyle name="Comma 12" xfId="5"/>
    <cellStyle name="Comma 2" xfId="6"/>
    <cellStyle name="Comma 2 2" xfId="7"/>
    <cellStyle name="Comma 3" xfId="8"/>
    <cellStyle name="Currency 2" xfId="9"/>
    <cellStyle name="Currency 3" xfId="10"/>
    <cellStyle name="Currency 4" xfId="11"/>
    <cellStyle name="DATE" xfId="12"/>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RMULA" xfId="13"/>
    <cellStyle name="HIDE" xfId="14"/>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2" xfId="15"/>
    <cellStyle name="LINK" xfId="16"/>
    <cellStyle name="Nor@„l_IRRSENS" xfId="17"/>
    <cellStyle name="Normal" xfId="0" builtinId="0"/>
    <cellStyle name="Normal 10" xfId="18"/>
    <cellStyle name="Normal 11" xfId="19"/>
    <cellStyle name="Normal 12" xfId="20"/>
    <cellStyle name="Normal 2" xfId="21"/>
    <cellStyle name="Normal 2 2" xfId="22"/>
    <cellStyle name="Normal 2_Clark Comparison (2)" xfId="23"/>
    <cellStyle name="Normal 28" xfId="24"/>
    <cellStyle name="Normal 3" xfId="25"/>
    <cellStyle name="Normal 4" xfId="26"/>
    <cellStyle name="Normal 4 2" xfId="27"/>
    <cellStyle name="Normal 4 3" xfId="28"/>
    <cellStyle name="Normal 4 4" xfId="29"/>
    <cellStyle name="Normal 4 5" xfId="30"/>
    <cellStyle name="Normal 4 6" xfId="31"/>
    <cellStyle name="Normal 4 7" xfId="32"/>
    <cellStyle name="Normal 5" xfId="33"/>
    <cellStyle name="Normal 6" xfId="34"/>
    <cellStyle name="Normal 6 2" xfId="115"/>
    <cellStyle name="Normal 7" xfId="35"/>
    <cellStyle name="Normal 8" xfId="36"/>
    <cellStyle name="Normal 9" xfId="37"/>
    <cellStyle name="OVERWRITE" xfId="38"/>
    <cellStyle name="Percent" xfId="39" builtinId="5"/>
    <cellStyle name="Percent 2" xfId="40"/>
    <cellStyle name="Percent 2 2" xfId="41"/>
    <cellStyle name="Percent 3" xfId="42"/>
    <cellStyle name="Percent 4" xfId="43"/>
    <cellStyle name="Percent 4 2" xfId="44"/>
    <cellStyle name="Percent 4 3" xfId="45"/>
    <cellStyle name="Percent 4 4" xfId="46"/>
    <cellStyle name="Percent 4 5" xfId="47"/>
    <cellStyle name="Percent 4 6" xfId="48"/>
    <cellStyle name="Percent 4 7" xfId="49"/>
    <cellStyle name="Percent 5" xfId="50"/>
  </cellStyles>
  <dxfs count="31">
    <dxf>
      <font>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s>
  <tableStyles count="0" defaultTableStyle="TableStyleMedium9" defaultPivotStyle="PivotStyleLight16"/>
  <colors>
    <mruColors>
      <color rgb="FFFFFF99"/>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Construction</a:t>
            </a:r>
            <a:r>
              <a:rPr lang="en-US" baseline="0"/>
              <a:t> Bell Curves</a:t>
            </a:r>
            <a:endParaRPr lang="en-US"/>
          </a:p>
        </c:rich>
      </c:tx>
      <c:overlay val="0"/>
    </c:title>
    <c:autoTitleDeleted val="0"/>
    <c:plotArea>
      <c:layout/>
      <c:lineChart>
        <c:grouping val="standard"/>
        <c:varyColors val="0"/>
        <c:ser>
          <c:idx val="0"/>
          <c:order val="0"/>
          <c:tx>
            <c:v>4-mo.</c:v>
          </c:tx>
          <c:marker>
            <c:symbol val="none"/>
          </c:marker>
          <c:val>
            <c:numRef>
              <c:f>'VLOOKUP and HLOOKUP'!$C$12:$L$12</c:f>
              <c:numCache>
                <c:formatCode>0.00%</c:formatCode>
                <c:ptCount val="10"/>
                <c:pt idx="0" formatCode="0%">
                  <c:v>0.2</c:v>
                </c:pt>
                <c:pt idx="1">
                  <c:v>0.3</c:v>
                </c:pt>
                <c:pt idx="2" formatCode="0%">
                  <c:v>0.3</c:v>
                </c:pt>
                <c:pt idx="3" formatCode="0%">
                  <c:v>0.2</c:v>
                </c:pt>
              </c:numCache>
            </c:numRef>
          </c:val>
          <c:smooth val="0"/>
        </c:ser>
        <c:ser>
          <c:idx val="1"/>
          <c:order val="1"/>
          <c:tx>
            <c:v>5-mo.</c:v>
          </c:tx>
          <c:marker>
            <c:symbol val="none"/>
          </c:marker>
          <c:val>
            <c:numRef>
              <c:f>'VLOOKUP and HLOOKUP'!$C$13:$L$13</c:f>
              <c:numCache>
                <c:formatCode>0.00%</c:formatCode>
                <c:ptCount val="10"/>
                <c:pt idx="0" formatCode="0%">
                  <c:v>0.15</c:v>
                </c:pt>
                <c:pt idx="1">
                  <c:v>0.2</c:v>
                </c:pt>
                <c:pt idx="2" formatCode="0%">
                  <c:v>0.3</c:v>
                </c:pt>
                <c:pt idx="3" formatCode="0%">
                  <c:v>0.2</c:v>
                </c:pt>
                <c:pt idx="4" formatCode="0%">
                  <c:v>0.15</c:v>
                </c:pt>
              </c:numCache>
            </c:numRef>
          </c:val>
          <c:smooth val="0"/>
        </c:ser>
        <c:ser>
          <c:idx val="2"/>
          <c:order val="2"/>
          <c:tx>
            <c:v>6-mo.</c:v>
          </c:tx>
          <c:marker>
            <c:symbol val="none"/>
          </c:marker>
          <c:val>
            <c:numRef>
              <c:f>'VLOOKUP and HLOOKUP'!$C$14:$L$14</c:f>
              <c:numCache>
                <c:formatCode>0.00%</c:formatCode>
                <c:ptCount val="10"/>
                <c:pt idx="0" formatCode="0%">
                  <c:v>0.1</c:v>
                </c:pt>
                <c:pt idx="1">
                  <c:v>0.15</c:v>
                </c:pt>
                <c:pt idx="2" formatCode="0%">
                  <c:v>0.25</c:v>
                </c:pt>
                <c:pt idx="3" formatCode="0%">
                  <c:v>0.25</c:v>
                </c:pt>
                <c:pt idx="4" formatCode="0%">
                  <c:v>0.15</c:v>
                </c:pt>
                <c:pt idx="5" formatCode="0%">
                  <c:v>0.1</c:v>
                </c:pt>
              </c:numCache>
            </c:numRef>
          </c:val>
          <c:smooth val="0"/>
        </c:ser>
        <c:ser>
          <c:idx val="3"/>
          <c:order val="3"/>
          <c:tx>
            <c:v>7-mo.</c:v>
          </c:tx>
          <c:marker>
            <c:symbol val="none"/>
          </c:marker>
          <c:val>
            <c:numRef>
              <c:f>'VLOOKUP and HLOOKUP'!$C$15:$L$15</c:f>
              <c:numCache>
                <c:formatCode>0.00%</c:formatCode>
                <c:ptCount val="10"/>
                <c:pt idx="0" formatCode="0%">
                  <c:v>7.4999999999999997E-2</c:v>
                </c:pt>
                <c:pt idx="1">
                  <c:v>0.125</c:v>
                </c:pt>
                <c:pt idx="2" formatCode="0%">
                  <c:v>0.17499999999999999</c:v>
                </c:pt>
                <c:pt idx="3" formatCode="0%">
                  <c:v>0.25</c:v>
                </c:pt>
                <c:pt idx="4" formatCode="0%">
                  <c:v>0.17499999999999999</c:v>
                </c:pt>
                <c:pt idx="5" formatCode="0%">
                  <c:v>0.125</c:v>
                </c:pt>
                <c:pt idx="6" formatCode="0%">
                  <c:v>7.4999999999999997E-2</c:v>
                </c:pt>
              </c:numCache>
            </c:numRef>
          </c:val>
          <c:smooth val="0"/>
        </c:ser>
        <c:ser>
          <c:idx val="4"/>
          <c:order val="4"/>
          <c:tx>
            <c:v>8-mo.</c:v>
          </c:tx>
          <c:marker>
            <c:symbol val="none"/>
          </c:marker>
          <c:val>
            <c:numRef>
              <c:f>'VLOOKUP and HLOOKUP'!$C$16:$L$16</c:f>
              <c:numCache>
                <c:formatCode>0.00%</c:formatCode>
                <c:ptCount val="10"/>
                <c:pt idx="0" formatCode="0%">
                  <c:v>0.05</c:v>
                </c:pt>
                <c:pt idx="1">
                  <c:v>0.1</c:v>
                </c:pt>
                <c:pt idx="2" formatCode="0%">
                  <c:v>0.15</c:v>
                </c:pt>
                <c:pt idx="3" formatCode="0%">
                  <c:v>0.2</c:v>
                </c:pt>
                <c:pt idx="4" formatCode="0%">
                  <c:v>0.2</c:v>
                </c:pt>
                <c:pt idx="5" formatCode="0%">
                  <c:v>0.15</c:v>
                </c:pt>
                <c:pt idx="6" formatCode="0%">
                  <c:v>0.1</c:v>
                </c:pt>
                <c:pt idx="7" formatCode="0%">
                  <c:v>0.05</c:v>
                </c:pt>
              </c:numCache>
            </c:numRef>
          </c:val>
          <c:smooth val="0"/>
        </c:ser>
        <c:ser>
          <c:idx val="5"/>
          <c:order val="5"/>
          <c:tx>
            <c:v>9-mo.</c:v>
          </c:tx>
          <c:marker>
            <c:symbol val="none"/>
          </c:marker>
          <c:val>
            <c:numRef>
              <c:f>'VLOOKUP and HLOOKUP'!$C$17:$L$17</c:f>
              <c:numCache>
                <c:formatCode>0.00%</c:formatCode>
                <c:ptCount val="10"/>
                <c:pt idx="0" formatCode="0%">
                  <c:v>0.05</c:v>
                </c:pt>
                <c:pt idx="1">
                  <c:v>7.4999999999999997E-2</c:v>
                </c:pt>
                <c:pt idx="2" formatCode="0%">
                  <c:v>0.125</c:v>
                </c:pt>
                <c:pt idx="3" formatCode="0%">
                  <c:v>0.15</c:v>
                </c:pt>
                <c:pt idx="4" formatCode="0%">
                  <c:v>0.2</c:v>
                </c:pt>
                <c:pt idx="5" formatCode="0%">
                  <c:v>0.15</c:v>
                </c:pt>
                <c:pt idx="6" formatCode="0%">
                  <c:v>0.125</c:v>
                </c:pt>
                <c:pt idx="7" formatCode="0%">
                  <c:v>7.4999999999999997E-2</c:v>
                </c:pt>
                <c:pt idx="8" formatCode="0%">
                  <c:v>0.05</c:v>
                </c:pt>
              </c:numCache>
            </c:numRef>
          </c:val>
          <c:smooth val="0"/>
        </c:ser>
        <c:ser>
          <c:idx val="6"/>
          <c:order val="6"/>
          <c:tx>
            <c:v>10-mo.</c:v>
          </c:tx>
          <c:marker>
            <c:symbol val="none"/>
          </c:marker>
          <c:val>
            <c:numRef>
              <c:f>'VLOOKUP and HLOOKUP'!$C$18:$L$18</c:f>
              <c:numCache>
                <c:formatCode>0.00%</c:formatCode>
                <c:ptCount val="10"/>
                <c:pt idx="0" formatCode="0%">
                  <c:v>0.04</c:v>
                </c:pt>
                <c:pt idx="1">
                  <c:v>6.5000000000000002E-2</c:v>
                </c:pt>
                <c:pt idx="2" formatCode="0%">
                  <c:v>0.1</c:v>
                </c:pt>
                <c:pt idx="3" formatCode="0%">
                  <c:v>0.125</c:v>
                </c:pt>
                <c:pt idx="4" formatCode="0%">
                  <c:v>0.17</c:v>
                </c:pt>
                <c:pt idx="5" formatCode="0%">
                  <c:v>0.17</c:v>
                </c:pt>
                <c:pt idx="6" formatCode="0%">
                  <c:v>0.125</c:v>
                </c:pt>
                <c:pt idx="7" formatCode="0%">
                  <c:v>0.1</c:v>
                </c:pt>
                <c:pt idx="8" formatCode="0%">
                  <c:v>6.5000000000000002E-2</c:v>
                </c:pt>
                <c:pt idx="9" formatCode="0%">
                  <c:v>0.04</c:v>
                </c:pt>
              </c:numCache>
            </c:numRef>
          </c:val>
          <c:smooth val="0"/>
        </c:ser>
        <c:dLbls>
          <c:showLegendKey val="0"/>
          <c:showVal val="0"/>
          <c:showCatName val="0"/>
          <c:showSerName val="0"/>
          <c:showPercent val="0"/>
          <c:showBubbleSize val="0"/>
        </c:dLbls>
        <c:marker val="1"/>
        <c:smooth val="0"/>
        <c:axId val="77458048"/>
        <c:axId val="77468032"/>
      </c:lineChart>
      <c:catAx>
        <c:axId val="77458048"/>
        <c:scaling>
          <c:orientation val="minMax"/>
        </c:scaling>
        <c:delete val="0"/>
        <c:axPos val="b"/>
        <c:majorTickMark val="none"/>
        <c:minorTickMark val="none"/>
        <c:tickLblPos val="nextTo"/>
        <c:txPr>
          <a:bodyPr/>
          <a:lstStyle/>
          <a:p>
            <a:pPr>
              <a:defRPr sz="1400"/>
            </a:pPr>
            <a:endParaRPr lang="en-US"/>
          </a:p>
        </c:txPr>
        <c:crossAx val="77468032"/>
        <c:crosses val="autoZero"/>
        <c:auto val="1"/>
        <c:lblAlgn val="ctr"/>
        <c:lblOffset val="100"/>
        <c:noMultiLvlLbl val="0"/>
      </c:catAx>
      <c:valAx>
        <c:axId val="77468032"/>
        <c:scaling>
          <c:orientation val="minMax"/>
        </c:scaling>
        <c:delete val="0"/>
        <c:axPos val="l"/>
        <c:numFmt formatCode="0%" sourceLinked="1"/>
        <c:majorTickMark val="none"/>
        <c:minorTickMark val="none"/>
        <c:tickLblPos val="nextTo"/>
        <c:txPr>
          <a:bodyPr/>
          <a:lstStyle/>
          <a:p>
            <a:pPr>
              <a:defRPr sz="1200"/>
            </a:pPr>
            <a:endParaRPr lang="en-US"/>
          </a:p>
        </c:txPr>
        <c:crossAx val="77458048"/>
        <c:crosses val="autoZero"/>
        <c:crossBetween val="between"/>
      </c:valAx>
    </c:plotArea>
    <c:legend>
      <c:legendPos val="r"/>
      <c:overlay val="0"/>
      <c:txPr>
        <a:bodyPr/>
        <a:lstStyle/>
        <a:p>
          <a:pPr>
            <a:defRPr sz="1100"/>
          </a:pPr>
          <a:endParaRPr lang="en-US"/>
        </a:p>
      </c:tx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1" i="0" u="none" strike="noStrike" baseline="0">
                <a:solidFill>
                  <a:srgbClr val="000000"/>
                </a:solidFill>
                <a:latin typeface="Garamond"/>
                <a:ea typeface="Garamond"/>
                <a:cs typeface="Garamond"/>
              </a:defRPr>
            </a:pPr>
            <a:r>
              <a:rPr lang="en-US"/>
              <a:t>Interest Payments</a:t>
            </a:r>
          </a:p>
        </c:rich>
      </c:tx>
      <c:layout>
        <c:manualLayout>
          <c:xMode val="edge"/>
          <c:yMode val="edge"/>
          <c:x val="0.31137426874628299"/>
          <c:y val="3.6132576451199397E-2"/>
        </c:manualLayout>
      </c:layout>
      <c:overlay val="0"/>
    </c:title>
    <c:autoTitleDeleted val="0"/>
    <c:plotArea>
      <c:layout>
        <c:manualLayout>
          <c:layoutTarget val="inner"/>
          <c:xMode val="edge"/>
          <c:yMode val="edge"/>
          <c:x val="0.103163686382394"/>
          <c:y val="8.0338266384778007E-2"/>
          <c:w val="0.88583218707014999"/>
          <c:h val="0.82875264270613103"/>
        </c:manualLayout>
      </c:layout>
      <c:lineChart>
        <c:grouping val="stacked"/>
        <c:varyColors val="0"/>
        <c:ser>
          <c:idx val="0"/>
          <c:order val="0"/>
          <c:spPr>
            <a:ln>
              <a:solidFill>
                <a:srgbClr val="FF0000"/>
              </a:solidFill>
            </a:ln>
          </c:spPr>
          <c:marker>
            <c:symbol val="none"/>
          </c:marker>
          <c:val>
            <c:numRef>
              <c:f>'Mortgage Payment Ex. Solution'!$I$12:$I$371</c:f>
              <c:numCache>
                <c:formatCode>"$"#,##0_);[Red]\("$"#,##0\)</c:formatCode>
                <c:ptCount val="360"/>
                <c:pt idx="0">
                  <c:v>4166.666666666667</c:v>
                </c:pt>
                <c:pt idx="1">
                  <c:v>4166.666666666667</c:v>
                </c:pt>
                <c:pt idx="2">
                  <c:v>4166.666666666667</c:v>
                </c:pt>
                <c:pt idx="3">
                  <c:v>4166.666666666667</c:v>
                </c:pt>
                <c:pt idx="4">
                  <c:v>4166.666666666667</c:v>
                </c:pt>
                <c:pt idx="5">
                  <c:v>4166.666666666667</c:v>
                </c:pt>
                <c:pt idx="6">
                  <c:v>4166.666666666667</c:v>
                </c:pt>
                <c:pt idx="7">
                  <c:v>4166.666666666667</c:v>
                </c:pt>
                <c:pt idx="8">
                  <c:v>4166.666666666667</c:v>
                </c:pt>
                <c:pt idx="9">
                  <c:v>4166.666666666667</c:v>
                </c:pt>
                <c:pt idx="10">
                  <c:v>4166.666666666667</c:v>
                </c:pt>
                <c:pt idx="11">
                  <c:v>4166.666666666667</c:v>
                </c:pt>
                <c:pt idx="12">
                  <c:v>4166.6666666666342</c:v>
                </c:pt>
                <c:pt idx="13">
                  <c:v>4159.6698593816318</c:v>
                </c:pt>
                <c:pt idx="14">
                  <c:v>4152.6438987328502</c:v>
                </c:pt>
                <c:pt idx="15">
                  <c:v>4145.5886632481188</c:v>
                </c:pt>
                <c:pt idx="16">
                  <c:v>4138.504030948744</c:v>
                </c:pt>
                <c:pt idx="17">
                  <c:v>4131.3898793482285</c:v>
                </c:pt>
                <c:pt idx="18">
                  <c:v>4124.2460854493611</c:v>
                </c:pt>
                <c:pt idx="19">
                  <c:v>4117.0725257425865</c:v>
                </c:pt>
                <c:pt idx="20">
                  <c:v>4109.8690762036777</c:v>
                </c:pt>
                <c:pt idx="21">
                  <c:v>4102.6356122916395</c:v>
                </c:pt>
                <c:pt idx="22">
                  <c:v>4095.3720089467306</c:v>
                </c:pt>
                <c:pt idx="23">
                  <c:v>4088.0781405877851</c:v>
                </c:pt>
                <c:pt idx="24">
                  <c:v>4080.7538811108161</c:v>
                </c:pt>
                <c:pt idx="25">
                  <c:v>4073.3991038858721</c:v>
                </c:pt>
                <c:pt idx="26">
                  <c:v>4066.0136817559896</c:v>
                </c:pt>
                <c:pt idx="27">
                  <c:v>4058.5974870337004</c:v>
                </c:pt>
                <c:pt idx="28">
                  <c:v>4051.1503915002168</c:v>
                </c:pt>
                <c:pt idx="29">
                  <c:v>4043.6722664019389</c:v>
                </c:pt>
                <c:pt idx="30">
                  <c:v>4036.1629824491747</c:v>
                </c:pt>
                <c:pt idx="31">
                  <c:v>4028.6224098132288</c:v>
                </c:pt>
                <c:pt idx="32">
                  <c:v>4021.0504181245406</c:v>
                </c:pt>
                <c:pt idx="33">
                  <c:v>4013.446876470588</c:v>
                </c:pt>
                <c:pt idx="34">
                  <c:v>4005.8116533930943</c:v>
                </c:pt>
                <c:pt idx="35">
                  <c:v>3998.1446168860484</c:v>
                </c:pt>
                <c:pt idx="36">
                  <c:v>3990.4456343936099</c:v>
                </c:pt>
                <c:pt idx="37">
                  <c:v>3982.7145728074311</c:v>
                </c:pt>
                <c:pt idx="38">
                  <c:v>3974.9512984645617</c:v>
                </c:pt>
                <c:pt idx="39">
                  <c:v>3967.1556771453534</c:v>
                </c:pt>
                <c:pt idx="40">
                  <c:v>3959.3275740706658</c:v>
                </c:pt>
                <c:pt idx="41">
                  <c:v>3951.4668538997712</c:v>
                </c:pt>
                <c:pt idx="42">
                  <c:v>3943.5733807281422</c:v>
                </c:pt>
                <c:pt idx="43">
                  <c:v>3935.6470180850074</c:v>
                </c:pt>
                <c:pt idx="44">
                  <c:v>3927.6876289309066</c:v>
                </c:pt>
                <c:pt idx="45">
                  <c:v>3919.695075655246</c:v>
                </c:pt>
                <c:pt idx="46">
                  <c:v>3911.6692200743191</c:v>
                </c:pt>
                <c:pt idx="47">
                  <c:v>3903.609923428513</c:v>
                </c:pt>
                <c:pt idx="48">
                  <c:v>3895.5170463799795</c:v>
                </c:pt>
                <c:pt idx="49">
                  <c:v>3887.3904490103077</c:v>
                </c:pt>
                <c:pt idx="50">
                  <c:v>3879.2299908184277</c:v>
                </c:pt>
                <c:pt idx="51">
                  <c:v>3871.0355307173513</c:v>
                </c:pt>
                <c:pt idx="52">
                  <c:v>3862.8069270324258</c:v>
                </c:pt>
                <c:pt idx="53">
                  <c:v>3854.5440374988893</c:v>
                </c:pt>
                <c:pt idx="54">
                  <c:v>3846.2467192589602</c:v>
                </c:pt>
                <c:pt idx="55">
                  <c:v>3837.9148288597416</c:v>
                </c:pt>
                <c:pt idx="56">
                  <c:v>3829.5482222505443</c:v>
                </c:pt>
                <c:pt idx="57">
                  <c:v>3821.146754780325</c:v>
                </c:pt>
                <c:pt idx="58">
                  <c:v>3812.7102811958239</c:v>
                </c:pt>
                <c:pt idx="59">
                  <c:v>3804.2386556379561</c:v>
                </c:pt>
                <c:pt idx="60">
                  <c:v>3795.7317316402978</c:v>
                </c:pt>
                <c:pt idx="61">
                  <c:v>3787.1893621259433</c:v>
                </c:pt>
                <c:pt idx="62">
                  <c:v>3778.611399405293</c:v>
                </c:pt>
                <c:pt idx="63">
                  <c:v>3769.9976951733761</c:v>
                </c:pt>
                <c:pt idx="64">
                  <c:v>3761.3481005070562</c:v>
                </c:pt>
                <c:pt idx="65">
                  <c:v>3752.6624658630526</c:v>
                </c:pt>
                <c:pt idx="66">
                  <c:v>3743.9406410745642</c:v>
                </c:pt>
                <c:pt idx="67">
                  <c:v>3735.182475349523</c:v>
                </c:pt>
                <c:pt idx="68">
                  <c:v>3726.3878172673349</c:v>
                </c:pt>
                <c:pt idx="69">
                  <c:v>3717.5565147764346</c:v>
                </c:pt>
                <c:pt idx="70">
                  <c:v>3708.6884151918412</c:v>
                </c:pt>
                <c:pt idx="71">
                  <c:v>3699.7833651923638</c:v>
                </c:pt>
                <c:pt idx="72">
                  <c:v>3690.8412108178081</c:v>
                </c:pt>
                <c:pt idx="73">
                  <c:v>3681.8617974667641</c:v>
                </c:pt>
                <c:pt idx="74">
                  <c:v>3672.8449698933464</c:v>
                </c:pt>
                <c:pt idx="75">
                  <c:v>3663.7905722050991</c:v>
                </c:pt>
                <c:pt idx="76">
                  <c:v>3654.698447859736</c:v>
                </c:pt>
                <c:pt idx="77">
                  <c:v>3645.568439663045</c:v>
                </c:pt>
                <c:pt idx="78">
                  <c:v>3636.4003897653956</c:v>
                </c:pt>
                <c:pt idx="79">
                  <c:v>3627.1941396599932</c:v>
                </c:pt>
                <c:pt idx="80">
                  <c:v>3617.9495301790366</c:v>
                </c:pt>
                <c:pt idx="81">
                  <c:v>3608.6664014919725</c:v>
                </c:pt>
                <c:pt idx="82">
                  <c:v>3599.3445931020024</c:v>
                </c:pt>
                <c:pt idx="83">
                  <c:v>3589.9839438437548</c:v>
                </c:pt>
                <c:pt idx="84">
                  <c:v>3580.5842918802582</c:v>
                </c:pt>
                <c:pt idx="85">
                  <c:v>3571.1454747002635</c:v>
                </c:pt>
                <c:pt idx="86">
                  <c:v>3561.6673291153338</c:v>
                </c:pt>
                <c:pt idx="87">
                  <c:v>3552.1496912571665</c:v>
                </c:pt>
                <c:pt idx="88">
                  <c:v>3542.5923965745669</c:v>
                </c:pt>
                <c:pt idx="89">
                  <c:v>3532.9952798307704</c:v>
                </c:pt>
                <c:pt idx="90">
                  <c:v>3523.3581751006486</c:v>
                </c:pt>
                <c:pt idx="91">
                  <c:v>3513.6809157673333</c:v>
                </c:pt>
                <c:pt idx="92">
                  <c:v>3503.9633345202374</c:v>
                </c:pt>
                <c:pt idx="93">
                  <c:v>3494.205263351213</c:v>
                </c:pt>
                <c:pt idx="94">
                  <c:v>3484.4065335523401</c:v>
                </c:pt>
                <c:pt idx="95">
                  <c:v>3474.5669757126661</c:v>
                </c:pt>
                <c:pt idx="96">
                  <c:v>3464.6864197152963</c:v>
                </c:pt>
                <c:pt idx="97">
                  <c:v>3454.7646947345993</c:v>
                </c:pt>
                <c:pt idx="98">
                  <c:v>3444.8016292331804</c:v>
                </c:pt>
                <c:pt idx="99">
                  <c:v>3434.7970509588549</c:v>
                </c:pt>
                <c:pt idx="100">
                  <c:v>3424.7507869416213</c:v>
                </c:pt>
                <c:pt idx="101">
                  <c:v>3414.6626634910999</c:v>
                </c:pt>
                <c:pt idx="102">
                  <c:v>3404.5325061928079</c:v>
                </c:pt>
                <c:pt idx="103">
                  <c:v>3394.3601399057143</c:v>
                </c:pt>
                <c:pt idx="104">
                  <c:v>3384.1453887592133</c:v>
                </c:pt>
                <c:pt idx="105">
                  <c:v>3373.8880761495157</c:v>
                </c:pt>
                <c:pt idx="106">
                  <c:v>3363.5880247373198</c:v>
                </c:pt>
                <c:pt idx="107">
                  <c:v>3353.2450564442033</c:v>
                </c:pt>
                <c:pt idx="108">
                  <c:v>3342.8589924499456</c:v>
                </c:pt>
                <c:pt idx="109">
                  <c:v>3332.4296531889186</c:v>
                </c:pt>
                <c:pt idx="110">
                  <c:v>3321.9568583477585</c:v>
                </c:pt>
                <c:pt idx="111">
                  <c:v>3311.440426861408</c:v>
                </c:pt>
                <c:pt idx="112">
                  <c:v>3300.8801769104384</c:v>
                </c:pt>
                <c:pt idx="113">
                  <c:v>3290.2759259180229</c:v>
                </c:pt>
                <c:pt idx="114">
                  <c:v>3279.6274905465607</c:v>
                </c:pt>
                <c:pt idx="115">
                  <c:v>3268.9346866943006</c:v>
                </c:pt>
                <c:pt idx="116">
                  <c:v>3258.1973294927802</c:v>
                </c:pt>
                <c:pt idx="117">
                  <c:v>3247.4152333027514</c:v>
                </c:pt>
                <c:pt idx="118">
                  <c:v>3236.5882117120846</c:v>
                </c:pt>
                <c:pt idx="119">
                  <c:v>3225.716077531345</c:v>
                </c:pt>
                <c:pt idx="120">
                  <c:v>3214.7986427915812</c:v>
                </c:pt>
                <c:pt idx="121">
                  <c:v>3203.8357187403662</c:v>
                </c:pt>
                <c:pt idx="122">
                  <c:v>3192.8271158390044</c:v>
                </c:pt>
                <c:pt idx="123">
                  <c:v>3181.7726437588053</c:v>
                </c:pt>
                <c:pt idx="124">
                  <c:v>3170.6721113782905</c:v>
                </c:pt>
                <c:pt idx="125">
                  <c:v>3159.5253267794678</c:v>
                </c:pt>
                <c:pt idx="126">
                  <c:v>3148.332097244921</c:v>
                </c:pt>
                <c:pt idx="127">
                  <c:v>3137.0922292539681</c:v>
                </c:pt>
                <c:pt idx="128">
                  <c:v>3125.8055284796346</c:v>
                </c:pt>
                <c:pt idx="129">
                  <c:v>3114.4717997855105</c:v>
                </c:pt>
                <c:pt idx="130">
                  <c:v>3103.0908472217916</c:v>
                </c:pt>
                <c:pt idx="131">
                  <c:v>3091.6624740223697</c:v>
                </c:pt>
                <c:pt idx="132">
                  <c:v>3080.1864826013398</c:v>
                </c:pt>
                <c:pt idx="133">
                  <c:v>3068.6626745492749</c:v>
                </c:pt>
                <c:pt idx="134">
                  <c:v>3057.0908506304322</c:v>
                </c:pt>
                <c:pt idx="135">
                  <c:v>3045.4708107785618</c:v>
                </c:pt>
                <c:pt idx="136">
                  <c:v>3033.8023540939967</c:v>
                </c:pt>
                <c:pt idx="137">
                  <c:v>3022.085278839927</c:v>
                </c:pt>
                <c:pt idx="138">
                  <c:v>3010.3193824389082</c:v>
                </c:pt>
                <c:pt idx="139">
                  <c:v>2998.5044614694843</c:v>
                </c:pt>
                <c:pt idx="140">
                  <c:v>2986.6403116628126</c:v>
                </c:pt>
                <c:pt idx="141">
                  <c:v>2974.7267278985883</c:v>
                </c:pt>
                <c:pt idx="142">
                  <c:v>2962.7635042020183</c:v>
                </c:pt>
                <c:pt idx="143">
                  <c:v>2950.7504337399796</c:v>
                </c:pt>
                <c:pt idx="144">
                  <c:v>2938.687308817759</c:v>
                </c:pt>
                <c:pt idx="145">
                  <c:v>2926.5739208749792</c:v>
                </c:pt>
                <c:pt idx="146">
                  <c:v>2914.4100604824553</c:v>
                </c:pt>
                <c:pt idx="147">
                  <c:v>2902.1955173383531</c:v>
                </c:pt>
                <c:pt idx="148">
                  <c:v>2889.9300802643475</c:v>
                </c:pt>
                <c:pt idx="149">
                  <c:v>2877.613537202712</c:v>
                </c:pt>
                <c:pt idx="150">
                  <c:v>2865.2456752115459</c:v>
                </c:pt>
                <c:pt idx="151">
                  <c:v>2852.8262804620963</c:v>
                </c:pt>
                <c:pt idx="152">
                  <c:v>2840.3551382344513</c:v>
                </c:pt>
                <c:pt idx="153">
                  <c:v>2827.8320329142798</c:v>
                </c:pt>
                <c:pt idx="154">
                  <c:v>2815.2567479886411</c:v>
                </c:pt>
                <c:pt idx="155">
                  <c:v>2802.6290660423756</c:v>
                </c:pt>
                <c:pt idx="156">
                  <c:v>2789.9487687547289</c:v>
                </c:pt>
                <c:pt idx="157">
                  <c:v>2777.2156368950446</c:v>
                </c:pt>
                <c:pt idx="158">
                  <c:v>2764.4294503192714</c:v>
                </c:pt>
                <c:pt idx="159">
                  <c:v>2751.589987966122</c:v>
                </c:pt>
                <c:pt idx="160">
                  <c:v>2738.6970278531144</c:v>
                </c:pt>
                <c:pt idx="161">
                  <c:v>2725.7503470730799</c:v>
                </c:pt>
                <c:pt idx="162">
                  <c:v>2712.7497217896225</c:v>
                </c:pt>
                <c:pt idx="163">
                  <c:v>2699.6949272343254</c:v>
                </c:pt>
                <c:pt idx="164">
                  <c:v>2686.5857377016282</c:v>
                </c:pt>
                <c:pt idx="165">
                  <c:v>2673.4219265459169</c:v>
                </c:pt>
                <c:pt idx="166">
                  <c:v>2660.2032661769836</c:v>
                </c:pt>
                <c:pt idx="167">
                  <c:v>2646.9295280565339</c:v>
                </c:pt>
                <c:pt idx="168">
                  <c:v>2633.6004826939961</c:v>
                </c:pt>
                <c:pt idx="169">
                  <c:v>2620.2158996423304</c:v>
                </c:pt>
                <c:pt idx="170">
                  <c:v>2606.7755474946525</c:v>
                </c:pt>
                <c:pt idx="171">
                  <c:v>2593.2791938796936</c:v>
                </c:pt>
                <c:pt idx="172">
                  <c:v>2579.726605458075</c:v>
                </c:pt>
                <c:pt idx="173">
                  <c:v>2566.117547918001</c:v>
                </c:pt>
                <c:pt idx="174">
                  <c:v>2552.4517859715334</c:v>
                </c:pt>
                <c:pt idx="175">
                  <c:v>2538.7290833501675</c:v>
                </c:pt>
                <c:pt idx="176">
                  <c:v>2524.9492028013401</c:v>
                </c:pt>
                <c:pt idx="177">
                  <c:v>2511.1119060835399</c:v>
                </c:pt>
                <c:pt idx="178">
                  <c:v>2497.2169539626984</c:v>
                </c:pt>
                <c:pt idx="179">
                  <c:v>2483.2641062079992</c:v>
                </c:pt>
                <c:pt idx="180">
                  <c:v>2469.253121587687</c:v>
                </c:pt>
                <c:pt idx="181">
                  <c:v>2455.1837578648765</c:v>
                </c:pt>
                <c:pt idx="182">
                  <c:v>2441.0557717931288</c:v>
                </c:pt>
                <c:pt idx="183">
                  <c:v>2426.868919112726</c:v>
                </c:pt>
                <c:pt idx="184">
                  <c:v>2412.6229545462475</c:v>
                </c:pt>
                <c:pt idx="185">
                  <c:v>2398.3176317940297</c:v>
                </c:pt>
                <c:pt idx="186">
                  <c:v>2383.9527035303245</c:v>
                </c:pt>
                <c:pt idx="187">
                  <c:v>2369.5279213988752</c:v>
                </c:pt>
                <c:pt idx="188">
                  <c:v>2355.0430360084929</c:v>
                </c:pt>
                <c:pt idx="189">
                  <c:v>2340.4977969290985</c:v>
                </c:pt>
                <c:pt idx="190">
                  <c:v>2325.8919526867166</c:v>
                </c:pt>
                <c:pt idx="191">
                  <c:v>2311.2252507600997</c:v>
                </c:pt>
                <c:pt idx="192">
                  <c:v>2296.4974375754891</c:v>
                </c:pt>
                <c:pt idx="193">
                  <c:v>2281.708258502541</c:v>
                </c:pt>
                <c:pt idx="194">
                  <c:v>2266.8574578501348</c:v>
                </c:pt>
                <c:pt idx="195">
                  <c:v>2251.9447788617172</c:v>
                </c:pt>
                <c:pt idx="196">
                  <c:v>2236.9699637107615</c:v>
                </c:pt>
                <c:pt idx="197">
                  <c:v>2221.9327534966933</c:v>
                </c:pt>
                <c:pt idx="198">
                  <c:v>2206.8328882401174</c:v>
                </c:pt>
                <c:pt idx="199">
                  <c:v>2191.6701068782777</c:v>
                </c:pt>
                <c:pt idx="200">
                  <c:v>2176.4441472607496</c:v>
                </c:pt>
                <c:pt idx="201">
                  <c:v>2161.1547461448417</c:v>
                </c:pt>
                <c:pt idx="202">
                  <c:v>2145.8016391909978</c:v>
                </c:pt>
                <c:pt idx="203">
                  <c:v>2130.3845609580812</c:v>
                </c:pt>
                <c:pt idx="204">
                  <c:v>2114.903244899243</c:v>
                </c:pt>
                <c:pt idx="205">
                  <c:v>2099.357423356857</c:v>
                </c:pt>
                <c:pt idx="206">
                  <c:v>2083.7468275579804</c:v>
                </c:pt>
                <c:pt idx="207">
                  <c:v>2068.0711876099876</c:v>
                </c:pt>
                <c:pt idx="208">
                  <c:v>2052.3302324955066</c:v>
                </c:pt>
                <c:pt idx="209">
                  <c:v>2036.5236900681111</c:v>
                </c:pt>
                <c:pt idx="210">
                  <c:v>2020.6512870471988</c:v>
                </c:pt>
                <c:pt idx="211">
                  <c:v>2004.7127490137418</c:v>
                </c:pt>
                <c:pt idx="212">
                  <c:v>1988.7078004051646</c:v>
                </c:pt>
                <c:pt idx="213">
                  <c:v>1972.6361645106872</c:v>
                </c:pt>
                <c:pt idx="214">
                  <c:v>1956.4975634666107</c:v>
                </c:pt>
                <c:pt idx="215">
                  <c:v>1940.2917182515439</c:v>
                </c:pt>
                <c:pt idx="216">
                  <c:v>1924.0183486814558</c:v>
                </c:pt>
                <c:pt idx="217">
                  <c:v>1907.6771734047861</c:v>
                </c:pt>
                <c:pt idx="218">
                  <c:v>1891.2679098977887</c:v>
                </c:pt>
                <c:pt idx="219">
                  <c:v>1874.7902744595258</c:v>
                </c:pt>
                <c:pt idx="220">
                  <c:v>1858.2439822069782</c:v>
                </c:pt>
                <c:pt idx="221">
                  <c:v>1841.6287470699817</c:v>
                </c:pt>
                <c:pt idx="222">
                  <c:v>1824.9442817866284</c:v>
                </c:pt>
                <c:pt idx="223">
                  <c:v>1808.1902978979115</c:v>
                </c:pt>
                <c:pt idx="224">
                  <c:v>1791.3665057429525</c:v>
                </c:pt>
                <c:pt idx="225">
                  <c:v>1774.4726144540537</c:v>
                </c:pt>
                <c:pt idx="226">
                  <c:v>1757.5083319514588</c:v>
                </c:pt>
                <c:pt idx="227">
                  <c:v>1740.4733649384061</c:v>
                </c:pt>
                <c:pt idx="228">
                  <c:v>1723.3674188961804</c:v>
                </c:pt>
                <c:pt idx="229">
                  <c:v>1706.1901980787579</c:v>
                </c:pt>
                <c:pt idx="230">
                  <c:v>1688.9414055079169</c:v>
                </c:pt>
                <c:pt idx="231">
                  <c:v>1671.6207429679989</c:v>
                </c:pt>
                <c:pt idx="232">
                  <c:v>1654.2279110009031</c:v>
                </c:pt>
                <c:pt idx="233">
                  <c:v>1636.7626089005562</c:v>
                </c:pt>
                <c:pt idx="234">
                  <c:v>1619.2245347081398</c:v>
                </c:pt>
                <c:pt idx="235">
                  <c:v>1601.6133852066187</c:v>
                </c:pt>
                <c:pt idx="236">
                  <c:v>1583.9288559154438</c:v>
                </c:pt>
                <c:pt idx="237">
                  <c:v>1566.170641085605</c:v>
                </c:pt>
                <c:pt idx="238">
                  <c:v>1548.3384336939844</c:v>
                </c:pt>
                <c:pt idx="239">
                  <c:v>1530.4319254381762</c:v>
                </c:pt>
                <c:pt idx="240">
                  <c:v>1512.4508067313645</c:v>
                </c:pt>
                <c:pt idx="241">
                  <c:v>1494.3947666965605</c:v>
                </c:pt>
                <c:pt idx="242">
                  <c:v>1476.2634931616549</c:v>
                </c:pt>
                <c:pt idx="243">
                  <c:v>1458.0566726536554</c:v>
                </c:pt>
                <c:pt idx="244">
                  <c:v>1439.7739903935644</c:v>
                </c:pt>
                <c:pt idx="245">
                  <c:v>1421.4151302906748</c:v>
                </c:pt>
                <c:pt idx="246">
                  <c:v>1402.9797749373893</c:v>
                </c:pt>
                <c:pt idx="247">
                  <c:v>1384.4676056034577</c:v>
                </c:pt>
                <c:pt idx="248">
                  <c:v>1365.8783022306225</c:v>
                </c:pt>
                <c:pt idx="249">
                  <c:v>1347.2115434270881</c:v>
                </c:pt>
                <c:pt idx="250">
                  <c:v>1328.4670064618758</c:v>
                </c:pt>
                <c:pt idx="251">
                  <c:v>1309.6443672592932</c:v>
                </c:pt>
                <c:pt idx="252">
                  <c:v>1290.7433003934048</c:v>
                </c:pt>
                <c:pt idx="253">
                  <c:v>1271.7634790822112</c:v>
                </c:pt>
                <c:pt idx="254">
                  <c:v>1252.7045751822361</c:v>
                </c:pt>
                <c:pt idx="255">
                  <c:v>1233.5662591826467</c:v>
                </c:pt>
                <c:pt idx="256">
                  <c:v>1214.3482001997245</c:v>
                </c:pt>
                <c:pt idx="257">
                  <c:v>1195.0500659710442</c:v>
                </c:pt>
                <c:pt idx="258">
                  <c:v>1175.6715228497696</c:v>
                </c:pt>
                <c:pt idx="259">
                  <c:v>1156.2122357988328</c:v>
                </c:pt>
                <c:pt idx="260">
                  <c:v>1136.6718683851714</c:v>
                </c:pt>
                <c:pt idx="261">
                  <c:v>1117.0500827739079</c:v>
                </c:pt>
                <c:pt idx="262">
                  <c:v>1097.3465397226455</c:v>
                </c:pt>
                <c:pt idx="263">
                  <c:v>1077.5608985753561</c:v>
                </c:pt>
                <c:pt idx="264">
                  <c:v>1057.6928172565595</c:v>
                </c:pt>
                <c:pt idx="265">
                  <c:v>1037.7419522656774</c:v>
                </c:pt>
                <c:pt idx="266">
                  <c:v>1017.7079586705722</c:v>
                </c:pt>
                <c:pt idx="267">
                  <c:v>997.59049010219223</c:v>
                </c:pt>
                <c:pt idx="268">
                  <c:v>977.38919874816838</c:v>
                </c:pt>
                <c:pt idx="269">
                  <c:v>957.10373534676091</c:v>
                </c:pt>
                <c:pt idx="270">
                  <c:v>936.73374918121317</c:v>
                </c:pt>
                <c:pt idx="271">
                  <c:v>916.27888807329055</c:v>
                </c:pt>
                <c:pt idx="272">
                  <c:v>895.73879837745972</c:v>
                </c:pt>
                <c:pt idx="273">
                  <c:v>875.1131249744858</c:v>
                </c:pt>
                <c:pt idx="274">
                  <c:v>854.401511265728</c:v>
                </c:pt>
                <c:pt idx="275">
                  <c:v>833.60359916650395</c:v>
                </c:pt>
                <c:pt idx="276">
                  <c:v>812.71902910021072</c:v>
                </c:pt>
                <c:pt idx="277">
                  <c:v>791.74743999198017</c:v>
                </c:pt>
                <c:pt idx="278">
                  <c:v>770.68846926245078</c:v>
                </c:pt>
                <c:pt idx="279">
                  <c:v>749.54175282153938</c:v>
                </c:pt>
                <c:pt idx="280">
                  <c:v>728.30692506209652</c:v>
                </c:pt>
                <c:pt idx="281">
                  <c:v>706.98361885367831</c:v>
                </c:pt>
                <c:pt idx="282">
                  <c:v>685.57146553608527</c:v>
                </c:pt>
                <c:pt idx="283">
                  <c:v>664.07009491301778</c:v>
                </c:pt>
                <c:pt idx="284">
                  <c:v>642.479135245615</c:v>
                </c:pt>
                <c:pt idx="285">
                  <c:v>620.79821324634304</c:v>
                </c:pt>
                <c:pt idx="286">
                  <c:v>599.02695407201008</c:v>
                </c:pt>
                <c:pt idx="287">
                  <c:v>577.16498131782919</c:v>
                </c:pt>
                <c:pt idx="288">
                  <c:v>555.21191701047701</c:v>
                </c:pt>
                <c:pt idx="289">
                  <c:v>533.1673816018656</c:v>
                </c:pt>
                <c:pt idx="290">
                  <c:v>511.03099396237576</c:v>
                </c:pt>
                <c:pt idx="291">
                  <c:v>488.80237137438144</c:v>
                </c:pt>
                <c:pt idx="292">
                  <c:v>466.48112952561405</c:v>
                </c:pt>
                <c:pt idx="293">
                  <c:v>444.06688250246862</c:v>
                </c:pt>
                <c:pt idx="294">
                  <c:v>421.55924278339717</c:v>
                </c:pt>
                <c:pt idx="295">
                  <c:v>398.95782123215668</c:v>
                </c:pt>
                <c:pt idx="296">
                  <c:v>376.26222709112972</c:v>
                </c:pt>
                <c:pt idx="297">
                  <c:v>353.47206797451418</c:v>
                </c:pt>
                <c:pt idx="298">
                  <c:v>330.58694986157116</c:v>
                </c:pt>
                <c:pt idx="299">
                  <c:v>307.60647708982924</c:v>
                </c:pt>
                <c:pt idx="300">
                  <c:v>284.53025234820143</c:v>
                </c:pt>
                <c:pt idx="301">
                  <c:v>261.35787667015302</c:v>
                </c:pt>
                <c:pt idx="302">
                  <c:v>238.08894942678216</c:v>
                </c:pt>
                <c:pt idx="303">
                  <c:v>214.72306831989317</c:v>
                </c:pt>
                <c:pt idx="304">
                  <c:v>191.25982937506251</c:v>
                </c:pt>
                <c:pt idx="305">
                  <c:v>167.69882693462478</c:v>
                </c:pt>
                <c:pt idx="306">
                  <c:v>144.0396536506878</c:v>
                </c:pt>
                <c:pt idx="307">
                  <c:v>120.28190047806402</c:v>
                </c:pt>
                <c:pt idx="308">
                  <c:v>96.425156667223746</c:v>
                </c:pt>
                <c:pt idx="309">
                  <c:v>72.469009757171989</c:v>
                </c:pt>
                <c:pt idx="310">
                  <c:v>48.413045568327107</c:v>
                </c:pt>
                <c:pt idx="311">
                  <c:v>24.256848195363091</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smooth val="0"/>
        </c:ser>
        <c:dLbls>
          <c:showLegendKey val="0"/>
          <c:showVal val="0"/>
          <c:showCatName val="0"/>
          <c:showSerName val="0"/>
          <c:showPercent val="0"/>
          <c:showBubbleSize val="0"/>
        </c:dLbls>
        <c:marker val="1"/>
        <c:smooth val="0"/>
        <c:axId val="78074240"/>
        <c:axId val="78075776"/>
      </c:lineChart>
      <c:catAx>
        <c:axId val="78074240"/>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Garamond"/>
                <a:ea typeface="Garamond"/>
                <a:cs typeface="Garamond"/>
              </a:defRPr>
            </a:pPr>
            <a:endParaRPr lang="en-US"/>
          </a:p>
        </c:txPr>
        <c:crossAx val="78075776"/>
        <c:crosses val="autoZero"/>
        <c:auto val="1"/>
        <c:lblAlgn val="ctr"/>
        <c:lblOffset val="100"/>
        <c:noMultiLvlLbl val="0"/>
      </c:catAx>
      <c:valAx>
        <c:axId val="78075776"/>
        <c:scaling>
          <c:orientation val="minMax"/>
          <c:min val="0"/>
        </c:scaling>
        <c:delete val="0"/>
        <c:axPos val="l"/>
        <c:numFmt formatCode="&quot;$&quot;#,##0_);[Red]\(&quot;$&quot;#,##0\)" sourceLinked="1"/>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en-US"/>
          </a:p>
        </c:txPr>
        <c:crossAx val="78074240"/>
        <c:crosses val="autoZero"/>
        <c:crossBetween val="between"/>
      </c:valAx>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1" i="0" u="none" strike="noStrike" baseline="0">
                <a:solidFill>
                  <a:srgbClr val="000000"/>
                </a:solidFill>
                <a:latin typeface="Garamond"/>
                <a:ea typeface="Garamond"/>
                <a:cs typeface="Garamond"/>
              </a:defRPr>
            </a:pPr>
            <a:r>
              <a:rPr lang="en-US"/>
              <a:t>Principal Payment</a:t>
            </a:r>
          </a:p>
        </c:rich>
      </c:tx>
      <c:layout>
        <c:manualLayout>
          <c:xMode val="edge"/>
          <c:yMode val="edge"/>
          <c:x val="0.29555898377935003"/>
          <c:y val="3.6207349081364901E-2"/>
        </c:manualLayout>
      </c:layout>
      <c:overlay val="0"/>
    </c:title>
    <c:autoTitleDeleted val="0"/>
    <c:plotArea>
      <c:layout>
        <c:manualLayout>
          <c:layoutTarget val="inner"/>
          <c:xMode val="edge"/>
          <c:yMode val="edge"/>
          <c:x val="0.106082036775106"/>
          <c:y val="8.0508474576271305E-2"/>
          <c:w val="0.88118811881188097"/>
          <c:h val="0.82838983050847603"/>
        </c:manualLayout>
      </c:layout>
      <c:lineChart>
        <c:grouping val="stacked"/>
        <c:varyColors val="0"/>
        <c:ser>
          <c:idx val="0"/>
          <c:order val="0"/>
          <c:tx>
            <c:v>Principal</c:v>
          </c:tx>
          <c:marker>
            <c:symbol val="none"/>
          </c:marker>
          <c:val>
            <c:numRef>
              <c:f>'Mortgage Payment'!$G$12:$G$360</c:f>
              <c:numCache>
                <c:formatCode>"$"#,##0_);[Red]\("$"#,##0\)</c:formatCode>
                <c:ptCount val="349"/>
                <c:pt idx="0">
                  <c:v>1443.0140148550852</c:v>
                </c:pt>
                <c:pt idx="1">
                  <c:v>1450.2290849293606</c:v>
                </c:pt>
                <c:pt idx="2">
                  <c:v>1457.4802303540075</c:v>
                </c:pt>
                <c:pt idx="3">
                  <c:v>1464.7676315057772</c:v>
                </c:pt>
                <c:pt idx="4">
                  <c:v>1472.0914696633065</c:v>
                </c:pt>
                <c:pt idx="5">
                  <c:v>1479.4519270116227</c:v>
                </c:pt>
                <c:pt idx="6">
                  <c:v>1486.8491866466811</c:v>
                </c:pt>
                <c:pt idx="7">
                  <c:v>1494.2834325799145</c:v>
                </c:pt>
                <c:pt idx="8">
                  <c:v>1501.7548497428143</c:v>
                </c:pt>
                <c:pt idx="9">
                  <c:v>1509.263623991528</c:v>
                </c:pt>
                <c:pt idx="10">
                  <c:v>1516.8099421114855</c:v>
                </c:pt>
                <c:pt idx="11">
                  <c:v>1524.3939918220431</c:v>
                </c:pt>
                <c:pt idx="12">
                  <c:v>1532.0159617811532</c:v>
                </c:pt>
                <c:pt idx="13">
                  <c:v>1539.6760415900592</c:v>
                </c:pt>
                <c:pt idx="14">
                  <c:v>1547.3744217980095</c:v>
                </c:pt>
                <c:pt idx="15">
                  <c:v>1555.1112939069997</c:v>
                </c:pt>
                <c:pt idx="16">
                  <c:v>1562.8868503765343</c:v>
                </c:pt>
                <c:pt idx="17">
                  <c:v>1570.7012846284174</c:v>
                </c:pt>
                <c:pt idx="18">
                  <c:v>1578.5547910515593</c:v>
                </c:pt>
                <c:pt idx="19">
                  <c:v>1586.4475650068173</c:v>
                </c:pt>
                <c:pt idx="20">
                  <c:v>1594.3798028318511</c:v>
                </c:pt>
                <c:pt idx="21">
                  <c:v>1602.3517018460102</c:v>
                </c:pt>
                <c:pt idx="22">
                  <c:v>1610.3634603552405</c:v>
                </c:pt>
                <c:pt idx="23">
                  <c:v>1618.4152776570168</c:v>
                </c:pt>
                <c:pt idx="24">
                  <c:v>1626.5073540453016</c:v>
                </c:pt>
                <c:pt idx="25">
                  <c:v>1634.6398908155281</c:v>
                </c:pt>
                <c:pt idx="26">
                  <c:v>1642.8130902696057</c:v>
                </c:pt>
                <c:pt idx="27">
                  <c:v>1651.0271557209539</c:v>
                </c:pt>
                <c:pt idx="28">
                  <c:v>1659.2822914995588</c:v>
                </c:pt>
                <c:pt idx="29">
                  <c:v>1667.5787029570565</c:v>
                </c:pt>
                <c:pt idx="30">
                  <c:v>1675.916596471842</c:v>
                </c:pt>
                <c:pt idx="31">
                  <c:v>1684.2961794542009</c:v>
                </c:pt>
                <c:pt idx="32">
                  <c:v>1692.7176603514722</c:v>
                </c:pt>
                <c:pt idx="33">
                  <c:v>1701.1812486532292</c:v>
                </c:pt>
                <c:pt idx="34">
                  <c:v>1709.687154896495</c:v>
                </c:pt>
                <c:pt idx="35">
                  <c:v>1718.2355906709781</c:v>
                </c:pt>
                <c:pt idx="36">
                  <c:v>1726.8267686243325</c:v>
                </c:pt>
                <c:pt idx="37">
                  <c:v>1735.4609024674548</c:v>
                </c:pt>
                <c:pt idx="38">
                  <c:v>1744.1382069797917</c:v>
                </c:pt>
                <c:pt idx="39">
                  <c:v>1752.858898014691</c:v>
                </c:pt>
                <c:pt idx="40">
                  <c:v>1761.6231925047641</c:v>
                </c:pt>
                <c:pt idx="41">
                  <c:v>1770.4313084672881</c:v>
                </c:pt>
                <c:pt idx="42">
                  <c:v>1779.2834650096245</c:v>
                </c:pt>
                <c:pt idx="43">
                  <c:v>1788.1798823346728</c:v>
                </c:pt>
                <c:pt idx="44">
                  <c:v>1797.120781746346</c:v>
                </c:pt>
                <c:pt idx="45">
                  <c:v>1806.1063856550777</c:v>
                </c:pt>
                <c:pt idx="46">
                  <c:v>1815.1369175833531</c:v>
                </c:pt>
                <c:pt idx="47">
                  <c:v>1824.2126021712695</c:v>
                </c:pt>
                <c:pt idx="48">
                  <c:v>1833.3336651821264</c:v>
                </c:pt>
                <c:pt idx="49">
                  <c:v>1842.5003335080369</c:v>
                </c:pt>
                <c:pt idx="50">
                  <c:v>1851.7128351755773</c:v>
                </c:pt>
                <c:pt idx="51">
                  <c:v>1860.9713993514547</c:v>
                </c:pt>
                <c:pt idx="52">
                  <c:v>1870.2762563482122</c:v>
                </c:pt>
                <c:pt idx="53">
                  <c:v>1879.6276376299534</c:v>
                </c:pt>
                <c:pt idx="54">
                  <c:v>1889.0257758181033</c:v>
                </c:pt>
                <c:pt idx="55">
                  <c:v>1898.4709046971934</c:v>
                </c:pt>
                <c:pt idx="56">
                  <c:v>1907.9632592206792</c:v>
                </c:pt>
                <c:pt idx="57">
                  <c:v>1917.5030755167829</c:v>
                </c:pt>
                <c:pt idx="58">
                  <c:v>1927.0905908943666</c:v>
                </c:pt>
                <c:pt idx="59">
                  <c:v>1936.7260438488386</c:v>
                </c:pt>
                <c:pt idx="60">
                  <c:v>1946.4096740680829</c:v>
                </c:pt>
                <c:pt idx="61">
                  <c:v>1956.1417224384236</c:v>
                </c:pt>
                <c:pt idx="62">
                  <c:v>1965.9224310506156</c:v>
                </c:pt>
                <c:pt idx="63">
                  <c:v>1975.7520432058686</c:v>
                </c:pt>
                <c:pt idx="64">
                  <c:v>1985.630803421898</c:v>
                </c:pt>
                <c:pt idx="65">
                  <c:v>1995.5589574390076</c:v>
                </c:pt>
                <c:pt idx="66">
                  <c:v>2005.5367522262022</c:v>
                </c:pt>
                <c:pt idx="67">
                  <c:v>2015.5644359873338</c:v>
                </c:pt>
                <c:pt idx="68">
                  <c:v>2025.64225816727</c:v>
                </c:pt>
                <c:pt idx="69">
                  <c:v>2035.7704694581064</c:v>
                </c:pt>
                <c:pt idx="70">
                  <c:v>2045.9493218053967</c:v>
                </c:pt>
                <c:pt idx="71">
                  <c:v>2056.1790684144239</c:v>
                </c:pt>
                <c:pt idx="72">
                  <c:v>2066.4599637564961</c:v>
                </c:pt>
                <c:pt idx="73">
                  <c:v>2076.7922635752784</c:v>
                </c:pt>
                <c:pt idx="74">
                  <c:v>2087.176224893155</c:v>
                </c:pt>
                <c:pt idx="75">
                  <c:v>2097.6121060176206</c:v>
                </c:pt>
                <c:pt idx="76">
                  <c:v>2108.1001665477093</c:v>
                </c:pt>
                <c:pt idx="77">
                  <c:v>2118.6406673804477</c:v>
                </c:pt>
                <c:pt idx="78">
                  <c:v>2129.2338707173499</c:v>
                </c:pt>
                <c:pt idx="79">
                  <c:v>2139.8800400709365</c:v>
                </c:pt>
                <c:pt idx="80">
                  <c:v>2150.5794402712909</c:v>
                </c:pt>
                <c:pt idx="81">
                  <c:v>2161.3323374726474</c:v>
                </c:pt>
                <c:pt idx="82">
                  <c:v>2172.1389991600108</c:v>
                </c:pt>
                <c:pt idx="83">
                  <c:v>2182.9996941558111</c:v>
                </c:pt>
                <c:pt idx="84">
                  <c:v>2193.9146926265898</c:v>
                </c:pt>
                <c:pt idx="85">
                  <c:v>2204.884266089723</c:v>
                </c:pt>
                <c:pt idx="86">
                  <c:v>2215.9086874201712</c:v>
                </c:pt>
                <c:pt idx="87">
                  <c:v>2226.9882308572728</c:v>
                </c:pt>
                <c:pt idx="88">
                  <c:v>2238.1231720115584</c:v>
                </c:pt>
                <c:pt idx="89">
                  <c:v>2249.3137878716166</c:v>
                </c:pt>
                <c:pt idx="90">
                  <c:v>2260.5603568109741</c:v>
                </c:pt>
                <c:pt idx="91">
                  <c:v>2271.8631585950293</c:v>
                </c:pt>
                <c:pt idx="92">
                  <c:v>2283.2224743880047</c:v>
                </c:pt>
                <c:pt idx="93">
                  <c:v>2294.6385867599442</c:v>
                </c:pt>
                <c:pt idx="94">
                  <c:v>2306.1117796937442</c:v>
                </c:pt>
                <c:pt idx="95">
                  <c:v>2317.642338592213</c:v>
                </c:pt>
                <c:pt idx="96">
                  <c:v>2329.2305502851741</c:v>
                </c:pt>
                <c:pt idx="97">
                  <c:v>2340.8767030365993</c:v>
                </c:pt>
                <c:pt idx="98">
                  <c:v>2352.5810865517833</c:v>
                </c:pt>
                <c:pt idx="99">
                  <c:v>2364.3439919845418</c:v>
                </c:pt>
                <c:pt idx="100">
                  <c:v>2376.1657119444649</c:v>
                </c:pt>
                <c:pt idx="101">
                  <c:v>2388.0465405041869</c:v>
                </c:pt>
                <c:pt idx="102">
                  <c:v>2399.9867732067078</c:v>
                </c:pt>
                <c:pt idx="103">
                  <c:v>2411.986707072741</c:v>
                </c:pt>
                <c:pt idx="104">
                  <c:v>2424.0466406081055</c:v>
                </c:pt>
                <c:pt idx="105">
                  <c:v>2436.1668738111457</c:v>
                </c:pt>
                <c:pt idx="106">
                  <c:v>2448.3477081802012</c:v>
                </c:pt>
                <c:pt idx="107">
                  <c:v>2460.5894467211024</c:v>
                </c:pt>
                <c:pt idx="108">
                  <c:v>2472.892393954708</c:v>
                </c:pt>
                <c:pt idx="109">
                  <c:v>2485.256855924481</c:v>
                </c:pt>
                <c:pt idx="110">
                  <c:v>2497.6831402041034</c:v>
                </c:pt>
                <c:pt idx="111">
                  <c:v>2510.171555905124</c:v>
                </c:pt>
                <c:pt idx="112">
                  <c:v>2522.7224136846498</c:v>
                </c:pt>
                <c:pt idx="113">
                  <c:v>2535.3360257530735</c:v>
                </c:pt>
                <c:pt idx="114">
                  <c:v>2548.0127058818384</c:v>
                </c:pt>
                <c:pt idx="115">
                  <c:v>2560.7527694112478</c:v>
                </c:pt>
                <c:pt idx="116">
                  <c:v>2573.5565332583042</c:v>
                </c:pt>
                <c:pt idx="117">
                  <c:v>2586.4243159245957</c:v>
                </c:pt>
                <c:pt idx="118">
                  <c:v>2599.3564375042188</c:v>
                </c:pt>
                <c:pt idx="119">
                  <c:v>2612.3532196917399</c:v>
                </c:pt>
                <c:pt idx="120">
                  <c:v>2625.414985790198</c:v>
                </c:pt>
                <c:pt idx="121">
                  <c:v>2638.5420607191495</c:v>
                </c:pt>
                <c:pt idx="122">
                  <c:v>2651.734771022745</c:v>
                </c:pt>
                <c:pt idx="123">
                  <c:v>2664.993444877859</c:v>
                </c:pt>
                <c:pt idx="124">
                  <c:v>2678.3184121022477</c:v>
                </c:pt>
                <c:pt idx="125">
                  <c:v>2691.7100041627596</c:v>
                </c:pt>
                <c:pt idx="126">
                  <c:v>2705.1685541835732</c:v>
                </c:pt>
                <c:pt idx="127">
                  <c:v>2718.6943969544909</c:v>
                </c:pt>
                <c:pt idx="128">
                  <c:v>2732.2878689392637</c:v>
                </c:pt>
                <c:pt idx="129">
                  <c:v>2745.9493082839599</c:v>
                </c:pt>
                <c:pt idx="130">
                  <c:v>2759.6790548253798</c:v>
                </c:pt>
                <c:pt idx="131">
                  <c:v>2773.4774500995068</c:v>
                </c:pt>
                <c:pt idx="132">
                  <c:v>2787.3448373500037</c:v>
                </c:pt>
                <c:pt idx="133">
                  <c:v>2801.281561536754</c:v>
                </c:pt>
                <c:pt idx="134">
                  <c:v>2815.2879693444374</c:v>
                </c:pt>
                <c:pt idx="135">
                  <c:v>2829.3644091911601</c:v>
                </c:pt>
                <c:pt idx="136">
                  <c:v>2843.5112312371161</c:v>
                </c:pt>
                <c:pt idx="137">
                  <c:v>2857.728787393301</c:v>
                </c:pt>
                <c:pt idx="138">
                  <c:v>2872.0174313302678</c:v>
                </c:pt>
                <c:pt idx="139">
                  <c:v>2886.3775184869191</c:v>
                </c:pt>
                <c:pt idx="140">
                  <c:v>2900.8094060793537</c:v>
                </c:pt>
                <c:pt idx="141">
                  <c:v>2915.3134531097512</c:v>
                </c:pt>
                <c:pt idx="142">
                  <c:v>2929.8900203752996</c:v>
                </c:pt>
                <c:pt idx="143">
                  <c:v>2944.5394704771757</c:v>
                </c:pt>
                <c:pt idx="144">
                  <c:v>2959.2621678295613</c:v>
                </c:pt>
                <c:pt idx="145">
                  <c:v>2974.0584786687095</c:v>
                </c:pt>
                <c:pt idx="146">
                  <c:v>2988.9287710620533</c:v>
                </c:pt>
                <c:pt idx="147">
                  <c:v>3003.8734149173638</c:v>
                </c:pt>
                <c:pt idx="148">
                  <c:v>3018.8927819919504</c:v>
                </c:pt>
                <c:pt idx="149">
                  <c:v>3033.9872459019102</c:v>
                </c:pt>
                <c:pt idx="150">
                  <c:v>3049.1571821314196</c:v>
                </c:pt>
                <c:pt idx="151">
                  <c:v>3064.4029680420767</c:v>
                </c:pt>
                <c:pt idx="152">
                  <c:v>3079.7249828822869</c:v>
                </c:pt>
                <c:pt idx="153">
                  <c:v>3095.1236077966983</c:v>
                </c:pt>
                <c:pt idx="154">
                  <c:v>3110.5992258356819</c:v>
                </c:pt>
                <c:pt idx="155">
                  <c:v>3126.1522219648605</c:v>
                </c:pt>
                <c:pt idx="156">
                  <c:v>3141.782983074685</c:v>
                </c:pt>
                <c:pt idx="157">
                  <c:v>3157.4918979900581</c:v>
                </c:pt>
                <c:pt idx="158">
                  <c:v>3173.2793574800089</c:v>
                </c:pt>
                <c:pt idx="159">
                  <c:v>3189.1457542674088</c:v>
                </c:pt>
                <c:pt idx="160">
                  <c:v>3205.0914830387455</c:v>
                </c:pt>
                <c:pt idx="161">
                  <c:v>3221.1169404539392</c:v>
                </c:pt>
                <c:pt idx="162">
                  <c:v>3237.222525156209</c:v>
                </c:pt>
                <c:pt idx="163">
                  <c:v>3253.4086377819904</c:v>
                </c:pt>
                <c:pt idx="164">
                  <c:v>3269.6756809709</c:v>
                </c:pt>
                <c:pt idx="165">
                  <c:v>3286.0240593757544</c:v>
                </c:pt>
                <c:pt idx="166">
                  <c:v>3302.4541796726339</c:v>
                </c:pt>
                <c:pt idx="167">
                  <c:v>3318.9664505709966</c:v>
                </c:pt>
                <c:pt idx="168">
                  <c:v>3335.5612828238509</c:v>
                </c:pt>
                <c:pt idx="169">
                  <c:v>3352.2390892379703</c:v>
                </c:pt>
                <c:pt idx="170">
                  <c:v>3369.0002846841608</c:v>
                </c:pt>
                <c:pt idx="171">
                  <c:v>3385.8452861075807</c:v>
                </c:pt>
                <c:pt idx="172">
                  <c:v>3402.7745125381193</c:v>
                </c:pt>
                <c:pt idx="173">
                  <c:v>3419.7883851008096</c:v>
                </c:pt>
                <c:pt idx="174">
                  <c:v>3436.8873270263139</c:v>
                </c:pt>
                <c:pt idx="175">
                  <c:v>3454.0717636614459</c:v>
                </c:pt>
                <c:pt idx="176">
                  <c:v>3471.342122479753</c:v>
                </c:pt>
                <c:pt idx="177">
                  <c:v>3488.6988330921513</c:v>
                </c:pt>
                <c:pt idx="178">
                  <c:v>3506.1423272576121</c:v>
                </c:pt>
                <c:pt idx="179">
                  <c:v>3523.6730388938995</c:v>
                </c:pt>
                <c:pt idx="180">
                  <c:v>3541.2914040883697</c:v>
                </c:pt>
                <c:pt idx="181">
                  <c:v>3558.9978611088118</c:v>
                </c:pt>
                <c:pt idx="182">
                  <c:v>3576.7928504143556</c:v>
                </c:pt>
                <c:pt idx="183">
                  <c:v>3594.6768146664272</c:v>
                </c:pt>
                <c:pt idx="184">
                  <c:v>3612.6501987397596</c:v>
                </c:pt>
                <c:pt idx="185">
                  <c:v>3630.7134497334582</c:v>
                </c:pt>
                <c:pt idx="186">
                  <c:v>3648.8670169821253</c:v>
                </c:pt>
                <c:pt idx="187">
                  <c:v>3667.1113520670369</c:v>
                </c:pt>
                <c:pt idx="188">
                  <c:v>3685.4469088273718</c:v>
                </c:pt>
                <c:pt idx="189">
                  <c:v>3703.8741433715086</c:v>
                </c:pt>
                <c:pt idx="190">
                  <c:v>3722.3935140883655</c:v>
                </c:pt>
                <c:pt idx="191">
                  <c:v>3741.0054816588072</c:v>
                </c:pt>
                <c:pt idx="192">
                  <c:v>3759.7105090671016</c:v>
                </c:pt>
                <c:pt idx="193">
                  <c:v>3778.5090616124367</c:v>
                </c:pt>
                <c:pt idx="194">
                  <c:v>3797.4016069204995</c:v>
                </c:pt>
                <c:pt idx="195">
                  <c:v>3816.3886149551017</c:v>
                </c:pt>
                <c:pt idx="196">
                  <c:v>3835.4705580298773</c:v>
                </c:pt>
                <c:pt idx="197">
                  <c:v>3854.6479108200269</c:v>
                </c:pt>
                <c:pt idx="198">
                  <c:v>3873.9211503741276</c:v>
                </c:pt>
                <c:pt idx="199">
                  <c:v>3893.2907561259981</c:v>
                </c:pt>
                <c:pt idx="200">
                  <c:v>3912.7572099066274</c:v>
                </c:pt>
                <c:pt idx="201">
                  <c:v>3932.3209959561609</c:v>
                </c:pt>
                <c:pt idx="202">
                  <c:v>3951.9826009359422</c:v>
                </c:pt>
                <c:pt idx="203">
                  <c:v>3971.7425139406214</c:v>
                </c:pt>
                <c:pt idx="204">
                  <c:v>3991.6012265103245</c:v>
                </c:pt>
                <c:pt idx="205">
                  <c:v>4011.5592326428759</c:v>
                </c:pt>
                <c:pt idx="206">
                  <c:v>4031.6170288060903</c:v>
                </c:pt>
                <c:pt idx="207">
                  <c:v>4051.7751139501211</c:v>
                </c:pt>
                <c:pt idx="208">
                  <c:v>4072.0339895198717</c:v>
                </c:pt>
                <c:pt idx="209">
                  <c:v>4092.3941594674711</c:v>
                </c:pt>
                <c:pt idx="210">
                  <c:v>4112.8561302648077</c:v>
                </c:pt>
                <c:pt idx="211">
                  <c:v>4133.4204109161319</c:v>
                </c:pt>
                <c:pt idx="212">
                  <c:v>4154.0875129707129</c:v>
                </c:pt>
                <c:pt idx="213">
                  <c:v>4174.8579505355665</c:v>
                </c:pt>
                <c:pt idx="214">
                  <c:v>4195.7322402882446</c:v>
                </c:pt>
                <c:pt idx="215">
                  <c:v>4216.710901489686</c:v>
                </c:pt>
                <c:pt idx="216">
                  <c:v>4237.7944559971338</c:v>
                </c:pt>
                <c:pt idx="217">
                  <c:v>4258.9834282771189</c:v>
                </c:pt>
                <c:pt idx="218">
                  <c:v>4280.2783454185046</c:v>
                </c:pt>
                <c:pt idx="219">
                  <c:v>4301.6797371455978</c:v>
                </c:pt>
                <c:pt idx="220">
                  <c:v>4323.1881358313258</c:v>
                </c:pt>
                <c:pt idx="221">
                  <c:v>4344.8040765104824</c:v>
                </c:pt>
                <c:pt idx="222">
                  <c:v>4366.5280968930356</c:v>
                </c:pt>
                <c:pt idx="223">
                  <c:v>4388.3607373774994</c:v>
                </c:pt>
                <c:pt idx="224">
                  <c:v>4410.3025410643877</c:v>
                </c:pt>
                <c:pt idx="225">
                  <c:v>4432.3540537697099</c:v>
                </c:pt>
                <c:pt idx="226">
                  <c:v>4454.5158240385581</c:v>
                </c:pt>
                <c:pt idx="227">
                  <c:v>4476.788403158751</c:v>
                </c:pt>
                <c:pt idx="228">
                  <c:v>4499.1723451745447</c:v>
                </c:pt>
                <c:pt idx="229">
                  <c:v>4521.6682069004173</c:v>
                </c:pt>
                <c:pt idx="230">
                  <c:v>4544.2765479349191</c:v>
                </c:pt>
                <c:pt idx="231">
                  <c:v>4566.9979306745945</c:v>
                </c:pt>
                <c:pt idx="232">
                  <c:v>4589.8329203279673</c:v>
                </c:pt>
                <c:pt idx="233">
                  <c:v>4612.7820849296068</c:v>
                </c:pt>
                <c:pt idx="234">
                  <c:v>4635.8459953542551</c:v>
                </c:pt>
                <c:pt idx="235">
                  <c:v>4659.0252253310264</c:v>
                </c:pt>
                <c:pt idx="236">
                  <c:v>4682.3203514576808</c:v>
                </c:pt>
                <c:pt idx="237">
                  <c:v>4705.7319532149695</c:v>
                </c:pt>
                <c:pt idx="238">
                  <c:v>4729.2606129810447</c:v>
                </c:pt>
                <c:pt idx="239">
                  <c:v>4752.9069160459494</c:v>
                </c:pt>
                <c:pt idx="240">
                  <c:v>4776.6714506261796</c:v>
                </c:pt>
                <c:pt idx="241">
                  <c:v>4800.5548078793099</c:v>
                </c:pt>
                <c:pt idx="242">
                  <c:v>4824.557581918707</c:v>
                </c:pt>
                <c:pt idx="243">
                  <c:v>4848.6803698283002</c:v>
                </c:pt>
                <c:pt idx="244">
                  <c:v>4872.9237716774423</c:v>
                </c:pt>
                <c:pt idx="245">
                  <c:v>4897.2883905358294</c:v>
                </c:pt>
                <c:pt idx="246">
                  <c:v>4921.7748324885088</c:v>
                </c:pt>
                <c:pt idx="247">
                  <c:v>4946.3837066509504</c:v>
                </c:pt>
                <c:pt idx="248">
                  <c:v>4971.1156251842049</c:v>
                </c:pt>
                <c:pt idx="249">
                  <c:v>4995.9712033101268</c:v>
                </c:pt>
                <c:pt idx="250">
                  <c:v>5020.9510593266768</c:v>
                </c:pt>
                <c:pt idx="251">
                  <c:v>5046.0558146233116</c:v>
                </c:pt>
                <c:pt idx="252">
                  <c:v>5071.2860936964271</c:v>
                </c:pt>
                <c:pt idx="253">
                  <c:v>5096.6425241649094</c:v>
                </c:pt>
                <c:pt idx="254">
                  <c:v>5122.1257367857343</c:v>
                </c:pt>
                <c:pt idx="255">
                  <c:v>5147.7363654696628</c:v>
                </c:pt>
                <c:pt idx="256">
                  <c:v>5173.4750472970109</c:v>
                </c:pt>
                <c:pt idx="257">
                  <c:v>5199.3424225334957</c:v>
                </c:pt>
                <c:pt idx="258">
                  <c:v>5225.339134646164</c:v>
                </c:pt>
                <c:pt idx="259">
                  <c:v>5251.4658303193946</c:v>
                </c:pt>
                <c:pt idx="260">
                  <c:v>5277.723159470991</c:v>
                </c:pt>
                <c:pt idx="261">
                  <c:v>5304.1117752683467</c:v>
                </c:pt>
                <c:pt idx="262">
                  <c:v>5330.6323341446887</c:v>
                </c:pt>
                <c:pt idx="263">
                  <c:v>5357.2854958154121</c:v>
                </c:pt>
                <c:pt idx="264">
                  <c:v>5384.0719232944894</c:v>
                </c:pt>
                <c:pt idx="265">
                  <c:v>5410.9922829109619</c:v>
                </c:pt>
                <c:pt idx="266">
                  <c:v>5438.0472443255157</c:v>
                </c:pt>
                <c:pt idx="267">
                  <c:v>5465.2374805471427</c:v>
                </c:pt>
                <c:pt idx="268">
                  <c:v>5492.5636679498793</c:v>
                </c:pt>
                <c:pt idx="269">
                  <c:v>5520.0264862896283</c:v>
                </c:pt>
                <c:pt idx="270">
                  <c:v>5547.6266187210767</c:v>
                </c:pt>
                <c:pt idx="271">
                  <c:v>5575.3647518146818</c:v>
                </c:pt>
                <c:pt idx="272">
                  <c:v>5603.2415755737566</c:v>
                </c:pt>
                <c:pt idx="273">
                  <c:v>5631.2577834516242</c:v>
                </c:pt>
                <c:pt idx="274">
                  <c:v>5659.4140723688824</c:v>
                </c:pt>
                <c:pt idx="275">
                  <c:v>5687.7111427307273</c:v>
                </c:pt>
                <c:pt idx="276">
                  <c:v>5716.1496984443802</c:v>
                </c:pt>
                <c:pt idx="277">
                  <c:v>5744.7304469366027</c:v>
                </c:pt>
                <c:pt idx="278">
                  <c:v>5773.4540991712847</c:v>
                </c:pt>
                <c:pt idx="279">
                  <c:v>5802.3213696671419</c:v>
                </c:pt>
                <c:pt idx="280">
                  <c:v>5831.3329765154785</c:v>
                </c:pt>
                <c:pt idx="281">
                  <c:v>5860.489641398055</c:v>
                </c:pt>
                <c:pt idx="282">
                  <c:v>5889.7920896050455</c:v>
                </c:pt>
                <c:pt idx="283">
                  <c:v>5919.2410500530705</c:v>
                </c:pt>
                <c:pt idx="284">
                  <c:v>5948.837255303336</c:v>
                </c:pt>
                <c:pt idx="285">
                  <c:v>5978.5814415798523</c:v>
                </c:pt>
                <c:pt idx="286">
                  <c:v>6008.4743487877513</c:v>
                </c:pt>
                <c:pt idx="287">
                  <c:v>6038.5167205316902</c:v>
                </c:pt>
                <c:pt idx="288">
                  <c:v>6068.7093041343487</c:v>
                </c:pt>
                <c:pt idx="289">
                  <c:v>6099.0528506550208</c:v>
                </c:pt>
                <c:pt idx="290">
                  <c:v>6129.5481149082962</c:v>
                </c:pt>
                <c:pt idx="291">
                  <c:v>6160.1958554828379</c:v>
                </c:pt>
                <c:pt idx="292">
                  <c:v>6190.9968347602517</c:v>
                </c:pt>
                <c:pt idx="293">
                  <c:v>6221.9518189340524</c:v>
                </c:pt>
                <c:pt idx="294">
                  <c:v>6253.0615780287235</c:v>
                </c:pt>
                <c:pt idx="295">
                  <c:v>6284.3268859188665</c:v>
                </c:pt>
                <c:pt idx="296">
                  <c:v>6315.7485203484612</c:v>
                </c:pt>
                <c:pt idx="297">
                  <c:v>6347.3272629502035</c:v>
                </c:pt>
                <c:pt idx="298">
                  <c:v>6379.0638992649547</c:v>
                </c:pt>
                <c:pt idx="299">
                  <c:v>6410.9592187612798</c:v>
                </c:pt>
              </c:numCache>
            </c:numRef>
          </c:val>
          <c:smooth val="0"/>
        </c:ser>
        <c:dLbls>
          <c:showLegendKey val="0"/>
          <c:showVal val="0"/>
          <c:showCatName val="0"/>
          <c:showSerName val="0"/>
          <c:showPercent val="0"/>
          <c:showBubbleSize val="0"/>
        </c:dLbls>
        <c:marker val="1"/>
        <c:smooth val="0"/>
        <c:axId val="77255808"/>
        <c:axId val="77257344"/>
      </c:lineChart>
      <c:catAx>
        <c:axId val="7725580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Garamond"/>
                <a:ea typeface="Garamond"/>
                <a:cs typeface="Garamond"/>
              </a:defRPr>
            </a:pPr>
            <a:endParaRPr lang="en-US"/>
          </a:p>
        </c:txPr>
        <c:crossAx val="77257344"/>
        <c:crosses val="autoZero"/>
        <c:auto val="1"/>
        <c:lblAlgn val="ctr"/>
        <c:lblOffset val="100"/>
        <c:noMultiLvlLbl val="0"/>
      </c:catAx>
      <c:valAx>
        <c:axId val="77257344"/>
        <c:scaling>
          <c:orientation val="minMax"/>
          <c:min val="0"/>
        </c:scaling>
        <c:delete val="0"/>
        <c:axPos val="l"/>
        <c:numFmt formatCode="&quot;$&quot;#,##0_);[Red]\(&quot;$&quot;#,##0\)" sourceLinked="1"/>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en-US"/>
          </a:p>
        </c:txPr>
        <c:crossAx val="77255808"/>
        <c:crosses val="autoZero"/>
        <c:crossBetween val="between"/>
      </c:valAx>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1" i="0" u="none" strike="noStrike" baseline="0">
                <a:solidFill>
                  <a:srgbClr val="000000"/>
                </a:solidFill>
                <a:latin typeface="Garamond"/>
                <a:ea typeface="Garamond"/>
                <a:cs typeface="Garamond"/>
              </a:defRPr>
            </a:pPr>
            <a:r>
              <a:rPr lang="en-US"/>
              <a:t>Loan Ending Balance</a:t>
            </a:r>
          </a:p>
        </c:rich>
      </c:tx>
      <c:layout>
        <c:manualLayout>
          <c:xMode val="edge"/>
          <c:yMode val="edge"/>
          <c:x val="0.33434206341421402"/>
          <c:y val="3.3307697002990903E-2"/>
        </c:manualLayout>
      </c:layout>
      <c:overlay val="0"/>
    </c:title>
    <c:autoTitleDeleted val="0"/>
    <c:plotArea>
      <c:layout>
        <c:manualLayout>
          <c:layoutTarget val="inner"/>
          <c:xMode val="edge"/>
          <c:yMode val="edge"/>
          <c:x val="0.14992927864215"/>
          <c:y val="8.0338266384778007E-2"/>
          <c:w val="0.83875530410183896"/>
          <c:h val="0.82875264270613103"/>
        </c:manualLayout>
      </c:layout>
      <c:lineChart>
        <c:grouping val="stacked"/>
        <c:varyColors val="0"/>
        <c:ser>
          <c:idx val="0"/>
          <c:order val="0"/>
          <c:marker>
            <c:symbol val="none"/>
          </c:marker>
          <c:val>
            <c:numRef>
              <c:f>'Mortgage Payment'!$M$12:$M$360</c:f>
              <c:numCache>
                <c:formatCode>"$"#,##0_);[Red]\("$"#,##0\)</c:formatCode>
                <c:ptCount val="349"/>
                <c:pt idx="0">
                  <c:v>998556.98598514497</c:v>
                </c:pt>
                <c:pt idx="1">
                  <c:v>997106.75690021564</c:v>
                </c:pt>
                <c:pt idx="2">
                  <c:v>995649.27666986163</c:v>
                </c:pt>
                <c:pt idx="3">
                  <c:v>994184.5090383559</c:v>
                </c:pt>
                <c:pt idx="4">
                  <c:v>992712.41756869259</c:v>
                </c:pt>
                <c:pt idx="5">
                  <c:v>991232.96564168099</c:v>
                </c:pt>
                <c:pt idx="6">
                  <c:v>989746.11645503435</c:v>
                </c:pt>
                <c:pt idx="7">
                  <c:v>988251.8330224544</c:v>
                </c:pt>
                <c:pt idx="8">
                  <c:v>986750.07817271154</c:v>
                </c:pt>
                <c:pt idx="9">
                  <c:v>985240.81454872002</c:v>
                </c:pt>
                <c:pt idx="10">
                  <c:v>983724.00460660853</c:v>
                </c:pt>
                <c:pt idx="11">
                  <c:v>982199.61061478651</c:v>
                </c:pt>
                <c:pt idx="12">
                  <c:v>980667.59465300536</c:v>
                </c:pt>
                <c:pt idx="13">
                  <c:v>979127.91861141531</c:v>
                </c:pt>
                <c:pt idx="14">
                  <c:v>977580.54418961727</c:v>
                </c:pt>
                <c:pt idx="15">
                  <c:v>976025.43289571023</c:v>
                </c:pt>
                <c:pt idx="16">
                  <c:v>974462.54604533373</c:v>
                </c:pt>
                <c:pt idx="17">
                  <c:v>972891.84476070537</c:v>
                </c:pt>
                <c:pt idx="18">
                  <c:v>971313.28996965382</c:v>
                </c:pt>
                <c:pt idx="19">
                  <c:v>969726.84240464703</c:v>
                </c:pt>
                <c:pt idx="20">
                  <c:v>968132.46260181523</c:v>
                </c:pt>
                <c:pt idx="21">
                  <c:v>966530.11089996924</c:v>
                </c:pt>
                <c:pt idx="22">
                  <c:v>964919.74743961403</c:v>
                </c:pt>
                <c:pt idx="23">
                  <c:v>963301.33216195705</c:v>
                </c:pt>
                <c:pt idx="24">
                  <c:v>961674.82480791176</c:v>
                </c:pt>
                <c:pt idx="25">
                  <c:v>960040.18491709628</c:v>
                </c:pt>
                <c:pt idx="26">
                  <c:v>958397.37182682671</c:v>
                </c:pt>
                <c:pt idx="27">
                  <c:v>956746.34467110573</c:v>
                </c:pt>
                <c:pt idx="28">
                  <c:v>955087.06237960618</c:v>
                </c:pt>
                <c:pt idx="29">
                  <c:v>953419.48367664916</c:v>
                </c:pt>
                <c:pt idx="30">
                  <c:v>951743.56708017737</c:v>
                </c:pt>
                <c:pt idx="31">
                  <c:v>950059.27090072318</c:v>
                </c:pt>
                <c:pt idx="32">
                  <c:v>948366.55324037175</c:v>
                </c:pt>
                <c:pt idx="33">
                  <c:v>946665.37199171854</c:v>
                </c:pt>
                <c:pt idx="34">
                  <c:v>944955.6848368221</c:v>
                </c:pt>
                <c:pt idx="35">
                  <c:v>943237.44924615114</c:v>
                </c:pt>
                <c:pt idx="36">
                  <c:v>941510.62247752678</c:v>
                </c:pt>
                <c:pt idx="37">
                  <c:v>939775.16157505929</c:v>
                </c:pt>
                <c:pt idx="38">
                  <c:v>938031.02336807945</c:v>
                </c:pt>
                <c:pt idx="39">
                  <c:v>936278.1644700648</c:v>
                </c:pt>
                <c:pt idx="40">
                  <c:v>934516.54127756006</c:v>
                </c:pt>
                <c:pt idx="41">
                  <c:v>932746.10996909277</c:v>
                </c:pt>
                <c:pt idx="42">
                  <c:v>930966.82650408312</c:v>
                </c:pt>
                <c:pt idx="43">
                  <c:v>929178.64662174846</c:v>
                </c:pt>
                <c:pt idx="44">
                  <c:v>927381.52584000211</c:v>
                </c:pt>
                <c:pt idx="45">
                  <c:v>925575.41945434699</c:v>
                </c:pt>
                <c:pt idx="46">
                  <c:v>923760.2825367637</c:v>
                </c:pt>
                <c:pt idx="47">
                  <c:v>921936.06993459247</c:v>
                </c:pt>
                <c:pt idx="48">
                  <c:v>920102.73626941035</c:v>
                </c:pt>
                <c:pt idx="49">
                  <c:v>918260.23593590234</c:v>
                </c:pt>
                <c:pt idx="50">
                  <c:v>916408.52310072677</c:v>
                </c:pt>
                <c:pt idx="51">
                  <c:v>914547.55170137528</c:v>
                </c:pt>
                <c:pt idx="52">
                  <c:v>912677.27544502704</c:v>
                </c:pt>
                <c:pt idx="53">
                  <c:v>910797.64780739706</c:v>
                </c:pt>
                <c:pt idx="54">
                  <c:v>908908.62203157891</c:v>
                </c:pt>
                <c:pt idx="55">
                  <c:v>907010.15112688171</c:v>
                </c:pt>
                <c:pt idx="56">
                  <c:v>905102.18786766101</c:v>
                </c:pt>
                <c:pt idx="57">
                  <c:v>903184.68479214422</c:v>
                </c:pt>
                <c:pt idx="58">
                  <c:v>901257.59420124989</c:v>
                </c:pt>
                <c:pt idx="59">
                  <c:v>899320.8681574011</c:v>
                </c:pt>
                <c:pt idx="60">
                  <c:v>897374.458483333</c:v>
                </c:pt>
                <c:pt idx="61">
                  <c:v>895418.31676089461</c:v>
                </c:pt>
                <c:pt idx="62">
                  <c:v>893452.39432984404</c:v>
                </c:pt>
                <c:pt idx="63">
                  <c:v>891476.64228663815</c:v>
                </c:pt>
                <c:pt idx="64">
                  <c:v>889491.01148321619</c:v>
                </c:pt>
                <c:pt idx="65">
                  <c:v>887495.45252577716</c:v>
                </c:pt>
                <c:pt idx="66">
                  <c:v>885489.91577355098</c:v>
                </c:pt>
                <c:pt idx="67">
                  <c:v>883474.3513375636</c:v>
                </c:pt>
                <c:pt idx="68">
                  <c:v>881448.70907939633</c:v>
                </c:pt>
                <c:pt idx="69">
                  <c:v>879412.93860993825</c:v>
                </c:pt>
                <c:pt idx="70">
                  <c:v>877366.98928813287</c:v>
                </c:pt>
                <c:pt idx="71">
                  <c:v>875310.81021971849</c:v>
                </c:pt>
                <c:pt idx="72">
                  <c:v>873244.350255962</c:v>
                </c:pt>
                <c:pt idx="73">
                  <c:v>871167.55799238675</c:v>
                </c:pt>
                <c:pt idx="74">
                  <c:v>869080.38176749356</c:v>
                </c:pt>
                <c:pt idx="75">
                  <c:v>866982.7696614759</c:v>
                </c:pt>
                <c:pt idx="76">
                  <c:v>864874.66949492821</c:v>
                </c:pt>
                <c:pt idx="77">
                  <c:v>862756.02882754779</c:v>
                </c:pt>
                <c:pt idx="78">
                  <c:v>860626.79495683045</c:v>
                </c:pt>
                <c:pt idx="79">
                  <c:v>858486.91491675947</c:v>
                </c:pt>
                <c:pt idx="80">
                  <c:v>856336.33547648822</c:v>
                </c:pt>
                <c:pt idx="81">
                  <c:v>854175.00313901552</c:v>
                </c:pt>
                <c:pt idx="82">
                  <c:v>852002.86413985549</c:v>
                </c:pt>
                <c:pt idx="83">
                  <c:v>849819.86444569973</c:v>
                </c:pt>
                <c:pt idx="84">
                  <c:v>847625.94975307316</c:v>
                </c:pt>
                <c:pt idx="85">
                  <c:v>845421.0654869834</c:v>
                </c:pt>
                <c:pt idx="86">
                  <c:v>843205.15679956321</c:v>
                </c:pt>
                <c:pt idx="87">
                  <c:v>840978.16856870591</c:v>
                </c:pt>
                <c:pt idx="88">
                  <c:v>838740.04539669433</c:v>
                </c:pt>
                <c:pt idx="89">
                  <c:v>836490.73160882271</c:v>
                </c:pt>
                <c:pt idx="90">
                  <c:v>834230.17125201179</c:v>
                </c:pt>
                <c:pt idx="91">
                  <c:v>831958.30809341674</c:v>
                </c:pt>
                <c:pt idx="92">
                  <c:v>829675.08561902877</c:v>
                </c:pt>
                <c:pt idx="93">
                  <c:v>827380.44703226886</c:v>
                </c:pt>
                <c:pt idx="94">
                  <c:v>825074.33525257511</c:v>
                </c:pt>
                <c:pt idx="95">
                  <c:v>822756.6929139829</c:v>
                </c:pt>
                <c:pt idx="96">
                  <c:v>820427.4623636977</c:v>
                </c:pt>
                <c:pt idx="97">
                  <c:v>818086.58566066111</c:v>
                </c:pt>
                <c:pt idx="98">
                  <c:v>815734.00457410933</c:v>
                </c:pt>
                <c:pt idx="99">
                  <c:v>813369.66058212484</c:v>
                </c:pt>
                <c:pt idx="100">
                  <c:v>810993.49487018038</c:v>
                </c:pt>
                <c:pt idx="101">
                  <c:v>808605.44832967618</c:v>
                </c:pt>
                <c:pt idx="102">
                  <c:v>806205.46155646944</c:v>
                </c:pt>
                <c:pt idx="103">
                  <c:v>803793.47484939673</c:v>
                </c:pt>
                <c:pt idx="104">
                  <c:v>801369.42820878862</c:v>
                </c:pt>
                <c:pt idx="105">
                  <c:v>798933.26133497746</c:v>
                </c:pt>
                <c:pt idx="106">
                  <c:v>796484.91362679726</c:v>
                </c:pt>
                <c:pt idx="107">
                  <c:v>794024.32418007613</c:v>
                </c:pt>
                <c:pt idx="108">
                  <c:v>791551.43178612145</c:v>
                </c:pt>
                <c:pt idx="109">
                  <c:v>789066.17493019695</c:v>
                </c:pt>
                <c:pt idx="110">
                  <c:v>786568.4917899929</c:v>
                </c:pt>
                <c:pt idx="111">
                  <c:v>784058.32023408776</c:v>
                </c:pt>
                <c:pt idx="112">
                  <c:v>781535.59782040305</c:v>
                </c:pt>
                <c:pt idx="113">
                  <c:v>779000.26179465</c:v>
                </c:pt>
                <c:pt idx="114">
                  <c:v>776452.24908876815</c:v>
                </c:pt>
                <c:pt idx="115">
                  <c:v>773891.49631935696</c:v>
                </c:pt>
                <c:pt idx="116">
                  <c:v>771317.93978609866</c:v>
                </c:pt>
                <c:pt idx="117">
                  <c:v>768731.51547017402</c:v>
                </c:pt>
                <c:pt idx="118">
                  <c:v>766132.15903266985</c:v>
                </c:pt>
                <c:pt idx="119">
                  <c:v>763519.80581297807</c:v>
                </c:pt>
                <c:pt idx="120">
                  <c:v>760894.39082718792</c:v>
                </c:pt>
                <c:pt idx="121">
                  <c:v>758255.84876646881</c:v>
                </c:pt>
                <c:pt idx="122">
                  <c:v>755604.11399544613</c:v>
                </c:pt>
                <c:pt idx="123">
                  <c:v>752939.12055056822</c:v>
                </c:pt>
                <c:pt idx="124">
                  <c:v>750260.80213846592</c:v>
                </c:pt>
                <c:pt idx="125">
                  <c:v>747569.09213430318</c:v>
                </c:pt>
                <c:pt idx="126">
                  <c:v>744863.92358011962</c:v>
                </c:pt>
                <c:pt idx="127">
                  <c:v>742145.22918316512</c:v>
                </c:pt>
                <c:pt idx="128">
                  <c:v>739412.9413142259</c:v>
                </c:pt>
                <c:pt idx="129">
                  <c:v>736666.99200594192</c:v>
                </c:pt>
                <c:pt idx="130">
                  <c:v>733907.31295111659</c:v>
                </c:pt>
                <c:pt idx="131">
                  <c:v>731133.83550101705</c:v>
                </c:pt>
                <c:pt idx="132">
                  <c:v>728346.49066366709</c:v>
                </c:pt>
                <c:pt idx="133">
                  <c:v>725545.20910213038</c:v>
                </c:pt>
                <c:pt idx="134">
                  <c:v>722729.92113278597</c:v>
                </c:pt>
                <c:pt idx="135">
                  <c:v>719900.55672359478</c:v>
                </c:pt>
                <c:pt idx="136">
                  <c:v>717057.04549235769</c:v>
                </c:pt>
                <c:pt idx="137">
                  <c:v>714199.31670496438</c:v>
                </c:pt>
                <c:pt idx="138">
                  <c:v>711327.2992736341</c:v>
                </c:pt>
                <c:pt idx="139">
                  <c:v>708440.92175514717</c:v>
                </c:pt>
                <c:pt idx="140">
                  <c:v>705540.11234906781</c:v>
                </c:pt>
                <c:pt idx="141">
                  <c:v>702624.79889595811</c:v>
                </c:pt>
                <c:pt idx="142">
                  <c:v>699694.90887558286</c:v>
                </c:pt>
                <c:pt idx="143">
                  <c:v>696750.36940510571</c:v>
                </c:pt>
                <c:pt idx="144">
                  <c:v>693791.10723727616</c:v>
                </c:pt>
                <c:pt idx="145">
                  <c:v>690817.04875860747</c:v>
                </c:pt>
                <c:pt idx="146">
                  <c:v>687828.11998754542</c:v>
                </c:pt>
                <c:pt idx="147">
                  <c:v>684824.24657262804</c:v>
                </c:pt>
                <c:pt idx="148">
                  <c:v>681805.35379063606</c:v>
                </c:pt>
                <c:pt idx="149">
                  <c:v>678771.3665447341</c:v>
                </c:pt>
                <c:pt idx="150">
                  <c:v>675722.20936260268</c:v>
                </c:pt>
                <c:pt idx="151">
                  <c:v>672657.80639456061</c:v>
                </c:pt>
                <c:pt idx="152">
                  <c:v>669578.08141167834</c:v>
                </c:pt>
                <c:pt idx="153">
                  <c:v>666482.95780388161</c:v>
                </c:pt>
                <c:pt idx="154">
                  <c:v>663372.35857804597</c:v>
                </c:pt>
                <c:pt idx="155">
                  <c:v>660246.20635608106</c:v>
                </c:pt>
                <c:pt idx="156">
                  <c:v>657104.4233730064</c:v>
                </c:pt>
                <c:pt idx="157">
                  <c:v>653946.93147501629</c:v>
                </c:pt>
                <c:pt idx="158">
                  <c:v>650773.65211753629</c:v>
                </c:pt>
                <c:pt idx="159">
                  <c:v>647584.50636326883</c:v>
                </c:pt>
                <c:pt idx="160">
                  <c:v>644379.41488023009</c:v>
                </c:pt>
                <c:pt idx="161">
                  <c:v>641158.29793977621</c:v>
                </c:pt>
                <c:pt idx="162">
                  <c:v>637921.07541461999</c:v>
                </c:pt>
                <c:pt idx="163">
                  <c:v>634667.66677683801</c:v>
                </c:pt>
                <c:pt idx="164">
                  <c:v>631397.99109586712</c:v>
                </c:pt>
                <c:pt idx="165">
                  <c:v>628111.96703649138</c:v>
                </c:pt>
                <c:pt idx="166">
                  <c:v>624809.51285681874</c:v>
                </c:pt>
                <c:pt idx="167">
                  <c:v>621490.54640624777</c:v>
                </c:pt>
                <c:pt idx="168">
                  <c:v>618154.98512342398</c:v>
                </c:pt>
                <c:pt idx="169">
                  <c:v>614802.74603418598</c:v>
                </c:pt>
                <c:pt idx="170">
                  <c:v>611433.74574950186</c:v>
                </c:pt>
                <c:pt idx="171">
                  <c:v>608047.90046339424</c:v>
                </c:pt>
                <c:pt idx="172">
                  <c:v>604645.12595085613</c:v>
                </c:pt>
                <c:pt idx="173">
                  <c:v>601225.33756575536</c:v>
                </c:pt>
                <c:pt idx="174">
                  <c:v>597788.45023872901</c:v>
                </c:pt>
                <c:pt idx="175">
                  <c:v>594334.37847506755</c:v>
                </c:pt>
                <c:pt idx="176">
                  <c:v>590863.03635258775</c:v>
                </c:pt>
                <c:pt idx="177">
                  <c:v>587374.33751949563</c:v>
                </c:pt>
                <c:pt idx="178">
                  <c:v>583868.19519223797</c:v>
                </c:pt>
                <c:pt idx="179">
                  <c:v>580344.52215334412</c:v>
                </c:pt>
                <c:pt idx="180">
                  <c:v>576803.23074925574</c:v>
                </c:pt>
                <c:pt idx="181">
                  <c:v>573244.23288814689</c:v>
                </c:pt>
                <c:pt idx="182">
                  <c:v>569667.44003773248</c:v>
                </c:pt>
                <c:pt idx="183">
                  <c:v>566072.76322306599</c:v>
                </c:pt>
                <c:pt idx="184">
                  <c:v>562460.11302432627</c:v>
                </c:pt>
                <c:pt idx="185">
                  <c:v>558829.39957459283</c:v>
                </c:pt>
                <c:pt idx="186">
                  <c:v>555180.53255761066</c:v>
                </c:pt>
                <c:pt idx="187">
                  <c:v>551513.42120554356</c:v>
                </c:pt>
                <c:pt idx="188">
                  <c:v>547827.97429671616</c:v>
                </c:pt>
                <c:pt idx="189">
                  <c:v>544124.10015334468</c:v>
                </c:pt>
                <c:pt idx="190">
                  <c:v>540401.70663925633</c:v>
                </c:pt>
                <c:pt idx="191">
                  <c:v>536660.70115759748</c:v>
                </c:pt>
                <c:pt idx="192">
                  <c:v>532900.99064853042</c:v>
                </c:pt>
                <c:pt idx="193">
                  <c:v>529122.481586918</c:v>
                </c:pt>
                <c:pt idx="194">
                  <c:v>525325.07997999748</c:v>
                </c:pt>
                <c:pt idx="195">
                  <c:v>521508.69136504235</c:v>
                </c:pt>
                <c:pt idx="196">
                  <c:v>517673.22080701246</c:v>
                </c:pt>
                <c:pt idx="197">
                  <c:v>513818.57289619243</c:v>
                </c:pt>
                <c:pt idx="198">
                  <c:v>509944.65174581832</c:v>
                </c:pt>
                <c:pt idx="199">
                  <c:v>506051.36098969233</c:v>
                </c:pt>
                <c:pt idx="200">
                  <c:v>502138.60377978568</c:v>
                </c:pt>
                <c:pt idx="201">
                  <c:v>498206.28278382955</c:v>
                </c:pt>
                <c:pt idx="202">
                  <c:v>494254.30018289358</c:v>
                </c:pt>
                <c:pt idx="203">
                  <c:v>490282.55766895297</c:v>
                </c:pt>
                <c:pt idx="204">
                  <c:v>486290.95644244266</c:v>
                </c:pt>
                <c:pt idx="205">
                  <c:v>482279.39720979979</c:v>
                </c:pt>
                <c:pt idx="206">
                  <c:v>478247.78018099372</c:v>
                </c:pt>
                <c:pt idx="207">
                  <c:v>474196.00506704359</c:v>
                </c:pt>
                <c:pt idx="208">
                  <c:v>470123.97107752372</c:v>
                </c:pt>
                <c:pt idx="209">
                  <c:v>466031.57691805623</c:v>
                </c:pt>
                <c:pt idx="210">
                  <c:v>461918.72078779142</c:v>
                </c:pt>
                <c:pt idx="211">
                  <c:v>457785.30037687527</c:v>
                </c:pt>
                <c:pt idx="212">
                  <c:v>453631.21286390454</c:v>
                </c:pt>
                <c:pt idx="213">
                  <c:v>449456.354913369</c:v>
                </c:pt>
                <c:pt idx="214">
                  <c:v>445260.62267308077</c:v>
                </c:pt>
                <c:pt idx="215">
                  <c:v>441043.91177159105</c:v>
                </c:pt>
                <c:pt idx="216">
                  <c:v>436806.11731559393</c:v>
                </c:pt>
                <c:pt idx="217">
                  <c:v>432547.1338873168</c:v>
                </c:pt>
                <c:pt idx="218">
                  <c:v>428266.85554189829</c:v>
                </c:pt>
                <c:pt idx="219">
                  <c:v>423965.17580475268</c:v>
                </c:pt>
                <c:pt idx="220">
                  <c:v>419641.98766892136</c:v>
                </c:pt>
                <c:pt idx="221">
                  <c:v>415297.18359241087</c:v>
                </c:pt>
                <c:pt idx="222">
                  <c:v>410930.65549551783</c:v>
                </c:pt>
                <c:pt idx="223">
                  <c:v>406542.29475814034</c:v>
                </c:pt>
                <c:pt idx="224">
                  <c:v>402131.99221707595</c:v>
                </c:pt>
                <c:pt idx="225">
                  <c:v>397699.63816330623</c:v>
                </c:pt>
                <c:pt idx="226">
                  <c:v>393245.12233926769</c:v>
                </c:pt>
                <c:pt idx="227">
                  <c:v>388768.33393610892</c:v>
                </c:pt>
                <c:pt idx="228">
                  <c:v>384269.16159093438</c:v>
                </c:pt>
                <c:pt idx="229">
                  <c:v>379747.49338403397</c:v>
                </c:pt>
                <c:pt idx="230">
                  <c:v>375203.21683609905</c:v>
                </c:pt>
                <c:pt idx="231">
                  <c:v>370636.21890542447</c:v>
                </c:pt>
                <c:pt idx="232">
                  <c:v>366046.38598509651</c:v>
                </c:pt>
                <c:pt idx="233">
                  <c:v>361433.60390016693</c:v>
                </c:pt>
                <c:pt idx="234">
                  <c:v>356797.75790481269</c:v>
                </c:pt>
                <c:pt idx="235">
                  <c:v>352138.73267948168</c:v>
                </c:pt>
                <c:pt idx="236">
                  <c:v>347456.41232802399</c:v>
                </c:pt>
                <c:pt idx="237">
                  <c:v>342750.68037480902</c:v>
                </c:pt>
                <c:pt idx="238">
                  <c:v>338021.41976182797</c:v>
                </c:pt>
                <c:pt idx="239">
                  <c:v>333268.51284578204</c:v>
                </c:pt>
                <c:pt idx="240">
                  <c:v>328491.84139515588</c:v>
                </c:pt>
                <c:pt idx="241">
                  <c:v>323691.28658727655</c:v>
                </c:pt>
                <c:pt idx="242">
                  <c:v>318866.72900535783</c:v>
                </c:pt>
                <c:pt idx="243">
                  <c:v>314018.04863552953</c:v>
                </c:pt>
                <c:pt idx="244">
                  <c:v>309145.12486385211</c:v>
                </c:pt>
                <c:pt idx="245">
                  <c:v>304247.8364733163</c:v>
                </c:pt>
                <c:pt idx="246">
                  <c:v>299326.0616408278</c:v>
                </c:pt>
                <c:pt idx="247">
                  <c:v>294379.67793417687</c:v>
                </c:pt>
                <c:pt idx="248">
                  <c:v>289408.56230899267</c:v>
                </c:pt>
                <c:pt idx="249">
                  <c:v>284412.59110568254</c:v>
                </c:pt>
                <c:pt idx="250">
                  <c:v>279391.64004635584</c:v>
                </c:pt>
                <c:pt idx="251">
                  <c:v>274345.58423173253</c:v>
                </c:pt>
                <c:pt idx="252">
                  <c:v>269274.2981380361</c:v>
                </c:pt>
                <c:pt idx="253">
                  <c:v>264177.65561387117</c:v>
                </c:pt>
                <c:pt idx="254">
                  <c:v>259055.52987708544</c:v>
                </c:pt>
                <c:pt idx="255">
                  <c:v>253907.79351161578</c:v>
                </c:pt>
                <c:pt idx="256">
                  <c:v>248734.31846431876</c:v>
                </c:pt>
                <c:pt idx="257">
                  <c:v>243534.97604178527</c:v>
                </c:pt>
                <c:pt idx="258">
                  <c:v>238309.63690713909</c:v>
                </c:pt>
                <c:pt idx="259">
                  <c:v>233058.17107681971</c:v>
                </c:pt>
                <c:pt idx="260">
                  <c:v>227780.44791734871</c:v>
                </c:pt>
                <c:pt idx="261">
                  <c:v>222476.33614208037</c:v>
                </c:pt>
                <c:pt idx="262">
                  <c:v>217145.70380793567</c:v>
                </c:pt>
                <c:pt idx="263">
                  <c:v>211788.41831212025</c:v>
                </c:pt>
                <c:pt idx="264">
                  <c:v>206404.34638882577</c:v>
                </c:pt>
                <c:pt idx="265">
                  <c:v>200993.3541059148</c:v>
                </c:pt>
                <c:pt idx="266">
                  <c:v>195555.30686158928</c:v>
                </c:pt>
                <c:pt idx="267">
                  <c:v>190090.06938104215</c:v>
                </c:pt>
                <c:pt idx="268">
                  <c:v>184597.50571309228</c:v>
                </c:pt>
                <c:pt idx="269">
                  <c:v>179077.47922680265</c:v>
                </c:pt>
                <c:pt idx="270">
                  <c:v>173529.85260808156</c:v>
                </c:pt>
                <c:pt idx="271">
                  <c:v>167954.48785626687</c:v>
                </c:pt>
                <c:pt idx="272">
                  <c:v>162351.24628069313</c:v>
                </c:pt>
                <c:pt idx="273">
                  <c:v>156719.98849724152</c:v>
                </c:pt>
                <c:pt idx="274">
                  <c:v>151060.57442487264</c:v>
                </c:pt>
                <c:pt idx="275">
                  <c:v>145372.86328214192</c:v>
                </c:pt>
                <c:pt idx="276">
                  <c:v>139656.71358369754</c:v>
                </c:pt>
                <c:pt idx="277">
                  <c:v>133911.98313676094</c:v>
                </c:pt>
                <c:pt idx="278">
                  <c:v>128138.52903758966</c:v>
                </c:pt>
                <c:pt idx="279">
                  <c:v>122336.20766792251</c:v>
                </c:pt>
                <c:pt idx="280">
                  <c:v>116504.87469140704</c:v>
                </c:pt>
                <c:pt idx="281">
                  <c:v>110644.38505000898</c:v>
                </c:pt>
                <c:pt idx="282">
                  <c:v>104754.59296040393</c:v>
                </c:pt>
                <c:pt idx="283">
                  <c:v>98835.351910350859</c:v>
                </c:pt>
                <c:pt idx="284">
                  <c:v>92886.514655047518</c:v>
                </c:pt>
                <c:pt idx="285">
                  <c:v>86907.933213467666</c:v>
                </c:pt>
                <c:pt idx="286">
                  <c:v>80899.458864679909</c:v>
                </c:pt>
                <c:pt idx="287">
                  <c:v>74860.942144148226</c:v>
                </c:pt>
                <c:pt idx="288">
                  <c:v>68792.232840013879</c:v>
                </c:pt>
                <c:pt idx="289">
                  <c:v>62693.179989358861</c:v>
                </c:pt>
                <c:pt idx="290">
                  <c:v>56563.631874450562</c:v>
                </c:pt>
                <c:pt idx="291">
                  <c:v>50403.436018967725</c:v>
                </c:pt>
                <c:pt idx="292">
                  <c:v>44212.439184207469</c:v>
                </c:pt>
                <c:pt idx="293">
                  <c:v>37990.487365273417</c:v>
                </c:pt>
                <c:pt idx="294">
                  <c:v>31737.425787244694</c:v>
                </c:pt>
                <c:pt idx="295">
                  <c:v>25453.09890132583</c:v>
                </c:pt>
                <c:pt idx="296">
                  <c:v>19137.350380977368</c:v>
                </c:pt>
                <c:pt idx="297">
                  <c:v>12790.023118027166</c:v>
                </c:pt>
                <c:pt idx="298">
                  <c:v>6410.9592187622111</c:v>
                </c:pt>
                <c:pt idx="299">
                  <c:v>9.3132257461547852E-10</c:v>
                </c:pt>
              </c:numCache>
            </c:numRef>
          </c:val>
          <c:smooth val="0"/>
        </c:ser>
        <c:dLbls>
          <c:showLegendKey val="0"/>
          <c:showVal val="0"/>
          <c:showCatName val="0"/>
          <c:showSerName val="0"/>
          <c:showPercent val="0"/>
          <c:showBubbleSize val="0"/>
        </c:dLbls>
        <c:marker val="1"/>
        <c:smooth val="0"/>
        <c:axId val="77801728"/>
        <c:axId val="77815808"/>
      </c:lineChart>
      <c:catAx>
        <c:axId val="7780172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Garamond"/>
                <a:ea typeface="Garamond"/>
                <a:cs typeface="Garamond"/>
              </a:defRPr>
            </a:pPr>
            <a:endParaRPr lang="en-US"/>
          </a:p>
        </c:txPr>
        <c:crossAx val="77815808"/>
        <c:crosses val="autoZero"/>
        <c:auto val="1"/>
        <c:lblAlgn val="ctr"/>
        <c:lblOffset val="100"/>
        <c:noMultiLvlLbl val="0"/>
      </c:catAx>
      <c:valAx>
        <c:axId val="77815808"/>
        <c:scaling>
          <c:orientation val="minMax"/>
          <c:max val="1000000"/>
          <c:min val="0"/>
        </c:scaling>
        <c:delete val="0"/>
        <c:axPos val="l"/>
        <c:numFmt formatCode="&quot;$&quot;#,##0_);[Red]\(&quot;$&quot;#,##0\)" sourceLinked="1"/>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en-US"/>
          </a:p>
        </c:txPr>
        <c:crossAx val="77801728"/>
        <c:crosses val="autoZero"/>
        <c:crossBetween val="between"/>
        <c:majorUnit val="100000"/>
      </c:valAx>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 l="0.70000000000000095" r="0.70000000000000095" t="0.750000000000002"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1" i="0" u="none" strike="noStrike" baseline="0">
                <a:solidFill>
                  <a:srgbClr val="000000"/>
                </a:solidFill>
                <a:latin typeface="Garamond"/>
                <a:ea typeface="Garamond"/>
                <a:cs typeface="Garamond"/>
              </a:defRPr>
            </a:pPr>
            <a:r>
              <a:rPr lang="en-US"/>
              <a:t>Interest Payment</a:t>
            </a:r>
          </a:p>
        </c:rich>
      </c:tx>
      <c:layout>
        <c:manualLayout>
          <c:xMode val="edge"/>
          <c:yMode val="edge"/>
          <c:x val="0.32204379214502898"/>
          <c:y val="2.79729970194404E-2"/>
        </c:manualLayout>
      </c:layout>
      <c:overlay val="0"/>
    </c:title>
    <c:autoTitleDeleted val="0"/>
    <c:plotArea>
      <c:layout>
        <c:manualLayout>
          <c:layoutTarget val="inner"/>
          <c:xMode val="edge"/>
          <c:yMode val="edge"/>
          <c:x val="0.106232294617564"/>
          <c:y val="8.0508474576271305E-2"/>
          <c:w val="0.88101983002832895"/>
          <c:h val="0.82838983050847603"/>
        </c:manualLayout>
      </c:layout>
      <c:lineChart>
        <c:grouping val="stacked"/>
        <c:varyColors val="0"/>
        <c:ser>
          <c:idx val="1"/>
          <c:order val="0"/>
          <c:tx>
            <c:v>Interest</c:v>
          </c:tx>
          <c:spPr>
            <a:ln>
              <a:solidFill>
                <a:srgbClr val="FF0000"/>
              </a:solidFill>
            </a:ln>
          </c:spPr>
          <c:marker>
            <c:symbol val="none"/>
          </c:marker>
          <c:val>
            <c:numRef>
              <c:f>'Mortgage Payment'!$I$12:$I$360</c:f>
              <c:numCache>
                <c:formatCode>"$"#,##0_);[Red]\("$"#,##0\)</c:formatCode>
                <c:ptCount val="349"/>
                <c:pt idx="0">
                  <c:v>5000</c:v>
                </c:pt>
                <c:pt idx="1">
                  <c:v>4992.784929925725</c:v>
                </c:pt>
                <c:pt idx="2">
                  <c:v>4985.5337845010781</c:v>
                </c:pt>
                <c:pt idx="3">
                  <c:v>4978.2463833493075</c:v>
                </c:pt>
                <c:pt idx="4">
                  <c:v>4970.9225451917791</c:v>
                </c:pt>
                <c:pt idx="5">
                  <c:v>4963.5620878434629</c:v>
                </c:pt>
                <c:pt idx="6">
                  <c:v>4956.1648282084043</c:v>
                </c:pt>
                <c:pt idx="7">
                  <c:v>4948.7305822751714</c:v>
                </c:pt>
                <c:pt idx="8">
                  <c:v>4941.2591651122711</c:v>
                </c:pt>
                <c:pt idx="9">
                  <c:v>4933.7503908635572</c:v>
                </c:pt>
                <c:pt idx="10">
                  <c:v>4926.2040727436006</c:v>
                </c:pt>
                <c:pt idx="11">
                  <c:v>4918.6200230330423</c:v>
                </c:pt>
                <c:pt idx="12">
                  <c:v>4910.9980530739322</c:v>
                </c:pt>
                <c:pt idx="13">
                  <c:v>4903.3379732650255</c:v>
                </c:pt>
                <c:pt idx="14">
                  <c:v>4895.6395930570761</c:v>
                </c:pt>
                <c:pt idx="15">
                  <c:v>4887.9027209480864</c:v>
                </c:pt>
                <c:pt idx="16">
                  <c:v>4880.1271644785511</c:v>
                </c:pt>
                <c:pt idx="17">
                  <c:v>4872.3127302266685</c:v>
                </c:pt>
                <c:pt idx="18">
                  <c:v>4864.4592238035266</c:v>
                </c:pt>
                <c:pt idx="19">
                  <c:v>4856.5664498482683</c:v>
                </c:pt>
                <c:pt idx="20">
                  <c:v>4848.6342120232348</c:v>
                </c:pt>
                <c:pt idx="21">
                  <c:v>4840.6623130090748</c:v>
                </c:pt>
                <c:pt idx="22">
                  <c:v>4832.6505544998445</c:v>
                </c:pt>
                <c:pt idx="23">
                  <c:v>4824.5987371980691</c:v>
                </c:pt>
                <c:pt idx="24">
                  <c:v>4816.5066608097841</c:v>
                </c:pt>
                <c:pt idx="25">
                  <c:v>4808.3741240395575</c:v>
                </c:pt>
                <c:pt idx="26">
                  <c:v>4800.2009245854797</c:v>
                </c:pt>
                <c:pt idx="27">
                  <c:v>4791.9868591341319</c:v>
                </c:pt>
                <c:pt idx="28">
                  <c:v>4783.7317233555268</c:v>
                </c:pt>
                <c:pt idx="29">
                  <c:v>4775.4353118980289</c:v>
                </c:pt>
                <c:pt idx="30">
                  <c:v>4767.0974183832432</c:v>
                </c:pt>
                <c:pt idx="31">
                  <c:v>4758.7178354008847</c:v>
                </c:pt>
                <c:pt idx="32">
                  <c:v>4750.2963545036137</c:v>
                </c:pt>
                <c:pt idx="33">
                  <c:v>4741.8327662018555</c:v>
                </c:pt>
                <c:pt idx="34">
                  <c:v>4733.3268599585908</c:v>
                </c:pt>
                <c:pt idx="35">
                  <c:v>4724.7784241841073</c:v>
                </c:pt>
                <c:pt idx="36">
                  <c:v>4716.187246230752</c:v>
                </c:pt>
                <c:pt idx="37">
                  <c:v>4707.5531123876308</c:v>
                </c:pt>
                <c:pt idx="38">
                  <c:v>4698.8758078752935</c:v>
                </c:pt>
                <c:pt idx="39">
                  <c:v>4690.1551168403948</c:v>
                </c:pt>
                <c:pt idx="40">
                  <c:v>4681.3908223503222</c:v>
                </c:pt>
                <c:pt idx="41">
                  <c:v>4672.5827063877978</c:v>
                </c:pt>
                <c:pt idx="42">
                  <c:v>4663.7305498454607</c:v>
                </c:pt>
                <c:pt idx="43">
                  <c:v>4654.8341325204119</c:v>
                </c:pt>
                <c:pt idx="44">
                  <c:v>4645.8932331087399</c:v>
                </c:pt>
                <c:pt idx="45">
                  <c:v>4636.9076292000082</c:v>
                </c:pt>
                <c:pt idx="46">
                  <c:v>4627.8770972717321</c:v>
                </c:pt>
                <c:pt idx="47">
                  <c:v>4618.8014126838161</c:v>
                </c:pt>
                <c:pt idx="48">
                  <c:v>4609.680349672959</c:v>
                </c:pt>
                <c:pt idx="49">
                  <c:v>4600.5136813470481</c:v>
                </c:pt>
                <c:pt idx="50">
                  <c:v>4591.3011796795081</c:v>
                </c:pt>
                <c:pt idx="51">
                  <c:v>4582.0426155036312</c:v>
                </c:pt>
                <c:pt idx="52">
                  <c:v>4572.7377585068734</c:v>
                </c:pt>
                <c:pt idx="53">
                  <c:v>4563.3863772251325</c:v>
                </c:pt>
                <c:pt idx="54">
                  <c:v>4553.9882390369821</c:v>
                </c:pt>
                <c:pt idx="55">
                  <c:v>4544.5431101578915</c:v>
                </c:pt>
                <c:pt idx="56">
                  <c:v>4535.0507556344073</c:v>
                </c:pt>
                <c:pt idx="57">
                  <c:v>4525.5109393383027</c:v>
                </c:pt>
                <c:pt idx="58">
                  <c:v>4515.9234239607194</c:v>
                </c:pt>
                <c:pt idx="59">
                  <c:v>4506.2879710062471</c:v>
                </c:pt>
                <c:pt idx="60">
                  <c:v>4496.6043407870029</c:v>
                </c:pt>
                <c:pt idx="61">
                  <c:v>4486.8722924166623</c:v>
                </c:pt>
                <c:pt idx="62">
                  <c:v>4477.0915838044702</c:v>
                </c:pt>
                <c:pt idx="63">
                  <c:v>4467.2619716492172</c:v>
                </c:pt>
                <c:pt idx="64">
                  <c:v>4457.3832114331881</c:v>
                </c:pt>
                <c:pt idx="65">
                  <c:v>4447.4550574160785</c:v>
                </c:pt>
                <c:pt idx="66">
                  <c:v>4437.4772626288832</c:v>
                </c:pt>
                <c:pt idx="67">
                  <c:v>4427.4495788677523</c:v>
                </c:pt>
                <c:pt idx="68">
                  <c:v>4417.3717566878149</c:v>
                </c:pt>
                <c:pt idx="69">
                  <c:v>4407.2435453969792</c:v>
                </c:pt>
                <c:pt idx="70">
                  <c:v>4397.0646930496887</c:v>
                </c:pt>
                <c:pt idx="71">
                  <c:v>4386.834946440662</c:v>
                </c:pt>
                <c:pt idx="72">
                  <c:v>4376.5540510985893</c:v>
                </c:pt>
                <c:pt idx="73">
                  <c:v>4366.221751279807</c:v>
                </c:pt>
                <c:pt idx="74">
                  <c:v>4355.8377899619309</c:v>
                </c:pt>
                <c:pt idx="75">
                  <c:v>4345.4019088374653</c:v>
                </c:pt>
                <c:pt idx="76">
                  <c:v>4334.9138483073757</c:v>
                </c:pt>
                <c:pt idx="77">
                  <c:v>4324.3733474746386</c:v>
                </c:pt>
                <c:pt idx="78">
                  <c:v>4313.780144137736</c:v>
                </c:pt>
                <c:pt idx="79">
                  <c:v>4303.1339747841484</c:v>
                </c:pt>
                <c:pt idx="80">
                  <c:v>4292.4345745837954</c:v>
                </c:pt>
                <c:pt idx="81">
                  <c:v>4281.6816773824385</c:v>
                </c:pt>
                <c:pt idx="82">
                  <c:v>4270.8750156950746</c:v>
                </c:pt>
                <c:pt idx="83">
                  <c:v>4260.0143206992743</c:v>
                </c:pt>
                <c:pt idx="84">
                  <c:v>4249.099322228496</c:v>
                </c:pt>
                <c:pt idx="85">
                  <c:v>4238.1297487653628</c:v>
                </c:pt>
                <c:pt idx="86">
                  <c:v>4227.1053274349142</c:v>
                </c:pt>
                <c:pt idx="87">
                  <c:v>4216.0257839978131</c:v>
                </c:pt>
                <c:pt idx="88">
                  <c:v>4204.890842843527</c:v>
                </c:pt>
                <c:pt idx="89">
                  <c:v>4193.7002269834684</c:v>
                </c:pt>
                <c:pt idx="90">
                  <c:v>4182.4536580441109</c:v>
                </c:pt>
                <c:pt idx="91">
                  <c:v>4171.1508562600557</c:v>
                </c:pt>
                <c:pt idx="92">
                  <c:v>4159.7915404670812</c:v>
                </c:pt>
                <c:pt idx="93">
                  <c:v>4148.3754280951407</c:v>
                </c:pt>
                <c:pt idx="94">
                  <c:v>4136.9022351613412</c:v>
                </c:pt>
                <c:pt idx="95">
                  <c:v>4125.3716762628728</c:v>
                </c:pt>
                <c:pt idx="96">
                  <c:v>4113.7834645699113</c:v>
                </c:pt>
                <c:pt idx="97">
                  <c:v>4102.1373118184856</c:v>
                </c:pt>
                <c:pt idx="98">
                  <c:v>4090.4329283033026</c:v>
                </c:pt>
                <c:pt idx="99">
                  <c:v>4078.670022870544</c:v>
                </c:pt>
                <c:pt idx="100">
                  <c:v>4066.848302910621</c:v>
                </c:pt>
                <c:pt idx="101">
                  <c:v>4054.9674743508986</c:v>
                </c:pt>
                <c:pt idx="102">
                  <c:v>4043.0272416483776</c:v>
                </c:pt>
                <c:pt idx="103">
                  <c:v>4031.027307782344</c:v>
                </c:pt>
                <c:pt idx="104">
                  <c:v>4018.9673742469795</c:v>
                </c:pt>
                <c:pt idx="105">
                  <c:v>4006.8471410439397</c:v>
                </c:pt>
                <c:pt idx="106">
                  <c:v>3994.6663066748847</c:v>
                </c:pt>
                <c:pt idx="107">
                  <c:v>3982.4245681339821</c:v>
                </c:pt>
                <c:pt idx="108">
                  <c:v>3970.1216209003778</c:v>
                </c:pt>
                <c:pt idx="109">
                  <c:v>3957.757158930604</c:v>
                </c:pt>
                <c:pt idx="110">
                  <c:v>3945.3308746509824</c:v>
                </c:pt>
                <c:pt idx="111">
                  <c:v>3932.8424589499609</c:v>
                </c:pt>
                <c:pt idx="112">
                  <c:v>3920.2916011704356</c:v>
                </c:pt>
                <c:pt idx="113">
                  <c:v>3907.6779891020124</c:v>
                </c:pt>
                <c:pt idx="114">
                  <c:v>3895.0013089732465</c:v>
                </c:pt>
                <c:pt idx="115">
                  <c:v>3882.2612454438381</c:v>
                </c:pt>
                <c:pt idx="116">
                  <c:v>3869.4574815967812</c:v>
                </c:pt>
                <c:pt idx="117">
                  <c:v>3856.5896989304897</c:v>
                </c:pt>
                <c:pt idx="118">
                  <c:v>3843.6575773508662</c:v>
                </c:pt>
                <c:pt idx="119">
                  <c:v>3830.6607951633459</c:v>
                </c:pt>
                <c:pt idx="120">
                  <c:v>3817.599029064887</c:v>
                </c:pt>
                <c:pt idx="121">
                  <c:v>3804.4719541359364</c:v>
                </c:pt>
                <c:pt idx="122">
                  <c:v>3791.2792438323409</c:v>
                </c:pt>
                <c:pt idx="123">
                  <c:v>3778.0205699772268</c:v>
                </c:pt>
                <c:pt idx="124">
                  <c:v>3764.6956027528377</c:v>
                </c:pt>
                <c:pt idx="125">
                  <c:v>3751.3040106923263</c:v>
                </c:pt>
                <c:pt idx="126">
                  <c:v>3737.8454606715127</c:v>
                </c:pt>
                <c:pt idx="127">
                  <c:v>3724.319617900594</c:v>
                </c:pt>
                <c:pt idx="128">
                  <c:v>3710.7261459158226</c:v>
                </c:pt>
                <c:pt idx="129">
                  <c:v>3697.064706571126</c:v>
                </c:pt>
                <c:pt idx="130">
                  <c:v>3683.3349600297061</c:v>
                </c:pt>
                <c:pt idx="131">
                  <c:v>3669.5365647555791</c:v>
                </c:pt>
                <c:pt idx="132">
                  <c:v>3655.6691775050817</c:v>
                </c:pt>
                <c:pt idx="133">
                  <c:v>3641.7324533183319</c:v>
                </c:pt>
                <c:pt idx="134">
                  <c:v>3627.726045510648</c:v>
                </c:pt>
                <c:pt idx="135">
                  <c:v>3613.6496056639253</c:v>
                </c:pt>
                <c:pt idx="136">
                  <c:v>3599.5027836179697</c:v>
                </c:pt>
                <c:pt idx="137">
                  <c:v>3585.2852274617835</c:v>
                </c:pt>
                <c:pt idx="138">
                  <c:v>3570.9965835248181</c:v>
                </c:pt>
                <c:pt idx="139">
                  <c:v>3556.6364963681663</c:v>
                </c:pt>
                <c:pt idx="140">
                  <c:v>3542.2046087757312</c:v>
                </c:pt>
                <c:pt idx="141">
                  <c:v>3527.7005617453347</c:v>
                </c:pt>
                <c:pt idx="142">
                  <c:v>3513.1239944797867</c:v>
                </c:pt>
                <c:pt idx="143">
                  <c:v>3498.4745443779098</c:v>
                </c:pt>
                <c:pt idx="144">
                  <c:v>3483.7518470255241</c:v>
                </c:pt>
                <c:pt idx="145">
                  <c:v>3468.9555361863763</c:v>
                </c:pt>
                <c:pt idx="146">
                  <c:v>3454.0852437930321</c:v>
                </c:pt>
                <c:pt idx="147">
                  <c:v>3439.1405999377221</c:v>
                </c:pt>
                <c:pt idx="148">
                  <c:v>3424.121232863135</c:v>
                </c:pt>
                <c:pt idx="149">
                  <c:v>3409.0267689531752</c:v>
                </c:pt>
                <c:pt idx="150">
                  <c:v>3393.8568327236667</c:v>
                </c:pt>
                <c:pt idx="151">
                  <c:v>3378.6110468130087</c:v>
                </c:pt>
                <c:pt idx="152">
                  <c:v>3363.2890319727981</c:v>
                </c:pt>
                <c:pt idx="153">
                  <c:v>3347.8904070583872</c:v>
                </c:pt>
                <c:pt idx="154">
                  <c:v>3332.4147890194031</c:v>
                </c:pt>
                <c:pt idx="155">
                  <c:v>3316.8617928902258</c:v>
                </c:pt>
                <c:pt idx="156">
                  <c:v>3301.2310317804008</c:v>
                </c:pt>
                <c:pt idx="157">
                  <c:v>3285.5221168650273</c:v>
                </c:pt>
                <c:pt idx="158">
                  <c:v>3269.7346573750774</c:v>
                </c:pt>
                <c:pt idx="159">
                  <c:v>3253.8682605876775</c:v>
                </c:pt>
                <c:pt idx="160">
                  <c:v>3237.9225318163403</c:v>
                </c:pt>
                <c:pt idx="161">
                  <c:v>3221.8970744011463</c:v>
                </c:pt>
                <c:pt idx="162">
                  <c:v>3205.7914896988759</c:v>
                </c:pt>
                <c:pt idx="163">
                  <c:v>3189.6053770730955</c:v>
                </c:pt>
                <c:pt idx="164">
                  <c:v>3173.338333884185</c:v>
                </c:pt>
                <c:pt idx="165">
                  <c:v>3156.989955479331</c:v>
                </c:pt>
                <c:pt idx="166">
                  <c:v>3140.5598351824524</c:v>
                </c:pt>
                <c:pt idx="167">
                  <c:v>3124.0475642840897</c:v>
                </c:pt>
                <c:pt idx="168">
                  <c:v>3107.4527320312341</c:v>
                </c:pt>
                <c:pt idx="169">
                  <c:v>3090.7749256171155</c:v>
                </c:pt>
                <c:pt idx="170">
                  <c:v>3074.0137301709246</c:v>
                </c:pt>
                <c:pt idx="171">
                  <c:v>3057.1687287475042</c:v>
                </c:pt>
                <c:pt idx="172">
                  <c:v>3040.2395023169661</c:v>
                </c:pt>
                <c:pt idx="173">
                  <c:v>3023.2256297542754</c:v>
                </c:pt>
                <c:pt idx="174">
                  <c:v>3006.1266878287715</c:v>
                </c:pt>
                <c:pt idx="175">
                  <c:v>2988.94225119364</c:v>
                </c:pt>
                <c:pt idx="176">
                  <c:v>2971.6718923753324</c:v>
                </c:pt>
                <c:pt idx="177">
                  <c:v>2954.3151817629341</c:v>
                </c:pt>
                <c:pt idx="178">
                  <c:v>2936.8716875974737</c:v>
                </c:pt>
                <c:pt idx="179">
                  <c:v>2919.3409759611859</c:v>
                </c:pt>
                <c:pt idx="180">
                  <c:v>2901.7226107667161</c:v>
                </c:pt>
                <c:pt idx="181">
                  <c:v>2884.0161537462745</c:v>
                </c:pt>
                <c:pt idx="182">
                  <c:v>2866.2211644407298</c:v>
                </c:pt>
                <c:pt idx="183">
                  <c:v>2848.3372001886578</c:v>
                </c:pt>
                <c:pt idx="184">
                  <c:v>2830.3638161153267</c:v>
                </c:pt>
                <c:pt idx="185">
                  <c:v>2812.3005651216272</c:v>
                </c:pt>
                <c:pt idx="186">
                  <c:v>2794.1469978729601</c:v>
                </c:pt>
                <c:pt idx="187">
                  <c:v>2775.9026627880494</c:v>
                </c:pt>
                <c:pt idx="188">
                  <c:v>2757.5671060277136</c:v>
                </c:pt>
                <c:pt idx="189">
                  <c:v>2739.1398714835768</c:v>
                </c:pt>
                <c:pt idx="190">
                  <c:v>2720.6205007667199</c:v>
                </c:pt>
                <c:pt idx="191">
                  <c:v>2702.0085331962782</c:v>
                </c:pt>
                <c:pt idx="192">
                  <c:v>2683.3035057879838</c:v>
                </c:pt>
                <c:pt idx="193">
                  <c:v>2664.5049532426488</c:v>
                </c:pt>
                <c:pt idx="194">
                  <c:v>2645.6124079345859</c:v>
                </c:pt>
                <c:pt idx="195">
                  <c:v>2626.6253998999841</c:v>
                </c:pt>
                <c:pt idx="196">
                  <c:v>2607.5434568252081</c:v>
                </c:pt>
                <c:pt idx="197">
                  <c:v>2588.3661040350594</c:v>
                </c:pt>
                <c:pt idx="198">
                  <c:v>2569.0928644809587</c:v>
                </c:pt>
                <c:pt idx="199">
                  <c:v>2549.7232587290878</c:v>
                </c:pt>
                <c:pt idx="200">
                  <c:v>2530.256804948458</c:v>
                </c:pt>
                <c:pt idx="201">
                  <c:v>2510.6930188989245</c:v>
                </c:pt>
                <c:pt idx="202">
                  <c:v>2491.0314139191437</c:v>
                </c:pt>
                <c:pt idx="203">
                  <c:v>2471.271500914464</c:v>
                </c:pt>
                <c:pt idx="204">
                  <c:v>2451.4127883447613</c:v>
                </c:pt>
                <c:pt idx="205">
                  <c:v>2431.4547822122095</c:v>
                </c:pt>
                <c:pt idx="206">
                  <c:v>2411.3969860489951</c:v>
                </c:pt>
                <c:pt idx="207">
                  <c:v>2391.2389009049648</c:v>
                </c:pt>
                <c:pt idx="208">
                  <c:v>2370.9800253352141</c:v>
                </c:pt>
                <c:pt idx="209">
                  <c:v>2350.6198553876143</c:v>
                </c:pt>
                <c:pt idx="210">
                  <c:v>2330.1578845902773</c:v>
                </c:pt>
                <c:pt idx="211">
                  <c:v>2309.593603938953</c:v>
                </c:pt>
                <c:pt idx="212">
                  <c:v>2288.9265018843726</c:v>
                </c:pt>
                <c:pt idx="213">
                  <c:v>2268.1560643195194</c:v>
                </c:pt>
                <c:pt idx="214">
                  <c:v>2247.2817745668408</c:v>
                </c:pt>
                <c:pt idx="215">
                  <c:v>2226.3031133653999</c:v>
                </c:pt>
                <c:pt idx="216">
                  <c:v>2205.2195588579521</c:v>
                </c:pt>
                <c:pt idx="217">
                  <c:v>2184.030586577966</c:v>
                </c:pt>
                <c:pt idx="218">
                  <c:v>2162.7356694365799</c:v>
                </c:pt>
                <c:pt idx="219">
                  <c:v>2141.3342777094877</c:v>
                </c:pt>
                <c:pt idx="220">
                  <c:v>2119.8258790237592</c:v>
                </c:pt>
                <c:pt idx="221">
                  <c:v>2098.209938344603</c:v>
                </c:pt>
                <c:pt idx="222">
                  <c:v>2076.4859179620507</c:v>
                </c:pt>
                <c:pt idx="223">
                  <c:v>2054.6532774775856</c:v>
                </c:pt>
                <c:pt idx="224">
                  <c:v>2032.7114737906979</c:v>
                </c:pt>
                <c:pt idx="225">
                  <c:v>2010.6599610853759</c:v>
                </c:pt>
                <c:pt idx="226">
                  <c:v>1988.4981908165273</c:v>
                </c:pt>
                <c:pt idx="227">
                  <c:v>1966.2256116963345</c:v>
                </c:pt>
                <c:pt idx="228">
                  <c:v>1943.8416696805411</c:v>
                </c:pt>
                <c:pt idx="229">
                  <c:v>1921.3458079546685</c:v>
                </c:pt>
                <c:pt idx="230">
                  <c:v>1898.7374669201658</c:v>
                </c:pt>
                <c:pt idx="231">
                  <c:v>1876.0160841804916</c:v>
                </c:pt>
                <c:pt idx="232">
                  <c:v>1853.1810945271186</c:v>
                </c:pt>
                <c:pt idx="233">
                  <c:v>1830.2319299254784</c:v>
                </c:pt>
                <c:pt idx="234">
                  <c:v>1807.168019500831</c:v>
                </c:pt>
                <c:pt idx="235">
                  <c:v>1783.9887895240595</c:v>
                </c:pt>
                <c:pt idx="236">
                  <c:v>1760.693663397404</c:v>
                </c:pt>
                <c:pt idx="237">
                  <c:v>1737.2820616401157</c:v>
                </c:pt>
                <c:pt idx="238">
                  <c:v>1713.7534018740407</c:v>
                </c:pt>
                <c:pt idx="239">
                  <c:v>1690.107098809136</c:v>
                </c:pt>
                <c:pt idx="240">
                  <c:v>1666.3425642289062</c:v>
                </c:pt>
                <c:pt idx="241">
                  <c:v>1642.4592069757753</c:v>
                </c:pt>
                <c:pt idx="242">
                  <c:v>1618.4564329363784</c:v>
                </c:pt>
                <c:pt idx="243">
                  <c:v>1594.3336450267848</c:v>
                </c:pt>
                <c:pt idx="244">
                  <c:v>1570.0902431776435</c:v>
                </c:pt>
                <c:pt idx="245">
                  <c:v>1545.7256243192564</c:v>
                </c:pt>
                <c:pt idx="246">
                  <c:v>1521.2391823665771</c:v>
                </c:pt>
                <c:pt idx="247">
                  <c:v>1496.6303082041343</c:v>
                </c:pt>
                <c:pt idx="248">
                  <c:v>1471.8983896708796</c:v>
                </c:pt>
                <c:pt idx="249">
                  <c:v>1447.0428115449588</c:v>
                </c:pt>
                <c:pt idx="250">
                  <c:v>1422.0629555284081</c:v>
                </c:pt>
                <c:pt idx="251">
                  <c:v>1396.9582002317748</c:v>
                </c:pt>
                <c:pt idx="252">
                  <c:v>1371.7279211586583</c:v>
                </c:pt>
                <c:pt idx="253">
                  <c:v>1346.3714906901762</c:v>
                </c:pt>
                <c:pt idx="254">
                  <c:v>1320.8882780693516</c:v>
                </c:pt>
                <c:pt idx="255">
                  <c:v>1295.277649385423</c:v>
                </c:pt>
                <c:pt idx="256">
                  <c:v>1269.5389675580745</c:v>
                </c:pt>
                <c:pt idx="257">
                  <c:v>1243.6715923215895</c:v>
                </c:pt>
                <c:pt idx="258">
                  <c:v>1217.6748802089221</c:v>
                </c:pt>
                <c:pt idx="259">
                  <c:v>1191.5481845356912</c:v>
                </c:pt>
                <c:pt idx="260">
                  <c:v>1165.2908553840941</c:v>
                </c:pt>
                <c:pt idx="261">
                  <c:v>1138.9022395867391</c:v>
                </c:pt>
                <c:pt idx="262">
                  <c:v>1112.3816807103974</c:v>
                </c:pt>
                <c:pt idx="263">
                  <c:v>1085.728519039674</c:v>
                </c:pt>
                <c:pt idx="264">
                  <c:v>1058.942091560597</c:v>
                </c:pt>
                <c:pt idx="265">
                  <c:v>1032.0217319441247</c:v>
                </c:pt>
                <c:pt idx="266">
                  <c:v>1004.9667705295697</c:v>
                </c:pt>
                <c:pt idx="267">
                  <c:v>977.77653430794226</c:v>
                </c:pt>
                <c:pt idx="268">
                  <c:v>950.45034690520629</c:v>
                </c:pt>
                <c:pt idx="269">
                  <c:v>922.98752856545696</c:v>
                </c:pt>
                <c:pt idx="270">
                  <c:v>895.38739613400901</c:v>
                </c:pt>
                <c:pt idx="271">
                  <c:v>867.64926304040353</c:v>
                </c:pt>
                <c:pt idx="272">
                  <c:v>839.77243928132998</c:v>
                </c:pt>
                <c:pt idx="273">
                  <c:v>811.75623140346113</c:v>
                </c:pt>
                <c:pt idx="274">
                  <c:v>783.59994248620296</c:v>
                </c:pt>
                <c:pt idx="275">
                  <c:v>755.30287212435871</c:v>
                </c:pt>
                <c:pt idx="276">
                  <c:v>726.8643164107051</c:v>
                </c:pt>
                <c:pt idx="277">
                  <c:v>698.28356791848319</c:v>
                </c:pt>
                <c:pt idx="278">
                  <c:v>669.55991568380023</c:v>
                </c:pt>
                <c:pt idx="279">
                  <c:v>640.69264518794375</c:v>
                </c:pt>
                <c:pt idx="280">
                  <c:v>611.68103833960799</c:v>
                </c:pt>
                <c:pt idx="281">
                  <c:v>582.52437345703061</c:v>
                </c:pt>
                <c:pt idx="282">
                  <c:v>553.22192525004039</c:v>
                </c:pt>
                <c:pt idx="283">
                  <c:v>523.77296480201494</c:v>
                </c:pt>
                <c:pt idx="284">
                  <c:v>494.17675955174974</c:v>
                </c:pt>
                <c:pt idx="285">
                  <c:v>464.4325732752331</c:v>
                </c:pt>
                <c:pt idx="286">
                  <c:v>434.53966606733377</c:v>
                </c:pt>
                <c:pt idx="287">
                  <c:v>404.49729432339507</c:v>
                </c:pt>
                <c:pt idx="288">
                  <c:v>374.30471072073658</c:v>
                </c:pt>
                <c:pt idx="289">
                  <c:v>343.96116420006484</c:v>
                </c:pt>
                <c:pt idx="290">
                  <c:v>313.4658999467897</c:v>
                </c:pt>
                <c:pt idx="291">
                  <c:v>282.81815937224826</c:v>
                </c:pt>
                <c:pt idx="292">
                  <c:v>252.017180094834</c:v>
                </c:pt>
                <c:pt idx="293">
                  <c:v>221.06219592103272</c:v>
                </c:pt>
                <c:pt idx="294">
                  <c:v>189.95243682636251</c:v>
                </c:pt>
                <c:pt idx="295">
                  <c:v>158.68712893621887</c:v>
                </c:pt>
                <c:pt idx="296">
                  <c:v>127.26549450662451</c:v>
                </c:pt>
                <c:pt idx="297">
                  <c:v>95.6867519048822</c:v>
                </c:pt>
                <c:pt idx="298">
                  <c:v>63.950115590131183</c:v>
                </c:pt>
                <c:pt idx="299">
                  <c:v>32.054796093806402</c:v>
                </c:pt>
              </c:numCache>
            </c:numRef>
          </c:val>
          <c:smooth val="0"/>
        </c:ser>
        <c:dLbls>
          <c:showLegendKey val="0"/>
          <c:showVal val="0"/>
          <c:showCatName val="0"/>
          <c:showSerName val="0"/>
          <c:showPercent val="0"/>
          <c:showBubbleSize val="0"/>
        </c:dLbls>
        <c:marker val="1"/>
        <c:smooth val="0"/>
        <c:axId val="77831552"/>
        <c:axId val="77833344"/>
      </c:lineChart>
      <c:catAx>
        <c:axId val="7783155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Garamond"/>
                <a:ea typeface="Garamond"/>
                <a:cs typeface="Garamond"/>
              </a:defRPr>
            </a:pPr>
            <a:endParaRPr lang="en-US"/>
          </a:p>
        </c:txPr>
        <c:crossAx val="77833344"/>
        <c:crosses val="autoZero"/>
        <c:auto val="1"/>
        <c:lblAlgn val="ctr"/>
        <c:lblOffset val="100"/>
        <c:noMultiLvlLbl val="0"/>
      </c:catAx>
      <c:valAx>
        <c:axId val="77833344"/>
        <c:scaling>
          <c:orientation val="minMax"/>
          <c:min val="0"/>
        </c:scaling>
        <c:delete val="0"/>
        <c:axPos val="l"/>
        <c:numFmt formatCode="&quot;$&quot;#,##0_);[Red]\(&quot;$&quot;#,##0\)" sourceLinked="1"/>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en-US"/>
          </a:p>
        </c:txPr>
        <c:crossAx val="77831552"/>
        <c:crosses val="autoZero"/>
        <c:crossBetween val="between"/>
      </c:valAx>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 l="0.70000000000000095" r="0.70000000000000095" t="0.750000000000002"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1" i="0" u="none" strike="noStrike" baseline="0">
                <a:solidFill>
                  <a:srgbClr val="000000"/>
                </a:solidFill>
                <a:latin typeface="Garamond"/>
                <a:ea typeface="Garamond"/>
                <a:cs typeface="Garamond"/>
              </a:defRPr>
            </a:pPr>
            <a:r>
              <a:rPr lang="en-US"/>
              <a:t>Principal Payment</a:t>
            </a:r>
          </a:p>
        </c:rich>
      </c:tx>
      <c:layout>
        <c:manualLayout>
          <c:xMode val="edge"/>
          <c:yMode val="edge"/>
          <c:x val="0.29555898377935003"/>
          <c:y val="3.6207349081364901E-2"/>
        </c:manualLayout>
      </c:layout>
      <c:overlay val="0"/>
    </c:title>
    <c:autoTitleDeleted val="0"/>
    <c:plotArea>
      <c:layout>
        <c:manualLayout>
          <c:layoutTarget val="inner"/>
          <c:xMode val="edge"/>
          <c:yMode val="edge"/>
          <c:x val="0.106082036775106"/>
          <c:y val="8.0508474576271402E-2"/>
          <c:w val="0.88118811881188097"/>
          <c:h val="0.82838983050847703"/>
        </c:manualLayout>
      </c:layout>
      <c:lineChart>
        <c:grouping val="stacked"/>
        <c:varyColors val="0"/>
        <c:ser>
          <c:idx val="0"/>
          <c:order val="0"/>
          <c:tx>
            <c:v>Principal</c:v>
          </c:tx>
          <c:marker>
            <c:symbol val="none"/>
          </c:marker>
          <c:val>
            <c:numRef>
              <c:f>'Mortgage Payment Exercise'!$G$12:$G$371</c:f>
              <c:numCache>
                <c:formatCode>"$"#,##0_);[Red]\("$"#,##0\)</c:formatCode>
                <c:ptCount val="360"/>
                <c:pt idx="0">
                  <c:v>1443.0140148550852</c:v>
                </c:pt>
                <c:pt idx="1">
                  <c:v>1450.2290849293606</c:v>
                </c:pt>
                <c:pt idx="2">
                  <c:v>1457.4802303540075</c:v>
                </c:pt>
                <c:pt idx="3">
                  <c:v>1464.7676315057772</c:v>
                </c:pt>
                <c:pt idx="4">
                  <c:v>1472.0914696633065</c:v>
                </c:pt>
                <c:pt idx="5">
                  <c:v>1479.4519270116227</c:v>
                </c:pt>
                <c:pt idx="6">
                  <c:v>1486.8491866466811</c:v>
                </c:pt>
                <c:pt idx="7">
                  <c:v>1494.2834325799145</c:v>
                </c:pt>
                <c:pt idx="8">
                  <c:v>1501.7548497428143</c:v>
                </c:pt>
                <c:pt idx="9">
                  <c:v>1509.263623991528</c:v>
                </c:pt>
                <c:pt idx="10">
                  <c:v>1516.8099421114855</c:v>
                </c:pt>
                <c:pt idx="11">
                  <c:v>1524.3939918220431</c:v>
                </c:pt>
                <c:pt idx="12">
                  <c:v>1532.0159617811532</c:v>
                </c:pt>
                <c:pt idx="13">
                  <c:v>1539.6760415900592</c:v>
                </c:pt>
                <c:pt idx="14">
                  <c:v>1547.3744217980095</c:v>
                </c:pt>
                <c:pt idx="15">
                  <c:v>1555.1112939069997</c:v>
                </c:pt>
                <c:pt idx="16">
                  <c:v>1562.8868503765343</c:v>
                </c:pt>
                <c:pt idx="17">
                  <c:v>1570.7012846284174</c:v>
                </c:pt>
                <c:pt idx="18">
                  <c:v>1578.5547910515593</c:v>
                </c:pt>
                <c:pt idx="19">
                  <c:v>1586.4475650068173</c:v>
                </c:pt>
                <c:pt idx="20">
                  <c:v>1594.3798028318511</c:v>
                </c:pt>
                <c:pt idx="21">
                  <c:v>1602.3517018460102</c:v>
                </c:pt>
                <c:pt idx="22">
                  <c:v>1610.3634603552405</c:v>
                </c:pt>
                <c:pt idx="23">
                  <c:v>1618.4152776570168</c:v>
                </c:pt>
                <c:pt idx="24">
                  <c:v>1626.5073540453016</c:v>
                </c:pt>
                <c:pt idx="25">
                  <c:v>1634.6398908155281</c:v>
                </c:pt>
                <c:pt idx="26">
                  <c:v>1642.8130902696057</c:v>
                </c:pt>
                <c:pt idx="27">
                  <c:v>1651.0271557209539</c:v>
                </c:pt>
                <c:pt idx="28">
                  <c:v>1659.2822914995588</c:v>
                </c:pt>
                <c:pt idx="29">
                  <c:v>1667.5787029570565</c:v>
                </c:pt>
                <c:pt idx="30">
                  <c:v>1675.916596471842</c:v>
                </c:pt>
                <c:pt idx="31">
                  <c:v>1684.2961794542009</c:v>
                </c:pt>
                <c:pt idx="32">
                  <c:v>1692.7176603514722</c:v>
                </c:pt>
                <c:pt idx="33">
                  <c:v>1701.1812486532292</c:v>
                </c:pt>
                <c:pt idx="34">
                  <c:v>1709.687154896495</c:v>
                </c:pt>
                <c:pt idx="35">
                  <c:v>1718.2355906709781</c:v>
                </c:pt>
                <c:pt idx="36">
                  <c:v>1726.8267686243325</c:v>
                </c:pt>
                <c:pt idx="37">
                  <c:v>1735.4609024674548</c:v>
                </c:pt>
                <c:pt idx="38">
                  <c:v>1744.1382069797917</c:v>
                </c:pt>
                <c:pt idx="39">
                  <c:v>1752.858898014691</c:v>
                </c:pt>
                <c:pt idx="40">
                  <c:v>1761.6231925047641</c:v>
                </c:pt>
                <c:pt idx="41">
                  <c:v>1770.4313084672881</c:v>
                </c:pt>
                <c:pt idx="42">
                  <c:v>1779.2834650096245</c:v>
                </c:pt>
                <c:pt idx="43">
                  <c:v>1788.1798823346728</c:v>
                </c:pt>
                <c:pt idx="44">
                  <c:v>1797.120781746346</c:v>
                </c:pt>
                <c:pt idx="45">
                  <c:v>1806.1063856550777</c:v>
                </c:pt>
                <c:pt idx="46">
                  <c:v>1815.1369175833531</c:v>
                </c:pt>
                <c:pt idx="47">
                  <c:v>1824.2126021712695</c:v>
                </c:pt>
                <c:pt idx="48">
                  <c:v>1833.3336651821264</c:v>
                </c:pt>
                <c:pt idx="49">
                  <c:v>1842.5003335080369</c:v>
                </c:pt>
                <c:pt idx="50">
                  <c:v>1851.7128351755773</c:v>
                </c:pt>
                <c:pt idx="51">
                  <c:v>1860.9713993514547</c:v>
                </c:pt>
                <c:pt idx="52">
                  <c:v>1870.2762563482122</c:v>
                </c:pt>
                <c:pt idx="53">
                  <c:v>1879.6276376299534</c:v>
                </c:pt>
                <c:pt idx="54">
                  <c:v>1889.0257758181033</c:v>
                </c:pt>
                <c:pt idx="55">
                  <c:v>1898.4709046971934</c:v>
                </c:pt>
                <c:pt idx="56">
                  <c:v>1907.9632592206792</c:v>
                </c:pt>
                <c:pt idx="57">
                  <c:v>1917.5030755167829</c:v>
                </c:pt>
                <c:pt idx="58">
                  <c:v>1927.0905908943666</c:v>
                </c:pt>
                <c:pt idx="59">
                  <c:v>1936.7260438488386</c:v>
                </c:pt>
                <c:pt idx="60">
                  <c:v>1946.4096740680829</c:v>
                </c:pt>
                <c:pt idx="61">
                  <c:v>1956.1417224384236</c:v>
                </c:pt>
                <c:pt idx="62">
                  <c:v>1965.9224310506156</c:v>
                </c:pt>
                <c:pt idx="63">
                  <c:v>1975.7520432058686</c:v>
                </c:pt>
                <c:pt idx="64">
                  <c:v>1985.630803421898</c:v>
                </c:pt>
                <c:pt idx="65">
                  <c:v>1995.5589574390076</c:v>
                </c:pt>
                <c:pt idx="66">
                  <c:v>2005.5367522262022</c:v>
                </c:pt>
                <c:pt idx="67">
                  <c:v>2015.5644359873338</c:v>
                </c:pt>
                <c:pt idx="68">
                  <c:v>2025.64225816727</c:v>
                </c:pt>
                <c:pt idx="69">
                  <c:v>2035.7704694581064</c:v>
                </c:pt>
                <c:pt idx="70">
                  <c:v>2045.9493218053967</c:v>
                </c:pt>
                <c:pt idx="71">
                  <c:v>2056.1790684144239</c:v>
                </c:pt>
                <c:pt idx="72">
                  <c:v>2066.4599637564961</c:v>
                </c:pt>
                <c:pt idx="73">
                  <c:v>2076.7922635752784</c:v>
                </c:pt>
                <c:pt idx="74">
                  <c:v>2087.176224893155</c:v>
                </c:pt>
                <c:pt idx="75">
                  <c:v>2097.6121060176206</c:v>
                </c:pt>
                <c:pt idx="76">
                  <c:v>2108.1001665477093</c:v>
                </c:pt>
                <c:pt idx="77">
                  <c:v>2118.6406673804477</c:v>
                </c:pt>
                <c:pt idx="78">
                  <c:v>2129.2338707173499</c:v>
                </c:pt>
                <c:pt idx="79">
                  <c:v>2139.8800400709365</c:v>
                </c:pt>
                <c:pt idx="80">
                  <c:v>2150.5794402712909</c:v>
                </c:pt>
                <c:pt idx="81">
                  <c:v>2161.3323374726474</c:v>
                </c:pt>
                <c:pt idx="82">
                  <c:v>2172.1389991600108</c:v>
                </c:pt>
                <c:pt idx="83">
                  <c:v>2182.9996941558111</c:v>
                </c:pt>
                <c:pt idx="84">
                  <c:v>2193.9146926265898</c:v>
                </c:pt>
                <c:pt idx="85">
                  <c:v>2204.884266089723</c:v>
                </c:pt>
                <c:pt idx="86">
                  <c:v>2215.9086874201712</c:v>
                </c:pt>
                <c:pt idx="87">
                  <c:v>2226.9882308572728</c:v>
                </c:pt>
                <c:pt idx="88">
                  <c:v>2238.1231720115584</c:v>
                </c:pt>
                <c:pt idx="89">
                  <c:v>2249.3137878716166</c:v>
                </c:pt>
                <c:pt idx="90">
                  <c:v>2260.5603568109741</c:v>
                </c:pt>
                <c:pt idx="91">
                  <c:v>2271.8631585950293</c:v>
                </c:pt>
                <c:pt idx="92">
                  <c:v>2283.2224743880047</c:v>
                </c:pt>
                <c:pt idx="93">
                  <c:v>2294.6385867599442</c:v>
                </c:pt>
                <c:pt idx="94">
                  <c:v>2306.1117796937442</c:v>
                </c:pt>
                <c:pt idx="95">
                  <c:v>2317.642338592213</c:v>
                </c:pt>
                <c:pt idx="96">
                  <c:v>2329.2305502851741</c:v>
                </c:pt>
                <c:pt idx="97">
                  <c:v>2340.8767030365993</c:v>
                </c:pt>
                <c:pt idx="98">
                  <c:v>2352.5810865517833</c:v>
                </c:pt>
                <c:pt idx="99">
                  <c:v>2364.3439919845418</c:v>
                </c:pt>
                <c:pt idx="100">
                  <c:v>2376.1657119444649</c:v>
                </c:pt>
                <c:pt idx="101">
                  <c:v>2388.0465405041869</c:v>
                </c:pt>
                <c:pt idx="102">
                  <c:v>2399.9867732067078</c:v>
                </c:pt>
                <c:pt idx="103">
                  <c:v>2411.986707072741</c:v>
                </c:pt>
                <c:pt idx="104">
                  <c:v>2424.0466406081055</c:v>
                </c:pt>
                <c:pt idx="105">
                  <c:v>2436.1668738111457</c:v>
                </c:pt>
                <c:pt idx="106">
                  <c:v>2448.3477081802012</c:v>
                </c:pt>
                <c:pt idx="107">
                  <c:v>2460.5894467211024</c:v>
                </c:pt>
                <c:pt idx="108">
                  <c:v>2472.892393954708</c:v>
                </c:pt>
                <c:pt idx="109">
                  <c:v>2485.256855924481</c:v>
                </c:pt>
                <c:pt idx="110">
                  <c:v>2497.6831402041034</c:v>
                </c:pt>
                <c:pt idx="111">
                  <c:v>2510.171555905124</c:v>
                </c:pt>
                <c:pt idx="112">
                  <c:v>2522.7224136846498</c:v>
                </c:pt>
                <c:pt idx="113">
                  <c:v>2535.3360257530735</c:v>
                </c:pt>
                <c:pt idx="114">
                  <c:v>2548.0127058818384</c:v>
                </c:pt>
                <c:pt idx="115">
                  <c:v>2560.7527694112478</c:v>
                </c:pt>
                <c:pt idx="116">
                  <c:v>2573.5565332583042</c:v>
                </c:pt>
                <c:pt idx="117">
                  <c:v>2586.4243159245957</c:v>
                </c:pt>
                <c:pt idx="118">
                  <c:v>2599.3564375042188</c:v>
                </c:pt>
                <c:pt idx="119">
                  <c:v>2612.3532196917399</c:v>
                </c:pt>
                <c:pt idx="120">
                  <c:v>2625.414985790198</c:v>
                </c:pt>
                <c:pt idx="121">
                  <c:v>2638.5420607191495</c:v>
                </c:pt>
                <c:pt idx="122">
                  <c:v>2651.734771022745</c:v>
                </c:pt>
                <c:pt idx="123">
                  <c:v>2664.993444877859</c:v>
                </c:pt>
                <c:pt idx="124">
                  <c:v>2678.3184121022477</c:v>
                </c:pt>
                <c:pt idx="125">
                  <c:v>2691.7100041627596</c:v>
                </c:pt>
                <c:pt idx="126">
                  <c:v>2705.1685541835732</c:v>
                </c:pt>
                <c:pt idx="127">
                  <c:v>2718.6943969544909</c:v>
                </c:pt>
                <c:pt idx="128">
                  <c:v>2732.2878689392637</c:v>
                </c:pt>
                <c:pt idx="129">
                  <c:v>2745.9493082839599</c:v>
                </c:pt>
                <c:pt idx="130">
                  <c:v>2759.6790548253798</c:v>
                </c:pt>
                <c:pt idx="131">
                  <c:v>2773.4774500995068</c:v>
                </c:pt>
                <c:pt idx="132">
                  <c:v>2787.3448373500037</c:v>
                </c:pt>
                <c:pt idx="133">
                  <c:v>2801.281561536754</c:v>
                </c:pt>
                <c:pt idx="134">
                  <c:v>2815.2879693444374</c:v>
                </c:pt>
                <c:pt idx="135">
                  <c:v>2829.3644091911601</c:v>
                </c:pt>
                <c:pt idx="136">
                  <c:v>2843.5112312371161</c:v>
                </c:pt>
                <c:pt idx="137">
                  <c:v>2857.728787393301</c:v>
                </c:pt>
                <c:pt idx="138">
                  <c:v>2872.0174313302678</c:v>
                </c:pt>
                <c:pt idx="139">
                  <c:v>2886.3775184869191</c:v>
                </c:pt>
                <c:pt idx="140">
                  <c:v>2900.8094060793537</c:v>
                </c:pt>
                <c:pt idx="141">
                  <c:v>2915.3134531097512</c:v>
                </c:pt>
                <c:pt idx="142">
                  <c:v>2929.8900203752996</c:v>
                </c:pt>
                <c:pt idx="143">
                  <c:v>2944.5394704771757</c:v>
                </c:pt>
                <c:pt idx="144">
                  <c:v>2959.2621678295613</c:v>
                </c:pt>
                <c:pt idx="145">
                  <c:v>2974.0584786687095</c:v>
                </c:pt>
                <c:pt idx="146">
                  <c:v>2988.9287710620533</c:v>
                </c:pt>
                <c:pt idx="147">
                  <c:v>3003.8734149173638</c:v>
                </c:pt>
                <c:pt idx="148">
                  <c:v>3018.8927819919504</c:v>
                </c:pt>
                <c:pt idx="149">
                  <c:v>3033.9872459019102</c:v>
                </c:pt>
                <c:pt idx="150">
                  <c:v>3049.1571821314196</c:v>
                </c:pt>
                <c:pt idx="151">
                  <c:v>3064.4029680420767</c:v>
                </c:pt>
                <c:pt idx="152">
                  <c:v>3079.7249828822869</c:v>
                </c:pt>
                <c:pt idx="153">
                  <c:v>3095.1236077966983</c:v>
                </c:pt>
                <c:pt idx="154">
                  <c:v>3110.5992258356819</c:v>
                </c:pt>
                <c:pt idx="155">
                  <c:v>3126.1522219648605</c:v>
                </c:pt>
                <c:pt idx="156">
                  <c:v>3141.782983074685</c:v>
                </c:pt>
                <c:pt idx="157">
                  <c:v>3157.4918979900581</c:v>
                </c:pt>
                <c:pt idx="158">
                  <c:v>3173.2793574800089</c:v>
                </c:pt>
                <c:pt idx="159">
                  <c:v>3189.1457542674088</c:v>
                </c:pt>
                <c:pt idx="160">
                  <c:v>3205.0914830387455</c:v>
                </c:pt>
                <c:pt idx="161">
                  <c:v>3221.1169404539392</c:v>
                </c:pt>
                <c:pt idx="162">
                  <c:v>3237.222525156209</c:v>
                </c:pt>
                <c:pt idx="163">
                  <c:v>3253.4086377819904</c:v>
                </c:pt>
                <c:pt idx="164">
                  <c:v>3269.6756809709</c:v>
                </c:pt>
                <c:pt idx="165">
                  <c:v>3286.0240593757544</c:v>
                </c:pt>
                <c:pt idx="166">
                  <c:v>3302.4541796726339</c:v>
                </c:pt>
                <c:pt idx="167">
                  <c:v>3318.9664505709966</c:v>
                </c:pt>
                <c:pt idx="168">
                  <c:v>3335.5612828238509</c:v>
                </c:pt>
                <c:pt idx="169">
                  <c:v>3352.2390892379703</c:v>
                </c:pt>
                <c:pt idx="170">
                  <c:v>3369.0002846841608</c:v>
                </c:pt>
                <c:pt idx="171">
                  <c:v>3385.8452861075807</c:v>
                </c:pt>
                <c:pt idx="172">
                  <c:v>3402.7745125381193</c:v>
                </c:pt>
                <c:pt idx="173">
                  <c:v>3419.7883851008096</c:v>
                </c:pt>
                <c:pt idx="174">
                  <c:v>3436.8873270263139</c:v>
                </c:pt>
                <c:pt idx="175">
                  <c:v>3454.0717636614459</c:v>
                </c:pt>
                <c:pt idx="176">
                  <c:v>3471.342122479753</c:v>
                </c:pt>
                <c:pt idx="177">
                  <c:v>3488.6988330921513</c:v>
                </c:pt>
                <c:pt idx="178">
                  <c:v>3506.1423272576121</c:v>
                </c:pt>
                <c:pt idx="179">
                  <c:v>3523.6730388938995</c:v>
                </c:pt>
                <c:pt idx="180">
                  <c:v>3541.2914040883697</c:v>
                </c:pt>
                <c:pt idx="181">
                  <c:v>3558.9978611088118</c:v>
                </c:pt>
                <c:pt idx="182">
                  <c:v>3576.7928504143556</c:v>
                </c:pt>
                <c:pt idx="183">
                  <c:v>3594.6768146664272</c:v>
                </c:pt>
                <c:pt idx="184">
                  <c:v>3612.6501987397596</c:v>
                </c:pt>
                <c:pt idx="185">
                  <c:v>3630.7134497334582</c:v>
                </c:pt>
                <c:pt idx="186">
                  <c:v>3648.8670169821253</c:v>
                </c:pt>
                <c:pt idx="187">
                  <c:v>3667.1113520670369</c:v>
                </c:pt>
                <c:pt idx="188">
                  <c:v>3685.4469088273718</c:v>
                </c:pt>
                <c:pt idx="189">
                  <c:v>3703.8741433715086</c:v>
                </c:pt>
                <c:pt idx="190">
                  <c:v>3722.3935140883655</c:v>
                </c:pt>
                <c:pt idx="191">
                  <c:v>3741.0054816588072</c:v>
                </c:pt>
                <c:pt idx="192">
                  <c:v>3759.7105090671016</c:v>
                </c:pt>
                <c:pt idx="193">
                  <c:v>3778.5090616124367</c:v>
                </c:pt>
                <c:pt idx="194">
                  <c:v>3797.4016069204995</c:v>
                </c:pt>
                <c:pt idx="195">
                  <c:v>3816.3886149551017</c:v>
                </c:pt>
                <c:pt idx="196">
                  <c:v>3835.4705580298773</c:v>
                </c:pt>
                <c:pt idx="197">
                  <c:v>3854.6479108200269</c:v>
                </c:pt>
                <c:pt idx="198">
                  <c:v>3873.9211503741276</c:v>
                </c:pt>
                <c:pt idx="199">
                  <c:v>3893.2907561259981</c:v>
                </c:pt>
                <c:pt idx="200">
                  <c:v>3912.7572099066274</c:v>
                </c:pt>
                <c:pt idx="201">
                  <c:v>3932.3209959561609</c:v>
                </c:pt>
                <c:pt idx="202">
                  <c:v>3951.9826009359422</c:v>
                </c:pt>
                <c:pt idx="203">
                  <c:v>3971.7425139406214</c:v>
                </c:pt>
                <c:pt idx="204">
                  <c:v>3991.6012265103245</c:v>
                </c:pt>
                <c:pt idx="205">
                  <c:v>4011.5592326428759</c:v>
                </c:pt>
                <c:pt idx="206">
                  <c:v>4031.6170288060903</c:v>
                </c:pt>
                <c:pt idx="207">
                  <c:v>4051.7751139501211</c:v>
                </c:pt>
                <c:pt idx="208">
                  <c:v>4072.0339895198717</c:v>
                </c:pt>
                <c:pt idx="209">
                  <c:v>4092.3941594674711</c:v>
                </c:pt>
                <c:pt idx="210">
                  <c:v>4112.8561302648077</c:v>
                </c:pt>
                <c:pt idx="211">
                  <c:v>4133.4204109161319</c:v>
                </c:pt>
                <c:pt idx="212">
                  <c:v>4154.0875129707129</c:v>
                </c:pt>
                <c:pt idx="213">
                  <c:v>4174.8579505355665</c:v>
                </c:pt>
                <c:pt idx="214">
                  <c:v>4195.7322402882446</c:v>
                </c:pt>
                <c:pt idx="215">
                  <c:v>4216.710901489686</c:v>
                </c:pt>
                <c:pt idx="216">
                  <c:v>4237.7944559971338</c:v>
                </c:pt>
                <c:pt idx="217">
                  <c:v>4258.9834282771189</c:v>
                </c:pt>
                <c:pt idx="218">
                  <c:v>4280.2783454185046</c:v>
                </c:pt>
                <c:pt idx="219">
                  <c:v>4301.6797371455978</c:v>
                </c:pt>
                <c:pt idx="220">
                  <c:v>4323.1881358313258</c:v>
                </c:pt>
                <c:pt idx="221">
                  <c:v>4344.8040765104824</c:v>
                </c:pt>
                <c:pt idx="222">
                  <c:v>4366.5280968930356</c:v>
                </c:pt>
                <c:pt idx="223">
                  <c:v>4388.3607373774994</c:v>
                </c:pt>
                <c:pt idx="224">
                  <c:v>4410.3025410643877</c:v>
                </c:pt>
                <c:pt idx="225">
                  <c:v>4432.3540537697099</c:v>
                </c:pt>
                <c:pt idx="226">
                  <c:v>4454.5158240385581</c:v>
                </c:pt>
                <c:pt idx="227">
                  <c:v>4476.788403158751</c:v>
                </c:pt>
                <c:pt idx="228">
                  <c:v>4499.1723451745447</c:v>
                </c:pt>
                <c:pt idx="229">
                  <c:v>4521.6682069004173</c:v>
                </c:pt>
                <c:pt idx="230">
                  <c:v>4544.2765479349191</c:v>
                </c:pt>
                <c:pt idx="231">
                  <c:v>4566.9979306745945</c:v>
                </c:pt>
                <c:pt idx="232">
                  <c:v>4589.8329203279673</c:v>
                </c:pt>
                <c:pt idx="233">
                  <c:v>4612.7820849296068</c:v>
                </c:pt>
                <c:pt idx="234">
                  <c:v>4635.8459953542551</c:v>
                </c:pt>
                <c:pt idx="235">
                  <c:v>4659.0252253310264</c:v>
                </c:pt>
                <c:pt idx="236">
                  <c:v>4682.3203514576808</c:v>
                </c:pt>
                <c:pt idx="237">
                  <c:v>4705.7319532149695</c:v>
                </c:pt>
                <c:pt idx="238">
                  <c:v>4729.2606129810447</c:v>
                </c:pt>
                <c:pt idx="239">
                  <c:v>4752.9069160459494</c:v>
                </c:pt>
                <c:pt idx="240">
                  <c:v>4776.6714506261796</c:v>
                </c:pt>
                <c:pt idx="241">
                  <c:v>4800.5548078793099</c:v>
                </c:pt>
                <c:pt idx="242">
                  <c:v>4824.557581918707</c:v>
                </c:pt>
                <c:pt idx="243">
                  <c:v>4848.6803698283002</c:v>
                </c:pt>
                <c:pt idx="244">
                  <c:v>4872.9237716774423</c:v>
                </c:pt>
                <c:pt idx="245">
                  <c:v>4897.2883905358294</c:v>
                </c:pt>
                <c:pt idx="246">
                  <c:v>4921.7748324885088</c:v>
                </c:pt>
                <c:pt idx="247">
                  <c:v>4946.3837066509504</c:v>
                </c:pt>
                <c:pt idx="248">
                  <c:v>4971.1156251842049</c:v>
                </c:pt>
                <c:pt idx="249">
                  <c:v>4995.9712033101268</c:v>
                </c:pt>
                <c:pt idx="250">
                  <c:v>5020.9510593266768</c:v>
                </c:pt>
                <c:pt idx="251">
                  <c:v>5046.0558146233116</c:v>
                </c:pt>
                <c:pt idx="252">
                  <c:v>5071.2860936964271</c:v>
                </c:pt>
                <c:pt idx="253">
                  <c:v>5096.6425241649094</c:v>
                </c:pt>
                <c:pt idx="254">
                  <c:v>5122.1257367857343</c:v>
                </c:pt>
                <c:pt idx="255">
                  <c:v>5147.7363654696628</c:v>
                </c:pt>
                <c:pt idx="256">
                  <c:v>5173.4750472970109</c:v>
                </c:pt>
                <c:pt idx="257">
                  <c:v>5199.3424225334957</c:v>
                </c:pt>
                <c:pt idx="258">
                  <c:v>5225.339134646164</c:v>
                </c:pt>
                <c:pt idx="259">
                  <c:v>5251.4658303193946</c:v>
                </c:pt>
                <c:pt idx="260">
                  <c:v>5277.723159470991</c:v>
                </c:pt>
                <c:pt idx="261">
                  <c:v>5304.1117752683467</c:v>
                </c:pt>
                <c:pt idx="262">
                  <c:v>5330.6323341446887</c:v>
                </c:pt>
                <c:pt idx="263">
                  <c:v>5357.2854958154121</c:v>
                </c:pt>
                <c:pt idx="264">
                  <c:v>5384.0719232944894</c:v>
                </c:pt>
                <c:pt idx="265">
                  <c:v>5410.9922829109619</c:v>
                </c:pt>
                <c:pt idx="266">
                  <c:v>5438.0472443255157</c:v>
                </c:pt>
                <c:pt idx="267">
                  <c:v>5465.2374805471427</c:v>
                </c:pt>
                <c:pt idx="268">
                  <c:v>5492.5636679498793</c:v>
                </c:pt>
                <c:pt idx="269">
                  <c:v>5520.0264862896283</c:v>
                </c:pt>
                <c:pt idx="270">
                  <c:v>5547.6266187210767</c:v>
                </c:pt>
                <c:pt idx="271">
                  <c:v>5575.3647518146818</c:v>
                </c:pt>
                <c:pt idx="272">
                  <c:v>5603.2415755737566</c:v>
                </c:pt>
                <c:pt idx="273">
                  <c:v>5631.2577834516242</c:v>
                </c:pt>
                <c:pt idx="274">
                  <c:v>5659.4140723688824</c:v>
                </c:pt>
                <c:pt idx="275">
                  <c:v>5687.7111427307273</c:v>
                </c:pt>
                <c:pt idx="276">
                  <c:v>5716.1496984443802</c:v>
                </c:pt>
                <c:pt idx="277">
                  <c:v>5744.7304469366027</c:v>
                </c:pt>
                <c:pt idx="278">
                  <c:v>5773.4540991712847</c:v>
                </c:pt>
                <c:pt idx="279">
                  <c:v>5802.3213696671419</c:v>
                </c:pt>
                <c:pt idx="280">
                  <c:v>5831.3329765154785</c:v>
                </c:pt>
                <c:pt idx="281">
                  <c:v>5860.489641398055</c:v>
                </c:pt>
                <c:pt idx="282">
                  <c:v>5889.7920896050455</c:v>
                </c:pt>
                <c:pt idx="283">
                  <c:v>5919.2410500530705</c:v>
                </c:pt>
                <c:pt idx="284">
                  <c:v>5948.837255303336</c:v>
                </c:pt>
                <c:pt idx="285">
                  <c:v>5978.5814415798523</c:v>
                </c:pt>
                <c:pt idx="286">
                  <c:v>6008.4743487877513</c:v>
                </c:pt>
                <c:pt idx="287">
                  <c:v>6038.5167205316902</c:v>
                </c:pt>
                <c:pt idx="288">
                  <c:v>6068.7093041343487</c:v>
                </c:pt>
                <c:pt idx="289">
                  <c:v>6099.0528506550208</c:v>
                </c:pt>
                <c:pt idx="290">
                  <c:v>6129.5481149082962</c:v>
                </c:pt>
                <c:pt idx="291">
                  <c:v>6160.1958554828379</c:v>
                </c:pt>
                <c:pt idx="292">
                  <c:v>6190.9968347602517</c:v>
                </c:pt>
                <c:pt idx="293">
                  <c:v>6221.9518189340524</c:v>
                </c:pt>
                <c:pt idx="294">
                  <c:v>6253.0615780287235</c:v>
                </c:pt>
                <c:pt idx="295">
                  <c:v>6284.3268859188665</c:v>
                </c:pt>
                <c:pt idx="296">
                  <c:v>6315.7485203484612</c:v>
                </c:pt>
                <c:pt idx="297">
                  <c:v>6347.3272629502035</c:v>
                </c:pt>
                <c:pt idx="298">
                  <c:v>6379.0638992649547</c:v>
                </c:pt>
                <c:pt idx="299">
                  <c:v>6410.9592187612798</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smooth val="0"/>
        </c:ser>
        <c:dLbls>
          <c:showLegendKey val="0"/>
          <c:showVal val="0"/>
          <c:showCatName val="0"/>
          <c:showSerName val="0"/>
          <c:showPercent val="0"/>
          <c:showBubbleSize val="0"/>
        </c:dLbls>
        <c:marker val="1"/>
        <c:smooth val="0"/>
        <c:axId val="77964800"/>
        <c:axId val="77966336"/>
      </c:lineChart>
      <c:catAx>
        <c:axId val="77964800"/>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Garamond"/>
                <a:ea typeface="Garamond"/>
                <a:cs typeface="Garamond"/>
              </a:defRPr>
            </a:pPr>
            <a:endParaRPr lang="en-US"/>
          </a:p>
        </c:txPr>
        <c:crossAx val="77966336"/>
        <c:crosses val="autoZero"/>
        <c:auto val="1"/>
        <c:lblAlgn val="ctr"/>
        <c:lblOffset val="100"/>
        <c:noMultiLvlLbl val="0"/>
      </c:catAx>
      <c:valAx>
        <c:axId val="77966336"/>
        <c:scaling>
          <c:orientation val="minMax"/>
          <c:min val="0"/>
        </c:scaling>
        <c:delete val="0"/>
        <c:axPos val="l"/>
        <c:numFmt formatCode="&quot;$&quot;#,##0_);[Red]\(&quot;$&quot;#,##0\)" sourceLinked="1"/>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en-US"/>
          </a:p>
        </c:txPr>
        <c:crossAx val="77964800"/>
        <c:crosses val="autoZero"/>
        <c:crossBetween val="between"/>
      </c:valAx>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 l="0.70000000000000095" r="0.70000000000000095" t="0.750000000000002"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1" i="0" u="none" strike="noStrike" baseline="0">
                <a:solidFill>
                  <a:srgbClr val="000000"/>
                </a:solidFill>
                <a:latin typeface="Garamond"/>
                <a:ea typeface="Garamond"/>
                <a:cs typeface="Garamond"/>
              </a:defRPr>
            </a:pPr>
            <a:r>
              <a:rPr lang="en-US"/>
              <a:t>Loan Ending Balance</a:t>
            </a:r>
          </a:p>
        </c:rich>
      </c:tx>
      <c:layout>
        <c:manualLayout>
          <c:xMode val="edge"/>
          <c:yMode val="edge"/>
          <c:x val="0.33434206341421402"/>
          <c:y val="3.3307697002990903E-2"/>
        </c:manualLayout>
      </c:layout>
      <c:overlay val="0"/>
    </c:title>
    <c:autoTitleDeleted val="0"/>
    <c:plotArea>
      <c:layout>
        <c:manualLayout>
          <c:layoutTarget val="inner"/>
          <c:xMode val="edge"/>
          <c:yMode val="edge"/>
          <c:x val="0.14992927864215"/>
          <c:y val="8.0338266384778007E-2"/>
          <c:w val="0.83875530410183896"/>
          <c:h val="0.82875264270613103"/>
        </c:manualLayout>
      </c:layout>
      <c:lineChart>
        <c:grouping val="stacked"/>
        <c:varyColors val="0"/>
        <c:ser>
          <c:idx val="0"/>
          <c:order val="0"/>
          <c:marker>
            <c:symbol val="none"/>
          </c:marker>
          <c:val>
            <c:numRef>
              <c:f>'Mortgage Payment Exercise'!$K$12:$K$371</c:f>
              <c:numCache>
                <c:formatCode>"$"#,##0_);[Red]\("$"#,##0\)</c:formatCode>
                <c:ptCount val="360"/>
                <c:pt idx="0">
                  <c:v>998556.98598514497</c:v>
                </c:pt>
                <c:pt idx="1">
                  <c:v>997106.75690021564</c:v>
                </c:pt>
                <c:pt idx="2">
                  <c:v>995649.27666986163</c:v>
                </c:pt>
                <c:pt idx="3">
                  <c:v>994184.5090383559</c:v>
                </c:pt>
                <c:pt idx="4">
                  <c:v>992712.41756869259</c:v>
                </c:pt>
                <c:pt idx="5">
                  <c:v>991232.96564168099</c:v>
                </c:pt>
                <c:pt idx="6">
                  <c:v>989746.11645503435</c:v>
                </c:pt>
                <c:pt idx="7">
                  <c:v>988251.8330224544</c:v>
                </c:pt>
                <c:pt idx="8">
                  <c:v>986750.07817271154</c:v>
                </c:pt>
                <c:pt idx="9">
                  <c:v>985240.81454872002</c:v>
                </c:pt>
                <c:pt idx="10">
                  <c:v>983724.00460660853</c:v>
                </c:pt>
                <c:pt idx="11">
                  <c:v>982199.61061478651</c:v>
                </c:pt>
                <c:pt idx="12">
                  <c:v>980667.59465300536</c:v>
                </c:pt>
                <c:pt idx="13">
                  <c:v>979127.91861141531</c:v>
                </c:pt>
                <c:pt idx="14">
                  <c:v>977580.54418961727</c:v>
                </c:pt>
                <c:pt idx="15">
                  <c:v>976025.43289571023</c:v>
                </c:pt>
                <c:pt idx="16">
                  <c:v>974462.54604533373</c:v>
                </c:pt>
                <c:pt idx="17">
                  <c:v>972891.84476070537</c:v>
                </c:pt>
                <c:pt idx="18">
                  <c:v>971313.28996965382</c:v>
                </c:pt>
                <c:pt idx="19">
                  <c:v>969726.84240464703</c:v>
                </c:pt>
                <c:pt idx="20">
                  <c:v>968132.46260181523</c:v>
                </c:pt>
                <c:pt idx="21">
                  <c:v>966530.11089996924</c:v>
                </c:pt>
                <c:pt idx="22">
                  <c:v>964919.74743961403</c:v>
                </c:pt>
                <c:pt idx="23">
                  <c:v>963301.33216195705</c:v>
                </c:pt>
                <c:pt idx="24">
                  <c:v>961674.82480791176</c:v>
                </c:pt>
                <c:pt idx="25">
                  <c:v>960040.18491709628</c:v>
                </c:pt>
                <c:pt idx="26">
                  <c:v>958397.37182682671</c:v>
                </c:pt>
                <c:pt idx="27">
                  <c:v>956746.34467110573</c:v>
                </c:pt>
                <c:pt idx="28">
                  <c:v>955087.06237960618</c:v>
                </c:pt>
                <c:pt idx="29">
                  <c:v>953419.48367664916</c:v>
                </c:pt>
                <c:pt idx="30">
                  <c:v>951743.56708017737</c:v>
                </c:pt>
                <c:pt idx="31">
                  <c:v>950059.27090072318</c:v>
                </c:pt>
                <c:pt idx="32">
                  <c:v>948366.55324037175</c:v>
                </c:pt>
                <c:pt idx="33">
                  <c:v>946665.37199171854</c:v>
                </c:pt>
                <c:pt idx="34">
                  <c:v>944955.6848368221</c:v>
                </c:pt>
                <c:pt idx="35">
                  <c:v>943237.44924615114</c:v>
                </c:pt>
                <c:pt idx="36">
                  <c:v>941510.62247752678</c:v>
                </c:pt>
                <c:pt idx="37">
                  <c:v>939775.16157505929</c:v>
                </c:pt>
                <c:pt idx="38">
                  <c:v>938031.02336807945</c:v>
                </c:pt>
                <c:pt idx="39">
                  <c:v>936278.1644700648</c:v>
                </c:pt>
                <c:pt idx="40">
                  <c:v>934516.54127756006</c:v>
                </c:pt>
                <c:pt idx="41">
                  <c:v>932746.10996909277</c:v>
                </c:pt>
                <c:pt idx="42">
                  <c:v>930966.82650408312</c:v>
                </c:pt>
                <c:pt idx="43">
                  <c:v>929178.64662174846</c:v>
                </c:pt>
                <c:pt idx="44">
                  <c:v>927381.52584000211</c:v>
                </c:pt>
                <c:pt idx="45">
                  <c:v>925575.41945434699</c:v>
                </c:pt>
                <c:pt idx="46">
                  <c:v>923760.2825367637</c:v>
                </c:pt>
                <c:pt idx="47">
                  <c:v>921936.06993459247</c:v>
                </c:pt>
                <c:pt idx="48">
                  <c:v>920102.73626941035</c:v>
                </c:pt>
                <c:pt idx="49">
                  <c:v>918260.23593590234</c:v>
                </c:pt>
                <c:pt idx="50">
                  <c:v>916408.52310072677</c:v>
                </c:pt>
                <c:pt idx="51">
                  <c:v>914547.55170137528</c:v>
                </c:pt>
                <c:pt idx="52">
                  <c:v>912677.27544502704</c:v>
                </c:pt>
                <c:pt idx="53">
                  <c:v>910797.64780739706</c:v>
                </c:pt>
                <c:pt idx="54">
                  <c:v>908908.62203157891</c:v>
                </c:pt>
                <c:pt idx="55">
                  <c:v>907010.15112688171</c:v>
                </c:pt>
                <c:pt idx="56">
                  <c:v>905102.18786766101</c:v>
                </c:pt>
                <c:pt idx="57">
                  <c:v>903184.68479214422</c:v>
                </c:pt>
                <c:pt idx="58">
                  <c:v>901257.59420124989</c:v>
                </c:pt>
                <c:pt idx="59">
                  <c:v>899320.8681574011</c:v>
                </c:pt>
                <c:pt idx="60">
                  <c:v>897374.458483333</c:v>
                </c:pt>
                <c:pt idx="61">
                  <c:v>895418.31676089461</c:v>
                </c:pt>
                <c:pt idx="62">
                  <c:v>893452.39432984404</c:v>
                </c:pt>
                <c:pt idx="63">
                  <c:v>891476.64228663815</c:v>
                </c:pt>
                <c:pt idx="64">
                  <c:v>889491.01148321619</c:v>
                </c:pt>
                <c:pt idx="65">
                  <c:v>887495.45252577716</c:v>
                </c:pt>
                <c:pt idx="66">
                  <c:v>885489.91577355098</c:v>
                </c:pt>
                <c:pt idx="67">
                  <c:v>883474.3513375636</c:v>
                </c:pt>
                <c:pt idx="68">
                  <c:v>881448.70907939633</c:v>
                </c:pt>
                <c:pt idx="69">
                  <c:v>879412.93860993825</c:v>
                </c:pt>
                <c:pt idx="70">
                  <c:v>877366.98928813287</c:v>
                </c:pt>
                <c:pt idx="71">
                  <c:v>875310.81021971849</c:v>
                </c:pt>
                <c:pt idx="72">
                  <c:v>873244.350255962</c:v>
                </c:pt>
                <c:pt idx="73">
                  <c:v>871167.55799238675</c:v>
                </c:pt>
                <c:pt idx="74">
                  <c:v>869080.38176749356</c:v>
                </c:pt>
                <c:pt idx="75">
                  <c:v>866982.7696614759</c:v>
                </c:pt>
                <c:pt idx="76">
                  <c:v>864874.66949492821</c:v>
                </c:pt>
                <c:pt idx="77">
                  <c:v>862756.02882754779</c:v>
                </c:pt>
                <c:pt idx="78">
                  <c:v>860626.79495683045</c:v>
                </c:pt>
                <c:pt idx="79">
                  <c:v>858486.91491675947</c:v>
                </c:pt>
                <c:pt idx="80">
                  <c:v>856336.33547648822</c:v>
                </c:pt>
                <c:pt idx="81">
                  <c:v>854175.00313901552</c:v>
                </c:pt>
                <c:pt idx="82">
                  <c:v>852002.86413985549</c:v>
                </c:pt>
                <c:pt idx="83">
                  <c:v>849819.86444569973</c:v>
                </c:pt>
                <c:pt idx="84">
                  <c:v>847625.94975307316</c:v>
                </c:pt>
                <c:pt idx="85">
                  <c:v>845421.0654869834</c:v>
                </c:pt>
                <c:pt idx="86">
                  <c:v>843205.15679956321</c:v>
                </c:pt>
                <c:pt idx="87">
                  <c:v>840978.16856870591</c:v>
                </c:pt>
                <c:pt idx="88">
                  <c:v>838740.04539669433</c:v>
                </c:pt>
                <c:pt idx="89">
                  <c:v>836490.73160882271</c:v>
                </c:pt>
                <c:pt idx="90">
                  <c:v>834230.17125201179</c:v>
                </c:pt>
                <c:pt idx="91">
                  <c:v>831958.30809341674</c:v>
                </c:pt>
                <c:pt idx="92">
                  <c:v>829675.08561902877</c:v>
                </c:pt>
                <c:pt idx="93">
                  <c:v>827380.44703226886</c:v>
                </c:pt>
                <c:pt idx="94">
                  <c:v>825074.33525257511</c:v>
                </c:pt>
                <c:pt idx="95">
                  <c:v>822756.6929139829</c:v>
                </c:pt>
                <c:pt idx="96">
                  <c:v>820427.4623636977</c:v>
                </c:pt>
                <c:pt idx="97">
                  <c:v>818086.58566066111</c:v>
                </c:pt>
                <c:pt idx="98">
                  <c:v>815734.00457410933</c:v>
                </c:pt>
                <c:pt idx="99">
                  <c:v>813369.66058212484</c:v>
                </c:pt>
                <c:pt idx="100">
                  <c:v>810993.49487018038</c:v>
                </c:pt>
                <c:pt idx="101">
                  <c:v>808605.44832967618</c:v>
                </c:pt>
                <c:pt idx="102">
                  <c:v>806205.46155646944</c:v>
                </c:pt>
                <c:pt idx="103">
                  <c:v>803793.47484939673</c:v>
                </c:pt>
                <c:pt idx="104">
                  <c:v>801369.42820878862</c:v>
                </c:pt>
                <c:pt idx="105">
                  <c:v>798933.26133497746</c:v>
                </c:pt>
                <c:pt idx="106">
                  <c:v>796484.91362679726</c:v>
                </c:pt>
                <c:pt idx="107">
                  <c:v>794024.32418007613</c:v>
                </c:pt>
                <c:pt idx="108">
                  <c:v>791551.43178612145</c:v>
                </c:pt>
                <c:pt idx="109">
                  <c:v>789066.17493019695</c:v>
                </c:pt>
                <c:pt idx="110">
                  <c:v>786568.4917899929</c:v>
                </c:pt>
                <c:pt idx="111">
                  <c:v>784058.32023408776</c:v>
                </c:pt>
                <c:pt idx="112">
                  <c:v>781535.59782040305</c:v>
                </c:pt>
                <c:pt idx="113">
                  <c:v>779000.26179465</c:v>
                </c:pt>
                <c:pt idx="114">
                  <c:v>776452.24908876815</c:v>
                </c:pt>
                <c:pt idx="115">
                  <c:v>773891.49631935696</c:v>
                </c:pt>
                <c:pt idx="116">
                  <c:v>771317.93978609866</c:v>
                </c:pt>
                <c:pt idx="117">
                  <c:v>768731.51547017402</c:v>
                </c:pt>
                <c:pt idx="118">
                  <c:v>766132.15903266985</c:v>
                </c:pt>
                <c:pt idx="119">
                  <c:v>763519.80581297807</c:v>
                </c:pt>
                <c:pt idx="120">
                  <c:v>760894.39082718792</c:v>
                </c:pt>
                <c:pt idx="121">
                  <c:v>758255.84876646881</c:v>
                </c:pt>
                <c:pt idx="122">
                  <c:v>755604.11399544613</c:v>
                </c:pt>
                <c:pt idx="123">
                  <c:v>752939.12055056822</c:v>
                </c:pt>
                <c:pt idx="124">
                  <c:v>750260.80213846592</c:v>
                </c:pt>
                <c:pt idx="125">
                  <c:v>747569.09213430318</c:v>
                </c:pt>
                <c:pt idx="126">
                  <c:v>744863.92358011962</c:v>
                </c:pt>
                <c:pt idx="127">
                  <c:v>742145.22918316512</c:v>
                </c:pt>
                <c:pt idx="128">
                  <c:v>739412.9413142259</c:v>
                </c:pt>
                <c:pt idx="129">
                  <c:v>736666.99200594192</c:v>
                </c:pt>
                <c:pt idx="130">
                  <c:v>733907.31295111659</c:v>
                </c:pt>
                <c:pt idx="131">
                  <c:v>731133.83550101705</c:v>
                </c:pt>
                <c:pt idx="132">
                  <c:v>728346.49066366709</c:v>
                </c:pt>
                <c:pt idx="133">
                  <c:v>725545.20910213038</c:v>
                </c:pt>
                <c:pt idx="134">
                  <c:v>722729.92113278597</c:v>
                </c:pt>
                <c:pt idx="135">
                  <c:v>719900.55672359478</c:v>
                </c:pt>
                <c:pt idx="136">
                  <c:v>717057.04549235769</c:v>
                </c:pt>
                <c:pt idx="137">
                  <c:v>714199.31670496438</c:v>
                </c:pt>
                <c:pt idx="138">
                  <c:v>711327.2992736341</c:v>
                </c:pt>
                <c:pt idx="139">
                  <c:v>708440.92175514717</c:v>
                </c:pt>
                <c:pt idx="140">
                  <c:v>705540.11234906781</c:v>
                </c:pt>
                <c:pt idx="141">
                  <c:v>702624.79889595811</c:v>
                </c:pt>
                <c:pt idx="142">
                  <c:v>699694.90887558286</c:v>
                </c:pt>
                <c:pt idx="143">
                  <c:v>696750.36940510571</c:v>
                </c:pt>
                <c:pt idx="144">
                  <c:v>693791.10723727616</c:v>
                </c:pt>
                <c:pt idx="145">
                  <c:v>690817.04875860747</c:v>
                </c:pt>
                <c:pt idx="146">
                  <c:v>687828.11998754542</c:v>
                </c:pt>
                <c:pt idx="147">
                  <c:v>684824.24657262804</c:v>
                </c:pt>
                <c:pt idx="148">
                  <c:v>681805.35379063606</c:v>
                </c:pt>
                <c:pt idx="149">
                  <c:v>678771.3665447341</c:v>
                </c:pt>
                <c:pt idx="150">
                  <c:v>675722.20936260268</c:v>
                </c:pt>
                <c:pt idx="151">
                  <c:v>672657.80639456061</c:v>
                </c:pt>
                <c:pt idx="152">
                  <c:v>669578.08141167834</c:v>
                </c:pt>
                <c:pt idx="153">
                  <c:v>666482.95780388161</c:v>
                </c:pt>
                <c:pt idx="154">
                  <c:v>663372.35857804597</c:v>
                </c:pt>
                <c:pt idx="155">
                  <c:v>660246.20635608106</c:v>
                </c:pt>
                <c:pt idx="156">
                  <c:v>657104.4233730064</c:v>
                </c:pt>
                <c:pt idx="157">
                  <c:v>653946.93147501629</c:v>
                </c:pt>
                <c:pt idx="158">
                  <c:v>650773.65211753629</c:v>
                </c:pt>
                <c:pt idx="159">
                  <c:v>647584.50636326883</c:v>
                </c:pt>
                <c:pt idx="160">
                  <c:v>644379.41488023009</c:v>
                </c:pt>
                <c:pt idx="161">
                  <c:v>641158.29793977621</c:v>
                </c:pt>
                <c:pt idx="162">
                  <c:v>637921.07541461999</c:v>
                </c:pt>
                <c:pt idx="163">
                  <c:v>634667.66677683801</c:v>
                </c:pt>
                <c:pt idx="164">
                  <c:v>631397.99109586712</c:v>
                </c:pt>
                <c:pt idx="165">
                  <c:v>628111.96703649138</c:v>
                </c:pt>
                <c:pt idx="166">
                  <c:v>624809.51285681874</c:v>
                </c:pt>
                <c:pt idx="167">
                  <c:v>621490.54640624777</c:v>
                </c:pt>
                <c:pt idx="168">
                  <c:v>618154.98512342398</c:v>
                </c:pt>
                <c:pt idx="169">
                  <c:v>614802.74603418598</c:v>
                </c:pt>
                <c:pt idx="170">
                  <c:v>611433.74574950186</c:v>
                </c:pt>
                <c:pt idx="171">
                  <c:v>608047.90046339424</c:v>
                </c:pt>
                <c:pt idx="172">
                  <c:v>604645.12595085613</c:v>
                </c:pt>
                <c:pt idx="173">
                  <c:v>601225.33756575536</c:v>
                </c:pt>
                <c:pt idx="174">
                  <c:v>597788.45023872901</c:v>
                </c:pt>
                <c:pt idx="175">
                  <c:v>594334.37847506755</c:v>
                </c:pt>
                <c:pt idx="176">
                  <c:v>590863.03635258775</c:v>
                </c:pt>
                <c:pt idx="177">
                  <c:v>587374.33751949563</c:v>
                </c:pt>
                <c:pt idx="178">
                  <c:v>583868.19519223797</c:v>
                </c:pt>
                <c:pt idx="179">
                  <c:v>580344.52215334412</c:v>
                </c:pt>
                <c:pt idx="180">
                  <c:v>576803.23074925574</c:v>
                </c:pt>
                <c:pt idx="181">
                  <c:v>573244.23288814689</c:v>
                </c:pt>
                <c:pt idx="182">
                  <c:v>569667.44003773248</c:v>
                </c:pt>
                <c:pt idx="183">
                  <c:v>566072.76322306599</c:v>
                </c:pt>
                <c:pt idx="184">
                  <c:v>562460.11302432627</c:v>
                </c:pt>
                <c:pt idx="185">
                  <c:v>558829.39957459283</c:v>
                </c:pt>
                <c:pt idx="186">
                  <c:v>555180.53255761066</c:v>
                </c:pt>
                <c:pt idx="187">
                  <c:v>551513.42120554356</c:v>
                </c:pt>
                <c:pt idx="188">
                  <c:v>547827.97429671616</c:v>
                </c:pt>
                <c:pt idx="189">
                  <c:v>544124.10015334468</c:v>
                </c:pt>
                <c:pt idx="190">
                  <c:v>540401.70663925633</c:v>
                </c:pt>
                <c:pt idx="191">
                  <c:v>536660.70115759748</c:v>
                </c:pt>
                <c:pt idx="192">
                  <c:v>532900.99064853042</c:v>
                </c:pt>
                <c:pt idx="193">
                  <c:v>529122.481586918</c:v>
                </c:pt>
                <c:pt idx="194">
                  <c:v>525325.07997999748</c:v>
                </c:pt>
                <c:pt idx="195">
                  <c:v>521508.69136504235</c:v>
                </c:pt>
                <c:pt idx="196">
                  <c:v>517673.22080701246</c:v>
                </c:pt>
                <c:pt idx="197">
                  <c:v>513818.57289619243</c:v>
                </c:pt>
                <c:pt idx="198">
                  <c:v>509944.65174581832</c:v>
                </c:pt>
                <c:pt idx="199">
                  <c:v>506051.36098969233</c:v>
                </c:pt>
                <c:pt idx="200">
                  <c:v>502138.60377978568</c:v>
                </c:pt>
                <c:pt idx="201">
                  <c:v>498206.28278382955</c:v>
                </c:pt>
                <c:pt idx="202">
                  <c:v>494254.30018289358</c:v>
                </c:pt>
                <c:pt idx="203">
                  <c:v>490282.55766895297</c:v>
                </c:pt>
                <c:pt idx="204">
                  <c:v>486290.95644244266</c:v>
                </c:pt>
                <c:pt idx="205">
                  <c:v>482279.39720979979</c:v>
                </c:pt>
                <c:pt idx="206">
                  <c:v>478247.78018099372</c:v>
                </c:pt>
                <c:pt idx="207">
                  <c:v>474196.00506704359</c:v>
                </c:pt>
                <c:pt idx="208">
                  <c:v>470123.97107752372</c:v>
                </c:pt>
                <c:pt idx="209">
                  <c:v>466031.57691805623</c:v>
                </c:pt>
                <c:pt idx="210">
                  <c:v>461918.72078779142</c:v>
                </c:pt>
                <c:pt idx="211">
                  <c:v>457785.30037687527</c:v>
                </c:pt>
                <c:pt idx="212">
                  <c:v>453631.21286390454</c:v>
                </c:pt>
                <c:pt idx="213">
                  <c:v>449456.354913369</c:v>
                </c:pt>
                <c:pt idx="214">
                  <c:v>445260.62267308077</c:v>
                </c:pt>
                <c:pt idx="215">
                  <c:v>441043.91177159105</c:v>
                </c:pt>
                <c:pt idx="216">
                  <c:v>436806.11731559393</c:v>
                </c:pt>
                <c:pt idx="217">
                  <c:v>432547.1338873168</c:v>
                </c:pt>
                <c:pt idx="218">
                  <c:v>428266.85554189829</c:v>
                </c:pt>
                <c:pt idx="219">
                  <c:v>423965.17580475268</c:v>
                </c:pt>
                <c:pt idx="220">
                  <c:v>419641.98766892136</c:v>
                </c:pt>
                <c:pt idx="221">
                  <c:v>415297.18359241087</c:v>
                </c:pt>
                <c:pt idx="222">
                  <c:v>410930.65549551783</c:v>
                </c:pt>
                <c:pt idx="223">
                  <c:v>406542.29475814034</c:v>
                </c:pt>
                <c:pt idx="224">
                  <c:v>402131.99221707595</c:v>
                </c:pt>
                <c:pt idx="225">
                  <c:v>397699.63816330623</c:v>
                </c:pt>
                <c:pt idx="226">
                  <c:v>393245.12233926769</c:v>
                </c:pt>
                <c:pt idx="227">
                  <c:v>388768.33393610892</c:v>
                </c:pt>
                <c:pt idx="228">
                  <c:v>384269.16159093438</c:v>
                </c:pt>
                <c:pt idx="229">
                  <c:v>379747.49338403397</c:v>
                </c:pt>
                <c:pt idx="230">
                  <c:v>375203.21683609905</c:v>
                </c:pt>
                <c:pt idx="231">
                  <c:v>370636.21890542447</c:v>
                </c:pt>
                <c:pt idx="232">
                  <c:v>366046.38598509651</c:v>
                </c:pt>
                <c:pt idx="233">
                  <c:v>361433.60390016693</c:v>
                </c:pt>
                <c:pt idx="234">
                  <c:v>356797.75790481269</c:v>
                </c:pt>
                <c:pt idx="235">
                  <c:v>352138.73267948168</c:v>
                </c:pt>
                <c:pt idx="236">
                  <c:v>347456.41232802399</c:v>
                </c:pt>
                <c:pt idx="237">
                  <c:v>342750.68037480902</c:v>
                </c:pt>
                <c:pt idx="238">
                  <c:v>338021.41976182797</c:v>
                </c:pt>
                <c:pt idx="239">
                  <c:v>333268.51284578204</c:v>
                </c:pt>
                <c:pt idx="240">
                  <c:v>328491.84139515588</c:v>
                </c:pt>
                <c:pt idx="241">
                  <c:v>323691.28658727655</c:v>
                </c:pt>
                <c:pt idx="242">
                  <c:v>318866.72900535783</c:v>
                </c:pt>
                <c:pt idx="243">
                  <c:v>314018.04863552953</c:v>
                </c:pt>
                <c:pt idx="244">
                  <c:v>309145.12486385211</c:v>
                </c:pt>
                <c:pt idx="245">
                  <c:v>304247.8364733163</c:v>
                </c:pt>
                <c:pt idx="246">
                  <c:v>299326.0616408278</c:v>
                </c:pt>
                <c:pt idx="247">
                  <c:v>294379.67793417687</c:v>
                </c:pt>
                <c:pt idx="248">
                  <c:v>289408.56230899267</c:v>
                </c:pt>
                <c:pt idx="249">
                  <c:v>284412.59110568254</c:v>
                </c:pt>
                <c:pt idx="250">
                  <c:v>279391.64004635584</c:v>
                </c:pt>
                <c:pt idx="251">
                  <c:v>274345.58423173253</c:v>
                </c:pt>
                <c:pt idx="252">
                  <c:v>269274.2981380361</c:v>
                </c:pt>
                <c:pt idx="253">
                  <c:v>264177.65561387117</c:v>
                </c:pt>
                <c:pt idx="254">
                  <c:v>259055.52987708544</c:v>
                </c:pt>
                <c:pt idx="255">
                  <c:v>253907.79351161578</c:v>
                </c:pt>
                <c:pt idx="256">
                  <c:v>248734.31846431876</c:v>
                </c:pt>
                <c:pt idx="257">
                  <c:v>243534.97604178527</c:v>
                </c:pt>
                <c:pt idx="258">
                  <c:v>238309.63690713909</c:v>
                </c:pt>
                <c:pt idx="259">
                  <c:v>233058.17107681971</c:v>
                </c:pt>
                <c:pt idx="260">
                  <c:v>227780.44791734871</c:v>
                </c:pt>
                <c:pt idx="261">
                  <c:v>222476.33614208037</c:v>
                </c:pt>
                <c:pt idx="262">
                  <c:v>217145.70380793567</c:v>
                </c:pt>
                <c:pt idx="263">
                  <c:v>211788.41831212025</c:v>
                </c:pt>
                <c:pt idx="264">
                  <c:v>206404.34638882577</c:v>
                </c:pt>
                <c:pt idx="265">
                  <c:v>200993.3541059148</c:v>
                </c:pt>
                <c:pt idx="266">
                  <c:v>195555.30686158928</c:v>
                </c:pt>
                <c:pt idx="267">
                  <c:v>190090.06938104215</c:v>
                </c:pt>
                <c:pt idx="268">
                  <c:v>184597.50571309228</c:v>
                </c:pt>
                <c:pt idx="269">
                  <c:v>179077.47922680265</c:v>
                </c:pt>
                <c:pt idx="270">
                  <c:v>173529.85260808156</c:v>
                </c:pt>
                <c:pt idx="271">
                  <c:v>167954.48785626687</c:v>
                </c:pt>
                <c:pt idx="272">
                  <c:v>162351.24628069313</c:v>
                </c:pt>
                <c:pt idx="273">
                  <c:v>156719.98849724152</c:v>
                </c:pt>
                <c:pt idx="274">
                  <c:v>151060.57442487264</c:v>
                </c:pt>
                <c:pt idx="275">
                  <c:v>145372.86328214192</c:v>
                </c:pt>
                <c:pt idx="276">
                  <c:v>139656.71358369754</c:v>
                </c:pt>
                <c:pt idx="277">
                  <c:v>133911.98313676094</c:v>
                </c:pt>
                <c:pt idx="278">
                  <c:v>128138.52903758966</c:v>
                </c:pt>
                <c:pt idx="279">
                  <c:v>122336.20766792251</c:v>
                </c:pt>
                <c:pt idx="280">
                  <c:v>116504.87469140704</c:v>
                </c:pt>
                <c:pt idx="281">
                  <c:v>110644.38505000898</c:v>
                </c:pt>
                <c:pt idx="282">
                  <c:v>104754.59296040393</c:v>
                </c:pt>
                <c:pt idx="283">
                  <c:v>98835.351910350859</c:v>
                </c:pt>
                <c:pt idx="284">
                  <c:v>92886.514655047518</c:v>
                </c:pt>
                <c:pt idx="285">
                  <c:v>86907.933213467666</c:v>
                </c:pt>
                <c:pt idx="286">
                  <c:v>80899.458864679909</c:v>
                </c:pt>
                <c:pt idx="287">
                  <c:v>74860.942144148226</c:v>
                </c:pt>
                <c:pt idx="288">
                  <c:v>68792.232840013879</c:v>
                </c:pt>
                <c:pt idx="289">
                  <c:v>62693.179989358861</c:v>
                </c:pt>
                <c:pt idx="290">
                  <c:v>56563.631874450562</c:v>
                </c:pt>
                <c:pt idx="291">
                  <c:v>50403.436018967725</c:v>
                </c:pt>
                <c:pt idx="292">
                  <c:v>44212.439184207469</c:v>
                </c:pt>
                <c:pt idx="293">
                  <c:v>37990.487365273417</c:v>
                </c:pt>
                <c:pt idx="294">
                  <c:v>31737.425787244694</c:v>
                </c:pt>
                <c:pt idx="295">
                  <c:v>25453.09890132583</c:v>
                </c:pt>
                <c:pt idx="296">
                  <c:v>19137.350380977368</c:v>
                </c:pt>
                <c:pt idx="297">
                  <c:v>12790.023118027166</c:v>
                </c:pt>
                <c:pt idx="298">
                  <c:v>6410.9592187622111</c:v>
                </c:pt>
                <c:pt idx="299">
                  <c:v>9.3132257461547852E-10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smooth val="0"/>
        </c:ser>
        <c:dLbls>
          <c:showLegendKey val="0"/>
          <c:showVal val="0"/>
          <c:showCatName val="0"/>
          <c:showSerName val="0"/>
          <c:showPercent val="0"/>
          <c:showBubbleSize val="0"/>
        </c:dLbls>
        <c:marker val="1"/>
        <c:smooth val="0"/>
        <c:axId val="77777536"/>
        <c:axId val="77779328"/>
      </c:lineChart>
      <c:catAx>
        <c:axId val="77777536"/>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Garamond"/>
                <a:ea typeface="Garamond"/>
                <a:cs typeface="Garamond"/>
              </a:defRPr>
            </a:pPr>
            <a:endParaRPr lang="en-US"/>
          </a:p>
        </c:txPr>
        <c:crossAx val="77779328"/>
        <c:crosses val="autoZero"/>
        <c:auto val="1"/>
        <c:lblAlgn val="ctr"/>
        <c:lblOffset val="100"/>
        <c:noMultiLvlLbl val="0"/>
      </c:catAx>
      <c:valAx>
        <c:axId val="77779328"/>
        <c:scaling>
          <c:orientation val="minMax"/>
          <c:max val="1000000"/>
          <c:min val="0"/>
        </c:scaling>
        <c:delete val="0"/>
        <c:axPos val="l"/>
        <c:numFmt formatCode="&quot;$&quot;#,##0_);[Red]\(&quot;$&quot;#,##0\)" sourceLinked="1"/>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en-US"/>
          </a:p>
        </c:txPr>
        <c:crossAx val="77777536"/>
        <c:crosses val="autoZero"/>
        <c:crossBetween val="between"/>
        <c:majorUnit val="100000"/>
      </c:valAx>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 l="0.70000000000000095" r="0.70000000000000095" t="0.750000000000002"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1" i="0" u="none" strike="noStrike" baseline="0">
                <a:solidFill>
                  <a:srgbClr val="000000"/>
                </a:solidFill>
                <a:latin typeface="Garamond"/>
                <a:ea typeface="Garamond"/>
                <a:cs typeface="Garamond"/>
              </a:defRPr>
            </a:pPr>
            <a:r>
              <a:rPr lang="en-US"/>
              <a:t>Interest Payment</a:t>
            </a:r>
          </a:p>
        </c:rich>
      </c:tx>
      <c:layout>
        <c:manualLayout>
          <c:xMode val="edge"/>
          <c:yMode val="edge"/>
          <c:x val="0.32204379214502898"/>
          <c:y val="2.79729970194404E-2"/>
        </c:manualLayout>
      </c:layout>
      <c:overlay val="0"/>
    </c:title>
    <c:autoTitleDeleted val="0"/>
    <c:plotArea>
      <c:layout>
        <c:manualLayout>
          <c:layoutTarget val="inner"/>
          <c:xMode val="edge"/>
          <c:yMode val="edge"/>
          <c:x val="0.106232294617564"/>
          <c:y val="8.0508474576271402E-2"/>
          <c:w val="0.88101983002832895"/>
          <c:h val="0.82838983050847703"/>
        </c:manualLayout>
      </c:layout>
      <c:lineChart>
        <c:grouping val="stacked"/>
        <c:varyColors val="0"/>
        <c:ser>
          <c:idx val="1"/>
          <c:order val="0"/>
          <c:tx>
            <c:v>Interest</c:v>
          </c:tx>
          <c:spPr>
            <a:ln>
              <a:solidFill>
                <a:srgbClr val="FF0000"/>
              </a:solidFill>
            </a:ln>
          </c:spPr>
          <c:marker>
            <c:symbol val="none"/>
          </c:marker>
          <c:val>
            <c:numRef>
              <c:f>'Mortgage Payment Exercise'!$I$12:$I$371</c:f>
              <c:numCache>
                <c:formatCode>"$"#,##0_);[Red]\("$"#,##0\)</c:formatCode>
                <c:ptCount val="360"/>
                <c:pt idx="0">
                  <c:v>5000</c:v>
                </c:pt>
                <c:pt idx="1">
                  <c:v>4992.784929925725</c:v>
                </c:pt>
                <c:pt idx="2">
                  <c:v>4985.5337845010781</c:v>
                </c:pt>
                <c:pt idx="3">
                  <c:v>4978.2463833493084</c:v>
                </c:pt>
                <c:pt idx="4">
                  <c:v>4970.9225451917791</c:v>
                </c:pt>
                <c:pt idx="5">
                  <c:v>4963.5620878434629</c:v>
                </c:pt>
                <c:pt idx="6">
                  <c:v>4956.1648282084043</c:v>
                </c:pt>
                <c:pt idx="7">
                  <c:v>4948.7305822751714</c:v>
                </c:pt>
                <c:pt idx="8">
                  <c:v>4941.2591651122711</c:v>
                </c:pt>
                <c:pt idx="9">
                  <c:v>4933.7503908635572</c:v>
                </c:pt>
                <c:pt idx="10">
                  <c:v>4926.2040727435997</c:v>
                </c:pt>
                <c:pt idx="11">
                  <c:v>4918.6200230330423</c:v>
                </c:pt>
                <c:pt idx="12">
                  <c:v>4910.9980530739322</c:v>
                </c:pt>
                <c:pt idx="13">
                  <c:v>4903.3379732650264</c:v>
                </c:pt>
                <c:pt idx="14">
                  <c:v>4895.6395930570761</c:v>
                </c:pt>
                <c:pt idx="15">
                  <c:v>4887.9027209480855</c:v>
                </c:pt>
                <c:pt idx="16">
                  <c:v>4880.1271644785511</c:v>
                </c:pt>
                <c:pt idx="17">
                  <c:v>4872.3127302266676</c:v>
                </c:pt>
                <c:pt idx="18">
                  <c:v>4864.4592238035257</c:v>
                </c:pt>
                <c:pt idx="19">
                  <c:v>4856.5664498482683</c:v>
                </c:pt>
                <c:pt idx="20">
                  <c:v>4848.6342120232348</c:v>
                </c:pt>
                <c:pt idx="21">
                  <c:v>4840.6623130090757</c:v>
                </c:pt>
                <c:pt idx="22">
                  <c:v>4832.6505544998454</c:v>
                </c:pt>
                <c:pt idx="23">
                  <c:v>4824.5987371980682</c:v>
                </c:pt>
                <c:pt idx="24">
                  <c:v>4816.5066608097841</c:v>
                </c:pt>
                <c:pt idx="25">
                  <c:v>4808.3741240395575</c:v>
                </c:pt>
                <c:pt idx="26">
                  <c:v>4800.2009245854797</c:v>
                </c:pt>
                <c:pt idx="27">
                  <c:v>4791.986859134131</c:v>
                </c:pt>
                <c:pt idx="28">
                  <c:v>4783.7317233555268</c:v>
                </c:pt>
                <c:pt idx="29">
                  <c:v>4775.4353118980289</c:v>
                </c:pt>
                <c:pt idx="30">
                  <c:v>4767.0974183832432</c:v>
                </c:pt>
                <c:pt idx="31">
                  <c:v>4758.7178354008847</c:v>
                </c:pt>
                <c:pt idx="32">
                  <c:v>4750.2963545036127</c:v>
                </c:pt>
                <c:pt idx="33">
                  <c:v>4741.8327662018564</c:v>
                </c:pt>
                <c:pt idx="34">
                  <c:v>4733.3268599585899</c:v>
                </c:pt>
                <c:pt idx="35">
                  <c:v>4724.7784241841073</c:v>
                </c:pt>
                <c:pt idx="36">
                  <c:v>4716.1872462307529</c:v>
                </c:pt>
                <c:pt idx="37">
                  <c:v>4707.5531123876308</c:v>
                </c:pt>
                <c:pt idx="38">
                  <c:v>4698.8758078752935</c:v>
                </c:pt>
                <c:pt idx="39">
                  <c:v>4690.1551168403948</c:v>
                </c:pt>
                <c:pt idx="40">
                  <c:v>4681.3908223503213</c:v>
                </c:pt>
                <c:pt idx="41">
                  <c:v>4672.5827063877969</c:v>
                </c:pt>
                <c:pt idx="42">
                  <c:v>4663.7305498454607</c:v>
                </c:pt>
                <c:pt idx="43">
                  <c:v>4654.8341325204128</c:v>
                </c:pt>
                <c:pt idx="44">
                  <c:v>4645.8932331087399</c:v>
                </c:pt>
                <c:pt idx="45">
                  <c:v>4636.9076292000082</c:v>
                </c:pt>
                <c:pt idx="46">
                  <c:v>4627.8770972717321</c:v>
                </c:pt>
                <c:pt idx="47">
                  <c:v>4618.8014126838161</c:v>
                </c:pt>
                <c:pt idx="48">
                  <c:v>4609.680349672959</c:v>
                </c:pt>
                <c:pt idx="49">
                  <c:v>4600.513681347049</c:v>
                </c:pt>
                <c:pt idx="50">
                  <c:v>4591.3011796795081</c:v>
                </c:pt>
                <c:pt idx="51">
                  <c:v>4582.0426155036312</c:v>
                </c:pt>
                <c:pt idx="52">
                  <c:v>4572.7377585068734</c:v>
                </c:pt>
                <c:pt idx="53">
                  <c:v>4563.3863772251316</c:v>
                </c:pt>
                <c:pt idx="54">
                  <c:v>4553.9882390369821</c:v>
                </c:pt>
                <c:pt idx="55">
                  <c:v>4544.5431101578924</c:v>
                </c:pt>
                <c:pt idx="56">
                  <c:v>4535.0507556344064</c:v>
                </c:pt>
                <c:pt idx="57">
                  <c:v>4525.5109393383027</c:v>
                </c:pt>
                <c:pt idx="58">
                  <c:v>4515.9234239607185</c:v>
                </c:pt>
                <c:pt idx="59">
                  <c:v>4506.2879710062471</c:v>
                </c:pt>
                <c:pt idx="60">
                  <c:v>4496.604340787002</c:v>
                </c:pt>
                <c:pt idx="61">
                  <c:v>4486.8722924166614</c:v>
                </c:pt>
                <c:pt idx="62">
                  <c:v>4477.0915838044693</c:v>
                </c:pt>
                <c:pt idx="63">
                  <c:v>4467.2619716492172</c:v>
                </c:pt>
                <c:pt idx="64">
                  <c:v>4457.3832114331872</c:v>
                </c:pt>
                <c:pt idx="65">
                  <c:v>4447.4550574160776</c:v>
                </c:pt>
                <c:pt idx="66">
                  <c:v>4437.4772626288832</c:v>
                </c:pt>
                <c:pt idx="67">
                  <c:v>4427.4495788677514</c:v>
                </c:pt>
                <c:pt idx="68">
                  <c:v>4417.3717566878149</c:v>
                </c:pt>
                <c:pt idx="69">
                  <c:v>4407.2435453969792</c:v>
                </c:pt>
                <c:pt idx="70">
                  <c:v>4397.0646930496887</c:v>
                </c:pt>
                <c:pt idx="71">
                  <c:v>4386.834946440662</c:v>
                </c:pt>
                <c:pt idx="72">
                  <c:v>4376.5540510985893</c:v>
                </c:pt>
                <c:pt idx="73">
                  <c:v>4366.221751279807</c:v>
                </c:pt>
                <c:pt idx="74">
                  <c:v>4355.83778996193</c:v>
                </c:pt>
                <c:pt idx="75">
                  <c:v>4345.4019088374644</c:v>
                </c:pt>
                <c:pt idx="76">
                  <c:v>4334.9138483073766</c:v>
                </c:pt>
                <c:pt idx="77">
                  <c:v>4324.3733474746377</c:v>
                </c:pt>
                <c:pt idx="78">
                  <c:v>4313.780144137736</c:v>
                </c:pt>
                <c:pt idx="79">
                  <c:v>4303.1339747841484</c:v>
                </c:pt>
                <c:pt idx="80">
                  <c:v>4292.4345745837945</c:v>
                </c:pt>
                <c:pt idx="81">
                  <c:v>4281.6816773824376</c:v>
                </c:pt>
                <c:pt idx="82">
                  <c:v>4270.8750156950746</c:v>
                </c:pt>
                <c:pt idx="83">
                  <c:v>4260.0143206992743</c:v>
                </c:pt>
                <c:pt idx="84">
                  <c:v>4249.099322228496</c:v>
                </c:pt>
                <c:pt idx="85">
                  <c:v>4238.1297487653628</c:v>
                </c:pt>
                <c:pt idx="86">
                  <c:v>4227.1053274349142</c:v>
                </c:pt>
                <c:pt idx="87">
                  <c:v>4216.0257839978131</c:v>
                </c:pt>
                <c:pt idx="88">
                  <c:v>4204.890842843527</c:v>
                </c:pt>
                <c:pt idx="89">
                  <c:v>4193.7002269834684</c:v>
                </c:pt>
                <c:pt idx="90">
                  <c:v>4182.4536580441109</c:v>
                </c:pt>
                <c:pt idx="91">
                  <c:v>4171.1508562600557</c:v>
                </c:pt>
                <c:pt idx="92">
                  <c:v>4159.7915404670803</c:v>
                </c:pt>
                <c:pt idx="93">
                  <c:v>4148.3754280951416</c:v>
                </c:pt>
                <c:pt idx="94">
                  <c:v>4136.9022351613412</c:v>
                </c:pt>
                <c:pt idx="95">
                  <c:v>4125.3716762628719</c:v>
                </c:pt>
                <c:pt idx="96">
                  <c:v>4113.7834645699113</c:v>
                </c:pt>
                <c:pt idx="97">
                  <c:v>4102.1373118184856</c:v>
                </c:pt>
                <c:pt idx="98">
                  <c:v>4090.4329283033021</c:v>
                </c:pt>
                <c:pt idx="99">
                  <c:v>4078.6700228705436</c:v>
                </c:pt>
                <c:pt idx="100">
                  <c:v>4066.8483029106205</c:v>
                </c:pt>
                <c:pt idx="101">
                  <c:v>4054.9674743508986</c:v>
                </c:pt>
                <c:pt idx="102">
                  <c:v>4043.0272416483776</c:v>
                </c:pt>
                <c:pt idx="103">
                  <c:v>4031.0273077823445</c:v>
                </c:pt>
                <c:pt idx="104">
                  <c:v>4018.9673742469799</c:v>
                </c:pt>
                <c:pt idx="105">
                  <c:v>4006.8471410439397</c:v>
                </c:pt>
                <c:pt idx="106">
                  <c:v>3994.6663066748843</c:v>
                </c:pt>
                <c:pt idx="107">
                  <c:v>3982.424568133983</c:v>
                </c:pt>
                <c:pt idx="108">
                  <c:v>3970.1216209003774</c:v>
                </c:pt>
                <c:pt idx="109">
                  <c:v>3957.7571589306044</c:v>
                </c:pt>
                <c:pt idx="110">
                  <c:v>3945.330874650982</c:v>
                </c:pt>
                <c:pt idx="111">
                  <c:v>3932.8424589499614</c:v>
                </c:pt>
                <c:pt idx="112">
                  <c:v>3920.2916011704356</c:v>
                </c:pt>
                <c:pt idx="113">
                  <c:v>3907.6779891020119</c:v>
                </c:pt>
                <c:pt idx="114">
                  <c:v>3895.001308973247</c:v>
                </c:pt>
                <c:pt idx="115">
                  <c:v>3882.2612454438377</c:v>
                </c:pt>
                <c:pt idx="116">
                  <c:v>3869.4574815967812</c:v>
                </c:pt>
                <c:pt idx="117">
                  <c:v>3856.5896989304897</c:v>
                </c:pt>
                <c:pt idx="118">
                  <c:v>3843.6575773508666</c:v>
                </c:pt>
                <c:pt idx="119">
                  <c:v>3830.6607951633455</c:v>
                </c:pt>
                <c:pt idx="120">
                  <c:v>3817.5990290648874</c:v>
                </c:pt>
                <c:pt idx="121">
                  <c:v>3804.4719541359359</c:v>
                </c:pt>
                <c:pt idx="122">
                  <c:v>3791.2792438323404</c:v>
                </c:pt>
                <c:pt idx="123">
                  <c:v>3778.0205699772264</c:v>
                </c:pt>
                <c:pt idx="124">
                  <c:v>3764.6956027528377</c:v>
                </c:pt>
                <c:pt idx="125">
                  <c:v>3751.3040106923258</c:v>
                </c:pt>
                <c:pt idx="126">
                  <c:v>3737.8454606715122</c:v>
                </c:pt>
                <c:pt idx="127">
                  <c:v>3724.3196179005945</c:v>
                </c:pt>
                <c:pt idx="128">
                  <c:v>3710.7261459158217</c:v>
                </c:pt>
                <c:pt idx="129">
                  <c:v>3697.0647065711255</c:v>
                </c:pt>
                <c:pt idx="130">
                  <c:v>3683.3349600297056</c:v>
                </c:pt>
                <c:pt idx="131">
                  <c:v>3669.5365647555786</c:v>
                </c:pt>
                <c:pt idx="132">
                  <c:v>3655.6691775050817</c:v>
                </c:pt>
                <c:pt idx="133">
                  <c:v>3641.7324533183314</c:v>
                </c:pt>
                <c:pt idx="134">
                  <c:v>3627.726045510648</c:v>
                </c:pt>
                <c:pt idx="135">
                  <c:v>3613.6496056639253</c:v>
                </c:pt>
                <c:pt idx="136">
                  <c:v>3599.5027836179693</c:v>
                </c:pt>
                <c:pt idx="137">
                  <c:v>3585.2852274617844</c:v>
                </c:pt>
                <c:pt idx="138">
                  <c:v>3570.9965835248177</c:v>
                </c:pt>
                <c:pt idx="139">
                  <c:v>3556.6364963681663</c:v>
                </c:pt>
                <c:pt idx="140">
                  <c:v>3542.2046087757317</c:v>
                </c:pt>
                <c:pt idx="141">
                  <c:v>3527.7005617453342</c:v>
                </c:pt>
                <c:pt idx="142">
                  <c:v>3513.1239944797858</c:v>
                </c:pt>
                <c:pt idx="143">
                  <c:v>3498.4745443779098</c:v>
                </c:pt>
                <c:pt idx="144">
                  <c:v>3483.7518470255241</c:v>
                </c:pt>
                <c:pt idx="145">
                  <c:v>3468.9555361863759</c:v>
                </c:pt>
                <c:pt idx="146">
                  <c:v>3454.0852437930321</c:v>
                </c:pt>
                <c:pt idx="147">
                  <c:v>3439.1405999377216</c:v>
                </c:pt>
                <c:pt idx="148">
                  <c:v>3424.121232863135</c:v>
                </c:pt>
                <c:pt idx="149">
                  <c:v>3409.0267689531752</c:v>
                </c:pt>
                <c:pt idx="150">
                  <c:v>3393.8568327236658</c:v>
                </c:pt>
                <c:pt idx="151">
                  <c:v>3378.6110468130087</c:v>
                </c:pt>
                <c:pt idx="152">
                  <c:v>3363.2890319727985</c:v>
                </c:pt>
                <c:pt idx="153">
                  <c:v>3347.8904070583872</c:v>
                </c:pt>
                <c:pt idx="154">
                  <c:v>3332.4147890194035</c:v>
                </c:pt>
                <c:pt idx="155">
                  <c:v>3316.8617928902249</c:v>
                </c:pt>
                <c:pt idx="156">
                  <c:v>3301.2310317804004</c:v>
                </c:pt>
                <c:pt idx="157">
                  <c:v>3285.5221168650273</c:v>
                </c:pt>
                <c:pt idx="158">
                  <c:v>3269.7346573750765</c:v>
                </c:pt>
                <c:pt idx="159">
                  <c:v>3253.8682605876766</c:v>
                </c:pt>
                <c:pt idx="160">
                  <c:v>3237.9225318163399</c:v>
                </c:pt>
                <c:pt idx="161">
                  <c:v>3221.8970744011463</c:v>
                </c:pt>
                <c:pt idx="162">
                  <c:v>3205.7914896988764</c:v>
                </c:pt>
                <c:pt idx="163">
                  <c:v>3189.605377073095</c:v>
                </c:pt>
                <c:pt idx="164">
                  <c:v>3173.3383338841854</c:v>
                </c:pt>
                <c:pt idx="165">
                  <c:v>3156.989955479331</c:v>
                </c:pt>
                <c:pt idx="166">
                  <c:v>3140.5598351824515</c:v>
                </c:pt>
                <c:pt idx="167">
                  <c:v>3124.0475642840888</c:v>
                </c:pt>
                <c:pt idx="168">
                  <c:v>3107.4527320312345</c:v>
                </c:pt>
                <c:pt idx="169">
                  <c:v>3090.7749256171151</c:v>
                </c:pt>
                <c:pt idx="170">
                  <c:v>3074.0137301709246</c:v>
                </c:pt>
                <c:pt idx="171">
                  <c:v>3057.1687287475047</c:v>
                </c:pt>
                <c:pt idx="172">
                  <c:v>3040.2395023169661</c:v>
                </c:pt>
                <c:pt idx="173">
                  <c:v>3023.2256297542758</c:v>
                </c:pt>
                <c:pt idx="174">
                  <c:v>3006.1266878287715</c:v>
                </c:pt>
                <c:pt idx="175">
                  <c:v>2988.9422511936395</c:v>
                </c:pt>
                <c:pt idx="176">
                  <c:v>2971.6718923753324</c:v>
                </c:pt>
                <c:pt idx="177">
                  <c:v>2954.3151817629341</c:v>
                </c:pt>
                <c:pt idx="178">
                  <c:v>2936.8716875974733</c:v>
                </c:pt>
                <c:pt idx="179">
                  <c:v>2919.3409759611859</c:v>
                </c:pt>
                <c:pt idx="180">
                  <c:v>2901.7226107667157</c:v>
                </c:pt>
                <c:pt idx="181">
                  <c:v>2884.0161537462736</c:v>
                </c:pt>
                <c:pt idx="182">
                  <c:v>2866.2211644407298</c:v>
                </c:pt>
                <c:pt idx="183">
                  <c:v>2848.3372001886582</c:v>
                </c:pt>
                <c:pt idx="184">
                  <c:v>2830.3638161153258</c:v>
                </c:pt>
                <c:pt idx="185">
                  <c:v>2812.3005651216272</c:v>
                </c:pt>
                <c:pt idx="186">
                  <c:v>2794.1469978729601</c:v>
                </c:pt>
                <c:pt idx="187">
                  <c:v>2775.9026627880485</c:v>
                </c:pt>
                <c:pt idx="188">
                  <c:v>2757.5671060277136</c:v>
                </c:pt>
                <c:pt idx="189">
                  <c:v>2739.1398714835768</c:v>
                </c:pt>
                <c:pt idx="190">
                  <c:v>2720.6205007667199</c:v>
                </c:pt>
                <c:pt idx="191">
                  <c:v>2702.0085331962782</c:v>
                </c:pt>
                <c:pt idx="192">
                  <c:v>2683.3035057879838</c:v>
                </c:pt>
                <c:pt idx="193">
                  <c:v>2664.5049532426488</c:v>
                </c:pt>
                <c:pt idx="194">
                  <c:v>2645.6124079345859</c:v>
                </c:pt>
                <c:pt idx="195">
                  <c:v>2626.6253998999837</c:v>
                </c:pt>
                <c:pt idx="196">
                  <c:v>2607.5434568252081</c:v>
                </c:pt>
                <c:pt idx="197">
                  <c:v>2588.3661040350585</c:v>
                </c:pt>
                <c:pt idx="198">
                  <c:v>2569.0928644809578</c:v>
                </c:pt>
                <c:pt idx="199">
                  <c:v>2549.7232587290873</c:v>
                </c:pt>
                <c:pt idx="200">
                  <c:v>2530.256804948458</c:v>
                </c:pt>
                <c:pt idx="201">
                  <c:v>2510.6930188989245</c:v>
                </c:pt>
                <c:pt idx="202">
                  <c:v>2491.0314139191432</c:v>
                </c:pt>
                <c:pt idx="203">
                  <c:v>2471.271500914464</c:v>
                </c:pt>
                <c:pt idx="204">
                  <c:v>2451.4127883447609</c:v>
                </c:pt>
                <c:pt idx="205">
                  <c:v>2431.4547822122095</c:v>
                </c:pt>
                <c:pt idx="206">
                  <c:v>2411.3969860489951</c:v>
                </c:pt>
                <c:pt idx="207">
                  <c:v>2391.2389009049643</c:v>
                </c:pt>
                <c:pt idx="208">
                  <c:v>2370.9800253352137</c:v>
                </c:pt>
                <c:pt idx="209">
                  <c:v>2350.6198553876143</c:v>
                </c:pt>
                <c:pt idx="210">
                  <c:v>2330.1578845902777</c:v>
                </c:pt>
                <c:pt idx="211">
                  <c:v>2309.5936039389535</c:v>
                </c:pt>
                <c:pt idx="212">
                  <c:v>2288.9265018843726</c:v>
                </c:pt>
                <c:pt idx="213">
                  <c:v>2268.1560643195189</c:v>
                </c:pt>
                <c:pt idx="214">
                  <c:v>2247.2817745668408</c:v>
                </c:pt>
                <c:pt idx="215">
                  <c:v>2226.3031133653994</c:v>
                </c:pt>
                <c:pt idx="216">
                  <c:v>2205.2195588579516</c:v>
                </c:pt>
                <c:pt idx="217">
                  <c:v>2184.0305865779665</c:v>
                </c:pt>
                <c:pt idx="218">
                  <c:v>2162.7356694365808</c:v>
                </c:pt>
                <c:pt idx="219">
                  <c:v>2141.3342777094877</c:v>
                </c:pt>
                <c:pt idx="220">
                  <c:v>2119.8258790237596</c:v>
                </c:pt>
                <c:pt idx="221">
                  <c:v>2098.209938344603</c:v>
                </c:pt>
                <c:pt idx="222">
                  <c:v>2076.4859179620498</c:v>
                </c:pt>
                <c:pt idx="223">
                  <c:v>2054.653277477586</c:v>
                </c:pt>
                <c:pt idx="224">
                  <c:v>2032.7114737906977</c:v>
                </c:pt>
                <c:pt idx="225">
                  <c:v>2010.6599610853755</c:v>
                </c:pt>
                <c:pt idx="226">
                  <c:v>1988.4981908165273</c:v>
                </c:pt>
                <c:pt idx="227">
                  <c:v>1966.2256116963345</c:v>
                </c:pt>
                <c:pt idx="228">
                  <c:v>1943.8416696805407</c:v>
                </c:pt>
                <c:pt idx="229">
                  <c:v>1921.3458079546681</c:v>
                </c:pt>
                <c:pt idx="230">
                  <c:v>1898.7374669201663</c:v>
                </c:pt>
                <c:pt idx="231">
                  <c:v>1876.0160841804909</c:v>
                </c:pt>
                <c:pt idx="232">
                  <c:v>1853.1810945271181</c:v>
                </c:pt>
                <c:pt idx="233">
                  <c:v>1830.2319299254787</c:v>
                </c:pt>
                <c:pt idx="234">
                  <c:v>1807.1680195008303</c:v>
                </c:pt>
                <c:pt idx="235">
                  <c:v>1783.988789524059</c:v>
                </c:pt>
                <c:pt idx="236">
                  <c:v>1760.6936633974046</c:v>
                </c:pt>
                <c:pt idx="237">
                  <c:v>1737.2820616401159</c:v>
                </c:pt>
                <c:pt idx="238">
                  <c:v>1713.7534018740407</c:v>
                </c:pt>
                <c:pt idx="239">
                  <c:v>1690.107098809136</c:v>
                </c:pt>
                <c:pt idx="240">
                  <c:v>1666.3425642289058</c:v>
                </c:pt>
                <c:pt idx="241">
                  <c:v>1642.4592069757755</c:v>
                </c:pt>
                <c:pt idx="242">
                  <c:v>1618.4564329363784</c:v>
                </c:pt>
                <c:pt idx="243">
                  <c:v>1594.3336450267852</c:v>
                </c:pt>
                <c:pt idx="244">
                  <c:v>1570.0902431776431</c:v>
                </c:pt>
                <c:pt idx="245">
                  <c:v>1545.725624319256</c:v>
                </c:pt>
                <c:pt idx="246">
                  <c:v>1521.2391823665766</c:v>
                </c:pt>
                <c:pt idx="247">
                  <c:v>1496.630308204135</c:v>
                </c:pt>
                <c:pt idx="248">
                  <c:v>1471.8983896708805</c:v>
                </c:pt>
                <c:pt idx="249">
                  <c:v>1447.0428115449586</c:v>
                </c:pt>
                <c:pt idx="250">
                  <c:v>1422.0629555284086</c:v>
                </c:pt>
                <c:pt idx="251">
                  <c:v>1396.9582002317738</c:v>
                </c:pt>
                <c:pt idx="252">
                  <c:v>1371.7279211586583</c:v>
                </c:pt>
                <c:pt idx="253">
                  <c:v>1346.371490690176</c:v>
                </c:pt>
                <c:pt idx="254">
                  <c:v>1320.8882780693511</c:v>
                </c:pt>
                <c:pt idx="255">
                  <c:v>1295.2776493854226</c:v>
                </c:pt>
                <c:pt idx="256">
                  <c:v>1269.5389675580745</c:v>
                </c:pt>
                <c:pt idx="257">
                  <c:v>1243.6715923215897</c:v>
                </c:pt>
                <c:pt idx="258">
                  <c:v>1217.6748802089214</c:v>
                </c:pt>
                <c:pt idx="259">
                  <c:v>1191.5481845356908</c:v>
                </c:pt>
                <c:pt idx="260">
                  <c:v>1165.2908553840944</c:v>
                </c:pt>
                <c:pt idx="261">
                  <c:v>1138.9022395867387</c:v>
                </c:pt>
                <c:pt idx="262">
                  <c:v>1112.3816807103967</c:v>
                </c:pt>
                <c:pt idx="263">
                  <c:v>1085.7285190396733</c:v>
                </c:pt>
                <c:pt idx="264">
                  <c:v>1058.9420915605961</c:v>
                </c:pt>
                <c:pt idx="265">
                  <c:v>1032.0217319441235</c:v>
                </c:pt>
                <c:pt idx="266">
                  <c:v>1004.9667705295697</c:v>
                </c:pt>
                <c:pt idx="267">
                  <c:v>977.77653430794271</c:v>
                </c:pt>
                <c:pt idx="268">
                  <c:v>950.45034690520606</c:v>
                </c:pt>
                <c:pt idx="269">
                  <c:v>922.98752856545707</c:v>
                </c:pt>
                <c:pt idx="270">
                  <c:v>895.38739613400867</c:v>
                </c:pt>
                <c:pt idx="271">
                  <c:v>867.64926304040364</c:v>
                </c:pt>
                <c:pt idx="272">
                  <c:v>839.77243928132884</c:v>
                </c:pt>
                <c:pt idx="273">
                  <c:v>811.75623140346124</c:v>
                </c:pt>
                <c:pt idx="274">
                  <c:v>783.59994248620296</c:v>
                </c:pt>
                <c:pt idx="275">
                  <c:v>755.30287212435815</c:v>
                </c:pt>
                <c:pt idx="276">
                  <c:v>726.86431641070521</c:v>
                </c:pt>
                <c:pt idx="277">
                  <c:v>698.28356791848273</c:v>
                </c:pt>
                <c:pt idx="278">
                  <c:v>669.55991568380068</c:v>
                </c:pt>
                <c:pt idx="279">
                  <c:v>640.69264518794353</c:v>
                </c:pt>
                <c:pt idx="280">
                  <c:v>611.68103833960686</c:v>
                </c:pt>
                <c:pt idx="281">
                  <c:v>582.52437345703038</c:v>
                </c:pt>
                <c:pt idx="282">
                  <c:v>553.22192525003993</c:v>
                </c:pt>
                <c:pt idx="283">
                  <c:v>523.77296480201494</c:v>
                </c:pt>
                <c:pt idx="284">
                  <c:v>494.17675955174946</c:v>
                </c:pt>
                <c:pt idx="285">
                  <c:v>464.43257327523315</c:v>
                </c:pt>
                <c:pt idx="286">
                  <c:v>434.53966606733411</c:v>
                </c:pt>
                <c:pt idx="287">
                  <c:v>404.49729432339518</c:v>
                </c:pt>
                <c:pt idx="288">
                  <c:v>374.30471072073669</c:v>
                </c:pt>
                <c:pt idx="289">
                  <c:v>343.96116420006456</c:v>
                </c:pt>
                <c:pt idx="290">
                  <c:v>313.46589994678925</c:v>
                </c:pt>
                <c:pt idx="291">
                  <c:v>282.81815937224746</c:v>
                </c:pt>
                <c:pt idx="292">
                  <c:v>252.01718009483375</c:v>
                </c:pt>
                <c:pt idx="293">
                  <c:v>221.06219592103298</c:v>
                </c:pt>
                <c:pt idx="294">
                  <c:v>189.95243682636192</c:v>
                </c:pt>
                <c:pt idx="295">
                  <c:v>158.68712893621887</c:v>
                </c:pt>
                <c:pt idx="296">
                  <c:v>127.26549450662424</c:v>
                </c:pt>
                <c:pt idx="297">
                  <c:v>95.68675190488193</c:v>
                </c:pt>
                <c:pt idx="298">
                  <c:v>63.950115590130736</c:v>
                </c:pt>
                <c:pt idx="299">
                  <c:v>32.054796093805635</c:v>
                </c:pt>
                <c:pt idx="300">
                  <c:v>6443.0140148550854</c:v>
                </c:pt>
                <c:pt idx="301">
                  <c:v>6443.0140148550854</c:v>
                </c:pt>
                <c:pt idx="302">
                  <c:v>6443.0140148550854</c:v>
                </c:pt>
                <c:pt idx="303">
                  <c:v>6443.0140148550854</c:v>
                </c:pt>
                <c:pt idx="304">
                  <c:v>6443.0140148550854</c:v>
                </c:pt>
                <c:pt idx="305">
                  <c:v>6443.0140148550854</c:v>
                </c:pt>
                <c:pt idx="306">
                  <c:v>6443.0140148550854</c:v>
                </c:pt>
                <c:pt idx="307">
                  <c:v>6443.0140148550854</c:v>
                </c:pt>
                <c:pt idx="308">
                  <c:v>6443.0140148550854</c:v>
                </c:pt>
                <c:pt idx="309">
                  <c:v>6443.0140148550854</c:v>
                </c:pt>
                <c:pt idx="310">
                  <c:v>6443.0140148550854</c:v>
                </c:pt>
                <c:pt idx="311">
                  <c:v>6443.0140148550854</c:v>
                </c:pt>
                <c:pt idx="312">
                  <c:v>6443.0140148550854</c:v>
                </c:pt>
                <c:pt idx="313">
                  <c:v>6443.0140148550854</c:v>
                </c:pt>
                <c:pt idx="314">
                  <c:v>6443.0140148550854</c:v>
                </c:pt>
                <c:pt idx="315">
                  <c:v>6443.0140148550854</c:v>
                </c:pt>
                <c:pt idx="316">
                  <c:v>6443.0140148550854</c:v>
                </c:pt>
                <c:pt idx="317">
                  <c:v>6443.0140148550854</c:v>
                </c:pt>
                <c:pt idx="318">
                  <c:v>6443.0140148550854</c:v>
                </c:pt>
                <c:pt idx="319">
                  <c:v>6443.0140148550854</c:v>
                </c:pt>
                <c:pt idx="320">
                  <c:v>6443.0140148550854</c:v>
                </c:pt>
                <c:pt idx="321">
                  <c:v>6443.0140148550854</c:v>
                </c:pt>
                <c:pt idx="322">
                  <c:v>6443.0140148550854</c:v>
                </c:pt>
                <c:pt idx="323">
                  <c:v>6443.0140148550854</c:v>
                </c:pt>
                <c:pt idx="324">
                  <c:v>6443.0140148550854</c:v>
                </c:pt>
                <c:pt idx="325">
                  <c:v>6443.0140148550854</c:v>
                </c:pt>
                <c:pt idx="326">
                  <c:v>6443.0140148550854</c:v>
                </c:pt>
                <c:pt idx="327">
                  <c:v>6443.0140148550854</c:v>
                </c:pt>
                <c:pt idx="328">
                  <c:v>6443.0140148550854</c:v>
                </c:pt>
                <c:pt idx="329">
                  <c:v>6443.0140148550854</c:v>
                </c:pt>
                <c:pt idx="330">
                  <c:v>6443.0140148550854</c:v>
                </c:pt>
                <c:pt idx="331">
                  <c:v>6443.0140148550854</c:v>
                </c:pt>
                <c:pt idx="332">
                  <c:v>6443.0140148550854</c:v>
                </c:pt>
                <c:pt idx="333">
                  <c:v>6443.0140148550854</c:v>
                </c:pt>
                <c:pt idx="334">
                  <c:v>6443.0140148550854</c:v>
                </c:pt>
                <c:pt idx="335">
                  <c:v>6443.0140148550854</c:v>
                </c:pt>
                <c:pt idx="336">
                  <c:v>6443.0140148550854</c:v>
                </c:pt>
                <c:pt idx="337">
                  <c:v>6443.0140148550854</c:v>
                </c:pt>
                <c:pt idx="338">
                  <c:v>6443.0140148550854</c:v>
                </c:pt>
                <c:pt idx="339">
                  <c:v>6443.0140148550854</c:v>
                </c:pt>
                <c:pt idx="340">
                  <c:v>6443.0140148550854</c:v>
                </c:pt>
                <c:pt idx="341">
                  <c:v>6443.0140148550854</c:v>
                </c:pt>
                <c:pt idx="342">
                  <c:v>6443.0140148550854</c:v>
                </c:pt>
                <c:pt idx="343">
                  <c:v>6443.0140148550854</c:v>
                </c:pt>
                <c:pt idx="344">
                  <c:v>6443.0140148550854</c:v>
                </c:pt>
                <c:pt idx="345">
                  <c:v>6443.0140148550854</c:v>
                </c:pt>
                <c:pt idx="346">
                  <c:v>6443.0140148550854</c:v>
                </c:pt>
                <c:pt idx="347">
                  <c:v>6443.0140148550854</c:v>
                </c:pt>
                <c:pt idx="348">
                  <c:v>6443.0140148550854</c:v>
                </c:pt>
                <c:pt idx="349">
                  <c:v>6443.0140148550854</c:v>
                </c:pt>
                <c:pt idx="350">
                  <c:v>6443.0140148550854</c:v>
                </c:pt>
                <c:pt idx="351">
                  <c:v>6443.0140148550854</c:v>
                </c:pt>
                <c:pt idx="352">
                  <c:v>6443.0140148550854</c:v>
                </c:pt>
                <c:pt idx="353">
                  <c:v>6443.0140148550854</c:v>
                </c:pt>
                <c:pt idx="354">
                  <c:v>6443.0140148550854</c:v>
                </c:pt>
                <c:pt idx="355">
                  <c:v>6443.0140148550854</c:v>
                </c:pt>
                <c:pt idx="356">
                  <c:v>6443.0140148550854</c:v>
                </c:pt>
                <c:pt idx="357">
                  <c:v>6443.0140148550854</c:v>
                </c:pt>
                <c:pt idx="358">
                  <c:v>6443.0140148550854</c:v>
                </c:pt>
                <c:pt idx="359">
                  <c:v>6443.0140148550854</c:v>
                </c:pt>
              </c:numCache>
            </c:numRef>
          </c:val>
          <c:smooth val="0"/>
        </c:ser>
        <c:dLbls>
          <c:showLegendKey val="0"/>
          <c:showVal val="0"/>
          <c:showCatName val="0"/>
          <c:showSerName val="0"/>
          <c:showPercent val="0"/>
          <c:showBubbleSize val="0"/>
        </c:dLbls>
        <c:marker val="1"/>
        <c:smooth val="0"/>
        <c:axId val="77955072"/>
        <c:axId val="77956608"/>
      </c:lineChart>
      <c:catAx>
        <c:axId val="77955072"/>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Garamond"/>
                <a:ea typeface="Garamond"/>
                <a:cs typeface="Garamond"/>
              </a:defRPr>
            </a:pPr>
            <a:endParaRPr lang="en-US"/>
          </a:p>
        </c:txPr>
        <c:crossAx val="77956608"/>
        <c:crosses val="autoZero"/>
        <c:auto val="1"/>
        <c:lblAlgn val="ctr"/>
        <c:lblOffset val="100"/>
        <c:noMultiLvlLbl val="0"/>
      </c:catAx>
      <c:valAx>
        <c:axId val="77956608"/>
        <c:scaling>
          <c:orientation val="minMax"/>
          <c:min val="0"/>
        </c:scaling>
        <c:delete val="0"/>
        <c:axPos val="l"/>
        <c:numFmt formatCode="&quot;$&quot;#,##0_);[Red]\(&quot;$&quot;#,##0\)" sourceLinked="1"/>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en-US"/>
          </a:p>
        </c:txPr>
        <c:crossAx val="77955072"/>
        <c:crosses val="autoZero"/>
        <c:crossBetween val="between"/>
      </c:valAx>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 l="0.70000000000000095" r="0.70000000000000095" t="0.750000000000002"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1" i="0" u="none" strike="noStrike" baseline="0">
                <a:solidFill>
                  <a:srgbClr val="000000"/>
                </a:solidFill>
                <a:latin typeface="Garamond"/>
                <a:ea typeface="Garamond"/>
                <a:cs typeface="Garamond"/>
              </a:defRPr>
            </a:pPr>
            <a:r>
              <a:rPr lang="en-US"/>
              <a:t>Principal Payments</a:t>
            </a:r>
          </a:p>
        </c:rich>
      </c:tx>
      <c:layout>
        <c:manualLayout>
          <c:xMode val="edge"/>
          <c:yMode val="edge"/>
          <c:x val="0.29489288501099498"/>
          <c:y val="3.6132612660705603E-2"/>
        </c:manualLayout>
      </c:layout>
      <c:overlay val="0"/>
    </c:title>
    <c:autoTitleDeleted val="0"/>
    <c:plotArea>
      <c:layout>
        <c:manualLayout>
          <c:layoutTarget val="inner"/>
          <c:xMode val="edge"/>
          <c:yMode val="edge"/>
          <c:x val="0.103021978021978"/>
          <c:y val="8.0508474576271402E-2"/>
          <c:w val="0.88598901098901095"/>
          <c:h val="0.82838983050847703"/>
        </c:manualLayout>
      </c:layout>
      <c:lineChart>
        <c:grouping val="stacked"/>
        <c:varyColors val="0"/>
        <c:ser>
          <c:idx val="0"/>
          <c:order val="0"/>
          <c:tx>
            <c:v>Principal</c:v>
          </c:tx>
          <c:marker>
            <c:symbol val="none"/>
          </c:marker>
          <c:val>
            <c:numRef>
              <c:f>'Mortgage Payment Ex. Solution'!$G$12:$G$371</c:f>
              <c:numCache>
                <c:formatCode>"$"#,##0_);[Red]\("$"#,##0\)</c:formatCode>
                <c:ptCount val="360"/>
                <c:pt idx="0">
                  <c:v>0</c:v>
                </c:pt>
                <c:pt idx="1">
                  <c:v>0</c:v>
                </c:pt>
                <c:pt idx="2">
                  <c:v>0</c:v>
                </c:pt>
                <c:pt idx="3">
                  <c:v>0</c:v>
                </c:pt>
                <c:pt idx="4">
                  <c:v>0</c:v>
                </c:pt>
                <c:pt idx="5">
                  <c:v>0</c:v>
                </c:pt>
                <c:pt idx="6">
                  <c:v>0</c:v>
                </c:pt>
                <c:pt idx="7">
                  <c:v>0</c:v>
                </c:pt>
                <c:pt idx="8">
                  <c:v>0</c:v>
                </c:pt>
                <c:pt idx="9">
                  <c:v>0</c:v>
                </c:pt>
                <c:pt idx="10">
                  <c:v>0</c:v>
                </c:pt>
                <c:pt idx="11">
                  <c:v>0</c:v>
                </c:pt>
                <c:pt idx="12">
                  <c:v>1679.2337484131567</c:v>
                </c:pt>
                <c:pt idx="13">
                  <c:v>1686.2305556981592</c:v>
                </c:pt>
                <c:pt idx="14">
                  <c:v>1693.2565163469408</c:v>
                </c:pt>
                <c:pt idx="15">
                  <c:v>1700.3117518316722</c:v>
                </c:pt>
                <c:pt idx="16">
                  <c:v>1707.3963841310469</c:v>
                </c:pt>
                <c:pt idx="17">
                  <c:v>1714.5105357315624</c:v>
                </c:pt>
                <c:pt idx="18">
                  <c:v>1721.6543296304299</c:v>
                </c:pt>
                <c:pt idx="19">
                  <c:v>1728.8278893372044</c:v>
                </c:pt>
                <c:pt idx="20">
                  <c:v>1736.0313388761133</c:v>
                </c:pt>
                <c:pt idx="21">
                  <c:v>1743.2648027881514</c:v>
                </c:pt>
                <c:pt idx="22">
                  <c:v>1750.5284061330603</c:v>
                </c:pt>
                <c:pt idx="23">
                  <c:v>1757.8222744920058</c:v>
                </c:pt>
                <c:pt idx="24">
                  <c:v>1765.1465339689748</c:v>
                </c:pt>
                <c:pt idx="25">
                  <c:v>1772.5013111939188</c:v>
                </c:pt>
                <c:pt idx="26">
                  <c:v>1779.8867333238013</c:v>
                </c:pt>
                <c:pt idx="27">
                  <c:v>1787.3029280460905</c:v>
                </c:pt>
                <c:pt idx="28">
                  <c:v>1794.7500235795742</c:v>
                </c:pt>
                <c:pt idx="29">
                  <c:v>1802.228148677852</c:v>
                </c:pt>
                <c:pt idx="30">
                  <c:v>1809.7374326306162</c:v>
                </c:pt>
                <c:pt idx="31">
                  <c:v>1817.2780052665621</c:v>
                </c:pt>
                <c:pt idx="32">
                  <c:v>1824.8499969552504</c:v>
                </c:pt>
                <c:pt idx="33">
                  <c:v>1832.453538609203</c:v>
                </c:pt>
                <c:pt idx="34">
                  <c:v>1840.0887616866967</c:v>
                </c:pt>
                <c:pt idx="35">
                  <c:v>1847.7557981937425</c:v>
                </c:pt>
                <c:pt idx="36">
                  <c:v>1855.454780686181</c:v>
                </c:pt>
                <c:pt idx="37">
                  <c:v>1863.1858422723599</c:v>
                </c:pt>
                <c:pt idx="38">
                  <c:v>1870.9491166152293</c:v>
                </c:pt>
                <c:pt idx="39">
                  <c:v>1878.7447379344376</c:v>
                </c:pt>
                <c:pt idx="40">
                  <c:v>1886.5728410091251</c:v>
                </c:pt>
                <c:pt idx="41">
                  <c:v>1894.4335611800198</c:v>
                </c:pt>
                <c:pt idx="42">
                  <c:v>1902.3270343516488</c:v>
                </c:pt>
                <c:pt idx="43">
                  <c:v>1910.2533969947835</c:v>
                </c:pt>
                <c:pt idx="44">
                  <c:v>1918.2127861488843</c:v>
                </c:pt>
                <c:pt idx="45">
                  <c:v>1926.2053394245449</c:v>
                </c:pt>
                <c:pt idx="46">
                  <c:v>1934.2311950054718</c:v>
                </c:pt>
                <c:pt idx="47">
                  <c:v>1942.290491651278</c:v>
                </c:pt>
                <c:pt idx="48">
                  <c:v>1950.3833686998114</c:v>
                </c:pt>
                <c:pt idx="49">
                  <c:v>1958.5099660694832</c:v>
                </c:pt>
                <c:pt idx="50">
                  <c:v>1966.6704242613632</c:v>
                </c:pt>
                <c:pt idx="51">
                  <c:v>1974.8648843624396</c:v>
                </c:pt>
                <c:pt idx="52">
                  <c:v>1983.0934880473651</c:v>
                </c:pt>
                <c:pt idx="53">
                  <c:v>1991.3563775809016</c:v>
                </c:pt>
                <c:pt idx="54">
                  <c:v>1999.6536958208308</c:v>
                </c:pt>
                <c:pt idx="55">
                  <c:v>2007.9855862200493</c:v>
                </c:pt>
                <c:pt idx="56">
                  <c:v>2016.3521928292466</c:v>
                </c:pt>
                <c:pt idx="57">
                  <c:v>2024.753660299466</c:v>
                </c:pt>
                <c:pt idx="58">
                  <c:v>2033.1901338839671</c:v>
                </c:pt>
                <c:pt idx="59">
                  <c:v>2041.6617594418349</c:v>
                </c:pt>
                <c:pt idx="60">
                  <c:v>2050.1686834394932</c:v>
                </c:pt>
                <c:pt idx="61">
                  <c:v>2058.7110529538477</c:v>
                </c:pt>
                <c:pt idx="62">
                  <c:v>2067.2890156744979</c:v>
                </c:pt>
                <c:pt idx="63">
                  <c:v>2075.9027199064149</c:v>
                </c:pt>
                <c:pt idx="64">
                  <c:v>2084.5523145727348</c:v>
                </c:pt>
                <c:pt idx="65">
                  <c:v>2093.2379492167383</c:v>
                </c:pt>
                <c:pt idx="66">
                  <c:v>2101.9597740052268</c:v>
                </c:pt>
                <c:pt idx="67">
                  <c:v>2110.717939730268</c:v>
                </c:pt>
                <c:pt idx="68">
                  <c:v>2119.5125978124561</c:v>
                </c:pt>
                <c:pt idx="69">
                  <c:v>2128.3439003033563</c:v>
                </c:pt>
                <c:pt idx="70">
                  <c:v>2137.2119998879498</c:v>
                </c:pt>
                <c:pt idx="71">
                  <c:v>2146.1170498874271</c:v>
                </c:pt>
                <c:pt idx="72">
                  <c:v>2155.0592042619828</c:v>
                </c:pt>
                <c:pt idx="73">
                  <c:v>2164.0386176130269</c:v>
                </c:pt>
                <c:pt idx="74">
                  <c:v>2173.0554451864446</c:v>
                </c:pt>
                <c:pt idx="75">
                  <c:v>2182.1098428746918</c:v>
                </c:pt>
                <c:pt idx="76">
                  <c:v>2191.2019672200549</c:v>
                </c:pt>
                <c:pt idx="77">
                  <c:v>2200.331975416746</c:v>
                </c:pt>
                <c:pt idx="78">
                  <c:v>2209.5000253143953</c:v>
                </c:pt>
                <c:pt idx="79">
                  <c:v>2218.7062754197977</c:v>
                </c:pt>
                <c:pt idx="80">
                  <c:v>2227.9508849007543</c:v>
                </c:pt>
                <c:pt idx="81">
                  <c:v>2237.2340135878185</c:v>
                </c:pt>
                <c:pt idx="82">
                  <c:v>2246.5558219777886</c:v>
                </c:pt>
                <c:pt idx="83">
                  <c:v>2255.9164712360362</c:v>
                </c:pt>
                <c:pt idx="84">
                  <c:v>2265.3161231995327</c:v>
                </c:pt>
                <c:pt idx="85">
                  <c:v>2274.7549403795274</c:v>
                </c:pt>
                <c:pt idx="86">
                  <c:v>2284.2330859644571</c:v>
                </c:pt>
                <c:pt idx="87">
                  <c:v>2293.7507238226244</c:v>
                </c:pt>
                <c:pt idx="88">
                  <c:v>2303.308018505224</c:v>
                </c:pt>
                <c:pt idx="89">
                  <c:v>2312.9051352490205</c:v>
                </c:pt>
                <c:pt idx="90">
                  <c:v>2322.5422399791423</c:v>
                </c:pt>
                <c:pt idx="91">
                  <c:v>2332.2194993124576</c:v>
                </c:pt>
                <c:pt idx="92">
                  <c:v>2341.9370805595536</c:v>
                </c:pt>
                <c:pt idx="93">
                  <c:v>2351.6951517285779</c:v>
                </c:pt>
                <c:pt idx="94">
                  <c:v>2361.4938815274509</c:v>
                </c:pt>
                <c:pt idx="95">
                  <c:v>2371.3334393671248</c:v>
                </c:pt>
                <c:pt idx="96">
                  <c:v>2381.2139953644946</c:v>
                </c:pt>
                <c:pt idx="97">
                  <c:v>2391.1357203451917</c:v>
                </c:pt>
                <c:pt idx="98">
                  <c:v>2401.0987858466106</c:v>
                </c:pt>
                <c:pt idx="99">
                  <c:v>2411.103364120936</c:v>
                </c:pt>
                <c:pt idx="100">
                  <c:v>2421.1496281381696</c:v>
                </c:pt>
                <c:pt idx="101">
                  <c:v>2431.237751588691</c:v>
                </c:pt>
                <c:pt idx="102">
                  <c:v>2441.3679088869831</c:v>
                </c:pt>
                <c:pt idx="103">
                  <c:v>2451.5402751740767</c:v>
                </c:pt>
                <c:pt idx="104">
                  <c:v>2461.7550263205776</c:v>
                </c:pt>
                <c:pt idx="105">
                  <c:v>2472.0123389302753</c:v>
                </c:pt>
                <c:pt idx="106">
                  <c:v>2482.3123903424712</c:v>
                </c:pt>
                <c:pt idx="107">
                  <c:v>2492.6553586355876</c:v>
                </c:pt>
                <c:pt idx="108">
                  <c:v>2503.0414226298453</c:v>
                </c:pt>
                <c:pt idx="109">
                  <c:v>2513.4707618908724</c:v>
                </c:pt>
                <c:pt idx="110">
                  <c:v>2523.9435567320324</c:v>
                </c:pt>
                <c:pt idx="111">
                  <c:v>2534.4599882183829</c:v>
                </c:pt>
                <c:pt idx="112">
                  <c:v>2545.0202381693525</c:v>
                </c:pt>
                <c:pt idx="113">
                  <c:v>2555.624489161768</c:v>
                </c:pt>
                <c:pt idx="114">
                  <c:v>2566.2729245332303</c:v>
                </c:pt>
                <c:pt idx="115">
                  <c:v>2576.9657283854904</c:v>
                </c:pt>
                <c:pt idx="116">
                  <c:v>2587.7030855870107</c:v>
                </c:pt>
                <c:pt idx="117">
                  <c:v>2598.4851817770395</c:v>
                </c:pt>
                <c:pt idx="118">
                  <c:v>2609.3122033677064</c:v>
                </c:pt>
                <c:pt idx="119">
                  <c:v>2620.1843375484459</c:v>
                </c:pt>
                <c:pt idx="120">
                  <c:v>2631.1017722882098</c:v>
                </c:pt>
                <c:pt idx="121">
                  <c:v>2642.0646963394247</c:v>
                </c:pt>
                <c:pt idx="122">
                  <c:v>2653.0732992407866</c:v>
                </c:pt>
                <c:pt idx="123">
                  <c:v>2664.1277713209856</c:v>
                </c:pt>
                <c:pt idx="124">
                  <c:v>2675.2283037015004</c:v>
                </c:pt>
                <c:pt idx="125">
                  <c:v>2686.3750883003231</c:v>
                </c:pt>
                <c:pt idx="126">
                  <c:v>2697.56831783487</c:v>
                </c:pt>
                <c:pt idx="127">
                  <c:v>2708.8081858258229</c:v>
                </c:pt>
                <c:pt idx="128">
                  <c:v>2720.0948866001563</c:v>
                </c:pt>
                <c:pt idx="129">
                  <c:v>2731.4286152942805</c:v>
                </c:pt>
                <c:pt idx="130">
                  <c:v>2742.8095678579994</c:v>
                </c:pt>
                <c:pt idx="131">
                  <c:v>2754.2379410574213</c:v>
                </c:pt>
                <c:pt idx="132">
                  <c:v>2765.7139324784512</c:v>
                </c:pt>
                <c:pt idx="133">
                  <c:v>2777.237740530516</c:v>
                </c:pt>
                <c:pt idx="134">
                  <c:v>2788.8095644493587</c:v>
                </c:pt>
                <c:pt idx="135">
                  <c:v>2800.4296043012291</c:v>
                </c:pt>
                <c:pt idx="136">
                  <c:v>2812.0980609857943</c:v>
                </c:pt>
                <c:pt idx="137">
                  <c:v>2823.8151362398639</c:v>
                </c:pt>
                <c:pt idx="138">
                  <c:v>2835.5810326408828</c:v>
                </c:pt>
                <c:pt idx="139">
                  <c:v>2847.3959536103066</c:v>
                </c:pt>
                <c:pt idx="140">
                  <c:v>2859.2601034169784</c:v>
                </c:pt>
                <c:pt idx="141">
                  <c:v>2871.1736871812027</c:v>
                </c:pt>
                <c:pt idx="142">
                  <c:v>2883.1369108777726</c:v>
                </c:pt>
                <c:pt idx="143">
                  <c:v>2895.1499813398113</c:v>
                </c:pt>
                <c:pt idx="144">
                  <c:v>2907.2131062620319</c:v>
                </c:pt>
                <c:pt idx="145">
                  <c:v>2919.3264942048118</c:v>
                </c:pt>
                <c:pt idx="146">
                  <c:v>2931.4903545973357</c:v>
                </c:pt>
                <c:pt idx="147">
                  <c:v>2943.7048977414379</c:v>
                </c:pt>
                <c:pt idx="148">
                  <c:v>2955.9703348154435</c:v>
                </c:pt>
                <c:pt idx="149">
                  <c:v>2968.286877877079</c:v>
                </c:pt>
                <c:pt idx="150">
                  <c:v>2980.6547398682451</c:v>
                </c:pt>
                <c:pt idx="151">
                  <c:v>2993.0741346176947</c:v>
                </c:pt>
                <c:pt idx="152">
                  <c:v>3005.5452768453397</c:v>
                </c:pt>
                <c:pt idx="153">
                  <c:v>3018.0683821655111</c:v>
                </c:pt>
                <c:pt idx="154">
                  <c:v>3030.6436670911498</c:v>
                </c:pt>
                <c:pt idx="155">
                  <c:v>3043.2713490374153</c:v>
                </c:pt>
                <c:pt idx="156">
                  <c:v>3055.951646325062</c:v>
                </c:pt>
                <c:pt idx="157">
                  <c:v>3068.6847781847464</c:v>
                </c:pt>
                <c:pt idx="158">
                  <c:v>3081.4709647605196</c:v>
                </c:pt>
                <c:pt idx="159">
                  <c:v>3094.310427113669</c:v>
                </c:pt>
                <c:pt idx="160">
                  <c:v>3107.2033872266766</c:v>
                </c:pt>
                <c:pt idx="161">
                  <c:v>3120.1500680067111</c:v>
                </c:pt>
                <c:pt idx="162">
                  <c:v>3133.1506932901684</c:v>
                </c:pt>
                <c:pt idx="163">
                  <c:v>3146.2054878454655</c:v>
                </c:pt>
                <c:pt idx="164">
                  <c:v>3159.3146773781627</c:v>
                </c:pt>
                <c:pt idx="165">
                  <c:v>3172.478488533874</c:v>
                </c:pt>
                <c:pt idx="166">
                  <c:v>3185.6971489028074</c:v>
                </c:pt>
                <c:pt idx="167">
                  <c:v>3198.9708870232571</c:v>
                </c:pt>
                <c:pt idx="168">
                  <c:v>3212.2999323857948</c:v>
                </c:pt>
                <c:pt idx="169">
                  <c:v>3225.6845154374605</c:v>
                </c:pt>
                <c:pt idx="170">
                  <c:v>3239.1248675851384</c:v>
                </c:pt>
                <c:pt idx="171">
                  <c:v>3252.6212212000974</c:v>
                </c:pt>
                <c:pt idx="172">
                  <c:v>3266.1738096217159</c:v>
                </c:pt>
                <c:pt idx="173">
                  <c:v>3279.7828671617899</c:v>
                </c:pt>
                <c:pt idx="174">
                  <c:v>3293.4486291082576</c:v>
                </c:pt>
                <c:pt idx="175">
                  <c:v>3307.1713317296235</c:v>
                </c:pt>
                <c:pt idx="176">
                  <c:v>3320.9512122784508</c:v>
                </c:pt>
                <c:pt idx="177">
                  <c:v>3334.788508996251</c:v>
                </c:pt>
                <c:pt idx="178">
                  <c:v>3348.6834611170925</c:v>
                </c:pt>
                <c:pt idx="179">
                  <c:v>3362.6363088717917</c:v>
                </c:pt>
                <c:pt idx="180">
                  <c:v>3376.6472934921039</c:v>
                </c:pt>
                <c:pt idx="181">
                  <c:v>3390.7166572149144</c:v>
                </c:pt>
                <c:pt idx="182">
                  <c:v>3404.8446432866622</c:v>
                </c:pt>
                <c:pt idx="183">
                  <c:v>3419.031495967065</c:v>
                </c:pt>
                <c:pt idx="184">
                  <c:v>3433.2774605335435</c:v>
                </c:pt>
                <c:pt idx="185">
                  <c:v>3447.5827832857613</c:v>
                </c:pt>
                <c:pt idx="186">
                  <c:v>3461.9477115494665</c:v>
                </c:pt>
                <c:pt idx="187">
                  <c:v>3476.3724936809158</c:v>
                </c:pt>
                <c:pt idx="188">
                  <c:v>3490.8573790712981</c:v>
                </c:pt>
                <c:pt idx="189">
                  <c:v>3505.4026181506924</c:v>
                </c:pt>
                <c:pt idx="190">
                  <c:v>3520.0084623930743</c:v>
                </c:pt>
                <c:pt idx="191">
                  <c:v>3534.6751643196912</c:v>
                </c:pt>
                <c:pt idx="192">
                  <c:v>3549.4029775043018</c:v>
                </c:pt>
                <c:pt idx="193">
                  <c:v>3564.19215657725</c:v>
                </c:pt>
                <c:pt idx="194">
                  <c:v>3579.0429572296562</c:v>
                </c:pt>
                <c:pt idx="195">
                  <c:v>3593.9556362180738</c:v>
                </c:pt>
                <c:pt idx="196">
                  <c:v>3608.9304513690295</c:v>
                </c:pt>
                <c:pt idx="197">
                  <c:v>3623.9676615830977</c:v>
                </c:pt>
                <c:pt idx="198">
                  <c:v>3639.0675268396735</c:v>
                </c:pt>
                <c:pt idx="199">
                  <c:v>3654.2303082015133</c:v>
                </c:pt>
                <c:pt idx="200">
                  <c:v>3669.4562678190414</c:v>
                </c:pt>
                <c:pt idx="201">
                  <c:v>3684.7456689349492</c:v>
                </c:pt>
                <c:pt idx="202">
                  <c:v>3700.0987758887932</c:v>
                </c:pt>
                <c:pt idx="203">
                  <c:v>3715.5158541217097</c:v>
                </c:pt>
                <c:pt idx="204">
                  <c:v>3730.997170180548</c:v>
                </c:pt>
                <c:pt idx="205">
                  <c:v>3746.5429917229339</c:v>
                </c:pt>
                <c:pt idx="206">
                  <c:v>3762.1535875218106</c:v>
                </c:pt>
                <c:pt idx="207">
                  <c:v>3777.8292274698033</c:v>
                </c:pt>
                <c:pt idx="208">
                  <c:v>3793.5701825842843</c:v>
                </c:pt>
                <c:pt idx="209">
                  <c:v>3809.3767250116798</c:v>
                </c:pt>
                <c:pt idx="210">
                  <c:v>3825.2491280325921</c:v>
                </c:pt>
                <c:pt idx="211">
                  <c:v>3841.1876660660491</c:v>
                </c:pt>
                <c:pt idx="212">
                  <c:v>3857.1926146746264</c:v>
                </c:pt>
                <c:pt idx="213">
                  <c:v>3873.2642505691038</c:v>
                </c:pt>
                <c:pt idx="214">
                  <c:v>3889.4028516131802</c:v>
                </c:pt>
                <c:pt idx="215">
                  <c:v>3905.608696828247</c:v>
                </c:pt>
                <c:pt idx="216">
                  <c:v>3921.8820663983352</c:v>
                </c:pt>
                <c:pt idx="217">
                  <c:v>3938.2232416750048</c:v>
                </c:pt>
                <c:pt idx="218">
                  <c:v>3954.6325051820022</c:v>
                </c:pt>
                <c:pt idx="219">
                  <c:v>3971.1101406202652</c:v>
                </c:pt>
                <c:pt idx="220">
                  <c:v>3987.6564328728127</c:v>
                </c:pt>
                <c:pt idx="221">
                  <c:v>4004.2716680098092</c:v>
                </c:pt>
                <c:pt idx="222">
                  <c:v>4020.9561332931626</c:v>
                </c:pt>
                <c:pt idx="223">
                  <c:v>4037.7101171818795</c:v>
                </c:pt>
                <c:pt idx="224">
                  <c:v>4054.5339093368384</c:v>
                </c:pt>
                <c:pt idx="225">
                  <c:v>4071.4278006257373</c:v>
                </c:pt>
                <c:pt idx="226">
                  <c:v>4088.3920831283322</c:v>
                </c:pt>
                <c:pt idx="227">
                  <c:v>4105.4270501413848</c:v>
                </c:pt>
                <c:pt idx="228">
                  <c:v>4122.5329961836105</c:v>
                </c:pt>
                <c:pt idx="229">
                  <c:v>4139.710217001033</c:v>
                </c:pt>
                <c:pt idx="230">
                  <c:v>4156.959009571874</c:v>
                </c:pt>
                <c:pt idx="231">
                  <c:v>4174.279672111792</c:v>
                </c:pt>
                <c:pt idx="232">
                  <c:v>4191.6725040788879</c:v>
                </c:pt>
                <c:pt idx="233">
                  <c:v>4209.1378061792348</c:v>
                </c:pt>
                <c:pt idx="234">
                  <c:v>4226.6758803716511</c:v>
                </c:pt>
                <c:pt idx="235">
                  <c:v>4244.2870298731723</c:v>
                </c:pt>
                <c:pt idx="236">
                  <c:v>4261.9715591643471</c:v>
                </c:pt>
                <c:pt idx="237">
                  <c:v>4279.729773994186</c:v>
                </c:pt>
                <c:pt idx="238">
                  <c:v>4297.5619813858066</c:v>
                </c:pt>
                <c:pt idx="239">
                  <c:v>4315.4684896416147</c:v>
                </c:pt>
                <c:pt idx="240">
                  <c:v>4333.4496083484264</c:v>
                </c:pt>
                <c:pt idx="241">
                  <c:v>4351.5056483832304</c:v>
                </c:pt>
                <c:pt idx="242">
                  <c:v>4369.6369219181361</c:v>
                </c:pt>
                <c:pt idx="243">
                  <c:v>4387.8437424261356</c:v>
                </c:pt>
                <c:pt idx="244">
                  <c:v>4406.1264246862265</c:v>
                </c:pt>
                <c:pt idx="245">
                  <c:v>4424.4852847891161</c:v>
                </c:pt>
                <c:pt idx="246">
                  <c:v>4442.9206401424017</c:v>
                </c:pt>
                <c:pt idx="247">
                  <c:v>4461.4328094763332</c:v>
                </c:pt>
                <c:pt idx="248">
                  <c:v>4480.0221128491685</c:v>
                </c:pt>
                <c:pt idx="249">
                  <c:v>4498.6888716527028</c:v>
                </c:pt>
                <c:pt idx="250">
                  <c:v>4517.4334086179151</c:v>
                </c:pt>
                <c:pt idx="251">
                  <c:v>4536.2560478204978</c:v>
                </c:pt>
                <c:pt idx="252">
                  <c:v>4555.1571146863862</c:v>
                </c:pt>
                <c:pt idx="253">
                  <c:v>4574.1369359975797</c:v>
                </c:pt>
                <c:pt idx="254">
                  <c:v>4593.1958398975548</c:v>
                </c:pt>
                <c:pt idx="255">
                  <c:v>4612.3341558971442</c:v>
                </c:pt>
                <c:pt idx="256">
                  <c:v>4631.5522148800665</c:v>
                </c:pt>
                <c:pt idx="257">
                  <c:v>4650.8503491087467</c:v>
                </c:pt>
                <c:pt idx="258">
                  <c:v>4670.2288922300213</c:v>
                </c:pt>
                <c:pt idx="259">
                  <c:v>4689.6881792809581</c:v>
                </c:pt>
                <c:pt idx="260">
                  <c:v>4709.2285466946196</c:v>
                </c:pt>
                <c:pt idx="261">
                  <c:v>4728.8503323058831</c:v>
                </c:pt>
                <c:pt idx="262">
                  <c:v>4748.5538753571454</c:v>
                </c:pt>
                <c:pt idx="263">
                  <c:v>4768.3395165044349</c:v>
                </c:pt>
                <c:pt idx="264">
                  <c:v>4788.2075978232315</c:v>
                </c:pt>
                <c:pt idx="265">
                  <c:v>4808.1584628141136</c:v>
                </c:pt>
                <c:pt idx="266">
                  <c:v>4828.1924564092187</c:v>
                </c:pt>
                <c:pt idx="267">
                  <c:v>4848.3099249775987</c:v>
                </c:pt>
                <c:pt idx="268">
                  <c:v>4868.5112163316226</c:v>
                </c:pt>
                <c:pt idx="269">
                  <c:v>4888.79667973303</c:v>
                </c:pt>
                <c:pt idx="270">
                  <c:v>4909.1666658985778</c:v>
                </c:pt>
                <c:pt idx="271">
                  <c:v>4929.6215270065004</c:v>
                </c:pt>
                <c:pt idx="272">
                  <c:v>4950.1616167023312</c:v>
                </c:pt>
                <c:pt idx="273">
                  <c:v>4970.7872901053051</c:v>
                </c:pt>
                <c:pt idx="274">
                  <c:v>4991.4989038140629</c:v>
                </c:pt>
                <c:pt idx="275">
                  <c:v>5012.296815913287</c:v>
                </c:pt>
                <c:pt idx="276">
                  <c:v>5033.1813859795802</c:v>
                </c:pt>
                <c:pt idx="277">
                  <c:v>5054.1529750878108</c:v>
                </c:pt>
                <c:pt idx="278">
                  <c:v>5075.2119458173402</c:v>
                </c:pt>
                <c:pt idx="279">
                  <c:v>5096.3586622582516</c:v>
                </c:pt>
                <c:pt idx="280">
                  <c:v>5117.5934900176944</c:v>
                </c:pt>
                <c:pt idx="281">
                  <c:v>5138.9167962261126</c:v>
                </c:pt>
                <c:pt idx="282">
                  <c:v>5160.3289495437057</c:v>
                </c:pt>
                <c:pt idx="283">
                  <c:v>5181.8303201667732</c:v>
                </c:pt>
                <c:pt idx="284">
                  <c:v>5203.4212798341759</c:v>
                </c:pt>
                <c:pt idx="285">
                  <c:v>5225.1022018334479</c:v>
                </c:pt>
                <c:pt idx="286">
                  <c:v>5246.8734610077809</c:v>
                </c:pt>
                <c:pt idx="287">
                  <c:v>5268.7354337619618</c:v>
                </c:pt>
                <c:pt idx="288">
                  <c:v>5290.6884980693139</c:v>
                </c:pt>
                <c:pt idx="289">
                  <c:v>5312.7330334779253</c:v>
                </c:pt>
                <c:pt idx="290">
                  <c:v>5334.8694211174152</c:v>
                </c:pt>
                <c:pt idx="291">
                  <c:v>5357.0980437054095</c:v>
                </c:pt>
                <c:pt idx="292">
                  <c:v>5379.4192855541769</c:v>
                </c:pt>
                <c:pt idx="293">
                  <c:v>5401.8335325773223</c:v>
                </c:pt>
                <c:pt idx="294">
                  <c:v>5424.3411722963938</c:v>
                </c:pt>
                <c:pt idx="295">
                  <c:v>5446.9425938476343</c:v>
                </c:pt>
                <c:pt idx="296">
                  <c:v>5469.6381879886612</c:v>
                </c:pt>
                <c:pt idx="297">
                  <c:v>5492.4283471052768</c:v>
                </c:pt>
                <c:pt idx="298">
                  <c:v>5515.3134652182198</c:v>
                </c:pt>
                <c:pt idx="299">
                  <c:v>5538.2939379899617</c:v>
                </c:pt>
                <c:pt idx="300">
                  <c:v>5561.3701627315895</c:v>
                </c:pt>
                <c:pt idx="301">
                  <c:v>5584.5425384096379</c:v>
                </c:pt>
                <c:pt idx="302">
                  <c:v>5607.8114656530088</c:v>
                </c:pt>
                <c:pt idx="303">
                  <c:v>5631.1773467598978</c:v>
                </c:pt>
                <c:pt idx="304">
                  <c:v>5654.6405857047284</c:v>
                </c:pt>
                <c:pt idx="305">
                  <c:v>5678.2015881451662</c:v>
                </c:pt>
                <c:pt idx="306">
                  <c:v>5701.8607614291031</c:v>
                </c:pt>
                <c:pt idx="307">
                  <c:v>5725.6185146017269</c:v>
                </c:pt>
                <c:pt idx="308">
                  <c:v>5749.4752584125672</c:v>
                </c:pt>
                <c:pt idx="309">
                  <c:v>5773.431405322619</c:v>
                </c:pt>
                <c:pt idx="310">
                  <c:v>5797.4873695114638</c:v>
                </c:pt>
                <c:pt idx="311">
                  <c:v>5821.6435668844279</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smooth val="0"/>
        </c:ser>
        <c:dLbls>
          <c:showLegendKey val="0"/>
          <c:showVal val="0"/>
          <c:showCatName val="0"/>
          <c:showSerName val="0"/>
          <c:showPercent val="0"/>
          <c:showBubbleSize val="0"/>
        </c:dLbls>
        <c:marker val="1"/>
        <c:smooth val="0"/>
        <c:axId val="78534528"/>
        <c:axId val="78536064"/>
      </c:lineChart>
      <c:catAx>
        <c:axId val="78534528"/>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Garamond"/>
                <a:ea typeface="Garamond"/>
                <a:cs typeface="Garamond"/>
              </a:defRPr>
            </a:pPr>
            <a:endParaRPr lang="en-US"/>
          </a:p>
        </c:txPr>
        <c:crossAx val="78536064"/>
        <c:crosses val="autoZero"/>
        <c:auto val="1"/>
        <c:lblAlgn val="ctr"/>
        <c:lblOffset val="100"/>
        <c:noMultiLvlLbl val="0"/>
      </c:catAx>
      <c:valAx>
        <c:axId val="78536064"/>
        <c:scaling>
          <c:orientation val="minMax"/>
          <c:min val="0"/>
        </c:scaling>
        <c:delete val="0"/>
        <c:axPos val="l"/>
        <c:numFmt formatCode="&quot;$&quot;#,##0_);[Red]\(&quot;$&quot;#,##0\)" sourceLinked="1"/>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en-US"/>
          </a:p>
        </c:txPr>
        <c:crossAx val="78534528"/>
        <c:crosses val="autoZero"/>
        <c:crossBetween val="between"/>
      </c:valAx>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95" r="0.70000000000000095" t="0.750000000000001"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1" i="0" u="none" strike="noStrike" baseline="0">
                <a:solidFill>
                  <a:srgbClr val="000000"/>
                </a:solidFill>
                <a:latin typeface="Garamond"/>
                <a:ea typeface="Garamond"/>
                <a:cs typeface="Garamond"/>
              </a:defRPr>
            </a:pPr>
            <a:r>
              <a:rPr lang="en-US"/>
              <a:t>Loan Ending Balance</a:t>
            </a:r>
          </a:p>
        </c:rich>
      </c:tx>
      <c:layout>
        <c:manualLayout>
          <c:xMode val="edge"/>
          <c:yMode val="edge"/>
          <c:x val="0.30093691044525001"/>
          <c:y val="3.6126695662015602E-2"/>
        </c:manualLayout>
      </c:layout>
      <c:overlay val="0"/>
    </c:title>
    <c:autoTitleDeleted val="0"/>
    <c:plotArea>
      <c:layout>
        <c:manualLayout>
          <c:layoutTarget val="inner"/>
          <c:xMode val="edge"/>
          <c:yMode val="edge"/>
          <c:x val="0.14540466392318199"/>
          <c:y val="8.0082135523613998E-2"/>
          <c:w val="0.843621399176955"/>
          <c:h val="0.83162217659137705"/>
        </c:manualLayout>
      </c:layout>
      <c:lineChart>
        <c:grouping val="stacked"/>
        <c:varyColors val="0"/>
        <c:ser>
          <c:idx val="0"/>
          <c:order val="0"/>
          <c:marker>
            <c:symbol val="none"/>
          </c:marker>
          <c:val>
            <c:numRef>
              <c:f>'Mortgage Payment Ex. Solution'!$K$12:$K$371</c:f>
              <c:numCache>
                <c:formatCode>"$"#,##0_);[Red]\("$"#,##0\)</c:formatCode>
                <c:ptCount val="360"/>
                <c:pt idx="0">
                  <c:v>1000000</c:v>
                </c:pt>
                <c:pt idx="1">
                  <c:v>1000000</c:v>
                </c:pt>
                <c:pt idx="2">
                  <c:v>1000000</c:v>
                </c:pt>
                <c:pt idx="3">
                  <c:v>1000000</c:v>
                </c:pt>
                <c:pt idx="4">
                  <c:v>1000000</c:v>
                </c:pt>
                <c:pt idx="5">
                  <c:v>1000000</c:v>
                </c:pt>
                <c:pt idx="6">
                  <c:v>1000000</c:v>
                </c:pt>
                <c:pt idx="7">
                  <c:v>1000000</c:v>
                </c:pt>
                <c:pt idx="8">
                  <c:v>1000000</c:v>
                </c:pt>
                <c:pt idx="9">
                  <c:v>1000000</c:v>
                </c:pt>
                <c:pt idx="10">
                  <c:v>1000000</c:v>
                </c:pt>
                <c:pt idx="11">
                  <c:v>1000000</c:v>
                </c:pt>
                <c:pt idx="12">
                  <c:v>998320.76625158684</c:v>
                </c:pt>
                <c:pt idx="13">
                  <c:v>996634.53569588868</c:v>
                </c:pt>
                <c:pt idx="14">
                  <c:v>994941.27917954174</c:v>
                </c:pt>
                <c:pt idx="15">
                  <c:v>993240.96742771007</c:v>
                </c:pt>
                <c:pt idx="16">
                  <c:v>991533.57104357902</c:v>
                </c:pt>
                <c:pt idx="17">
                  <c:v>989819.06050784746</c:v>
                </c:pt>
                <c:pt idx="18">
                  <c:v>988097.40617821703</c:v>
                </c:pt>
                <c:pt idx="19">
                  <c:v>986368.57828887983</c:v>
                </c:pt>
                <c:pt idx="20">
                  <c:v>984632.54695000371</c:v>
                </c:pt>
                <c:pt idx="21">
                  <c:v>982889.28214721556</c:v>
                </c:pt>
                <c:pt idx="22">
                  <c:v>981138.7537410825</c:v>
                </c:pt>
                <c:pt idx="23">
                  <c:v>979380.9314665905</c:v>
                </c:pt>
                <c:pt idx="24">
                  <c:v>977615.78493262152</c:v>
                </c:pt>
                <c:pt idx="25">
                  <c:v>975843.2836214276</c:v>
                </c:pt>
                <c:pt idx="26">
                  <c:v>974063.3968881038</c:v>
                </c:pt>
                <c:pt idx="27">
                  <c:v>972276.09396005771</c:v>
                </c:pt>
                <c:pt idx="28">
                  <c:v>970481.34393647814</c:v>
                </c:pt>
                <c:pt idx="29">
                  <c:v>968679.11578780029</c:v>
                </c:pt>
                <c:pt idx="30">
                  <c:v>966869.37835516967</c:v>
                </c:pt>
                <c:pt idx="31">
                  <c:v>965052.10034990311</c:v>
                </c:pt>
                <c:pt idx="32">
                  <c:v>963227.25035294786</c:v>
                </c:pt>
                <c:pt idx="33">
                  <c:v>961394.79681433865</c:v>
                </c:pt>
                <c:pt idx="34">
                  <c:v>959554.70805265196</c:v>
                </c:pt>
                <c:pt idx="35">
                  <c:v>957706.95225445821</c:v>
                </c:pt>
                <c:pt idx="36">
                  <c:v>955851.49747377203</c:v>
                </c:pt>
                <c:pt idx="37">
                  <c:v>953988.31163149967</c:v>
                </c:pt>
                <c:pt idx="38">
                  <c:v>952117.36251488444</c:v>
                </c:pt>
                <c:pt idx="39">
                  <c:v>950238.61777695001</c:v>
                </c:pt>
                <c:pt idx="40">
                  <c:v>948352.04493594088</c:v>
                </c:pt>
                <c:pt idx="41">
                  <c:v>946457.61137476086</c:v>
                </c:pt>
                <c:pt idx="42">
                  <c:v>944555.28434040921</c:v>
                </c:pt>
                <c:pt idx="43">
                  <c:v>942645.03094341443</c:v>
                </c:pt>
                <c:pt idx="44">
                  <c:v>940726.81815726554</c:v>
                </c:pt>
                <c:pt idx="45">
                  <c:v>938800.612817841</c:v>
                </c:pt>
                <c:pt idx="46">
                  <c:v>936866.38162283553</c:v>
                </c:pt>
                <c:pt idx="47">
                  <c:v>934924.09113118425</c:v>
                </c:pt>
                <c:pt idx="48">
                  <c:v>932973.70776248444</c:v>
                </c:pt>
                <c:pt idx="49">
                  <c:v>931015.19779641496</c:v>
                </c:pt>
                <c:pt idx="50">
                  <c:v>929048.52737215359</c:v>
                </c:pt>
                <c:pt idx="51">
                  <c:v>927073.66248779115</c:v>
                </c:pt>
                <c:pt idx="52">
                  <c:v>925090.56899974379</c:v>
                </c:pt>
                <c:pt idx="53">
                  <c:v>923099.21262216289</c:v>
                </c:pt>
                <c:pt idx="54">
                  <c:v>921099.55892634206</c:v>
                </c:pt>
                <c:pt idx="55">
                  <c:v>919091.57334012201</c:v>
                </c:pt>
                <c:pt idx="56">
                  <c:v>917075.22114729276</c:v>
                </c:pt>
                <c:pt idx="57">
                  <c:v>915050.46748699329</c:v>
                </c:pt>
                <c:pt idx="58">
                  <c:v>913017.27735310933</c:v>
                </c:pt>
                <c:pt idx="59">
                  <c:v>910975.61559366749</c:v>
                </c:pt>
                <c:pt idx="60">
                  <c:v>908925.446910228</c:v>
                </c:pt>
                <c:pt idx="61">
                  <c:v>906866.73585727415</c:v>
                </c:pt>
                <c:pt idx="62">
                  <c:v>904799.44684159965</c:v>
                </c:pt>
                <c:pt idx="63">
                  <c:v>902723.54412169324</c:v>
                </c:pt>
                <c:pt idx="64">
                  <c:v>900638.9918071205</c:v>
                </c:pt>
                <c:pt idx="65">
                  <c:v>898545.75385790376</c:v>
                </c:pt>
                <c:pt idx="66">
                  <c:v>896443.79408389854</c:v>
                </c:pt>
                <c:pt idx="67">
                  <c:v>894333.07614416827</c:v>
                </c:pt>
                <c:pt idx="68">
                  <c:v>892213.56354635581</c:v>
                </c:pt>
                <c:pt idx="69">
                  <c:v>890085.21964605246</c:v>
                </c:pt>
                <c:pt idx="70">
                  <c:v>887948.00764616451</c:v>
                </c:pt>
                <c:pt idx="71">
                  <c:v>885801.89059627708</c:v>
                </c:pt>
                <c:pt idx="72">
                  <c:v>883646.8313920151</c:v>
                </c:pt>
                <c:pt idx="73">
                  <c:v>881482.79277440207</c:v>
                </c:pt>
                <c:pt idx="74">
                  <c:v>879309.73732921563</c:v>
                </c:pt>
                <c:pt idx="75">
                  <c:v>877127.62748634093</c:v>
                </c:pt>
                <c:pt idx="76">
                  <c:v>874936.42551912088</c:v>
                </c:pt>
                <c:pt idx="77">
                  <c:v>872736.09354370413</c:v>
                </c:pt>
                <c:pt idx="78">
                  <c:v>870526.59351838974</c:v>
                </c:pt>
                <c:pt idx="79">
                  <c:v>868307.88724296994</c:v>
                </c:pt>
                <c:pt idx="80">
                  <c:v>866079.93635806919</c:v>
                </c:pt>
                <c:pt idx="81">
                  <c:v>863842.70234448137</c:v>
                </c:pt>
                <c:pt idx="82">
                  <c:v>861596.14652250358</c:v>
                </c:pt>
                <c:pt idx="83">
                  <c:v>859340.23005126754</c:v>
                </c:pt>
                <c:pt idx="84">
                  <c:v>857074.91392806801</c:v>
                </c:pt>
                <c:pt idx="85">
                  <c:v>854800.15898768848</c:v>
                </c:pt>
                <c:pt idx="86">
                  <c:v>852515.92590172403</c:v>
                </c:pt>
                <c:pt idx="87">
                  <c:v>850222.1751779014</c:v>
                </c:pt>
                <c:pt idx="88">
                  <c:v>847918.86715939618</c:v>
                </c:pt>
                <c:pt idx="89">
                  <c:v>845605.96202414716</c:v>
                </c:pt>
                <c:pt idx="90">
                  <c:v>843283.41978416801</c:v>
                </c:pt>
                <c:pt idx="91">
                  <c:v>840951.20028485556</c:v>
                </c:pt>
                <c:pt idx="92">
                  <c:v>838609.263204296</c:v>
                </c:pt>
                <c:pt idx="93">
                  <c:v>836257.56805256743</c:v>
                </c:pt>
                <c:pt idx="94">
                  <c:v>833896.07417103997</c:v>
                </c:pt>
                <c:pt idx="95">
                  <c:v>831524.74073167285</c:v>
                </c:pt>
                <c:pt idx="96">
                  <c:v>829143.52673630835</c:v>
                </c:pt>
                <c:pt idx="97">
                  <c:v>826752.39101596316</c:v>
                </c:pt>
                <c:pt idx="98">
                  <c:v>824351.29223011655</c:v>
                </c:pt>
                <c:pt idx="99">
                  <c:v>821940.18886599562</c:v>
                </c:pt>
                <c:pt idx="100">
                  <c:v>819519.03923785745</c:v>
                </c:pt>
                <c:pt idx="101">
                  <c:v>817087.80148626876</c:v>
                </c:pt>
                <c:pt idx="102">
                  <c:v>814646.43357738177</c:v>
                </c:pt>
                <c:pt idx="103">
                  <c:v>812194.8933022077</c:v>
                </c:pt>
                <c:pt idx="104">
                  <c:v>809733.13827588712</c:v>
                </c:pt>
                <c:pt idx="105">
                  <c:v>807261.12593695684</c:v>
                </c:pt>
                <c:pt idx="106">
                  <c:v>804778.81354661437</c:v>
                </c:pt>
                <c:pt idx="107">
                  <c:v>802286.15818797878</c:v>
                </c:pt>
                <c:pt idx="108">
                  <c:v>799783.11676534894</c:v>
                </c:pt>
                <c:pt idx="109">
                  <c:v>797269.64600345807</c:v>
                </c:pt>
                <c:pt idx="110">
                  <c:v>794745.70244672603</c:v>
                </c:pt>
                <c:pt idx="111">
                  <c:v>792211.24245850765</c:v>
                </c:pt>
                <c:pt idx="112">
                  <c:v>789666.2222203383</c:v>
                </c:pt>
                <c:pt idx="113">
                  <c:v>787110.59773117653</c:v>
                </c:pt>
                <c:pt idx="114">
                  <c:v>784544.3248066433</c:v>
                </c:pt>
                <c:pt idx="115">
                  <c:v>781967.35907825781</c:v>
                </c:pt>
                <c:pt idx="116">
                  <c:v>779379.6559926708</c:v>
                </c:pt>
                <c:pt idx="117">
                  <c:v>776781.17081089376</c:v>
                </c:pt>
                <c:pt idx="118">
                  <c:v>774171.85860752605</c:v>
                </c:pt>
                <c:pt idx="119">
                  <c:v>771551.67426997761</c:v>
                </c:pt>
                <c:pt idx="120">
                  <c:v>768920.5724976894</c:v>
                </c:pt>
                <c:pt idx="121">
                  <c:v>766278.50780134997</c:v>
                </c:pt>
                <c:pt idx="122">
                  <c:v>763625.43450210919</c:v>
                </c:pt>
                <c:pt idx="123">
                  <c:v>760961.3067307882</c:v>
                </c:pt>
                <c:pt idx="124">
                  <c:v>758286.0784270867</c:v>
                </c:pt>
                <c:pt idx="125">
                  <c:v>755599.70333878638</c:v>
                </c:pt>
                <c:pt idx="126">
                  <c:v>752902.13502095151</c:v>
                </c:pt>
                <c:pt idx="127">
                  <c:v>750193.32683512568</c:v>
                </c:pt>
                <c:pt idx="128">
                  <c:v>747473.23194852553</c:v>
                </c:pt>
                <c:pt idx="129">
                  <c:v>744741.80333323125</c:v>
                </c:pt>
                <c:pt idx="130">
                  <c:v>741998.99376537325</c:v>
                </c:pt>
                <c:pt idx="131">
                  <c:v>739244.75582431583</c:v>
                </c:pt>
                <c:pt idx="132">
                  <c:v>736479.04189183738</c:v>
                </c:pt>
                <c:pt idx="133">
                  <c:v>733701.80415130686</c:v>
                </c:pt>
                <c:pt idx="134">
                  <c:v>730912.9945868575</c:v>
                </c:pt>
                <c:pt idx="135">
                  <c:v>728112.56498255627</c:v>
                </c:pt>
                <c:pt idx="136">
                  <c:v>725300.46692157048</c:v>
                </c:pt>
                <c:pt idx="137">
                  <c:v>722476.65178533061</c:v>
                </c:pt>
                <c:pt idx="138">
                  <c:v>719641.07075268973</c:v>
                </c:pt>
                <c:pt idx="139">
                  <c:v>716793.67479907942</c:v>
                </c:pt>
                <c:pt idx="140">
                  <c:v>713934.41469566245</c:v>
                </c:pt>
                <c:pt idx="141">
                  <c:v>711063.24100848124</c:v>
                </c:pt>
                <c:pt idx="142">
                  <c:v>708180.10409760347</c:v>
                </c:pt>
                <c:pt idx="143">
                  <c:v>705284.95411626366</c:v>
                </c:pt>
                <c:pt idx="144">
                  <c:v>702377.74101000163</c:v>
                </c:pt>
                <c:pt idx="145">
                  <c:v>699458.41451579682</c:v>
                </c:pt>
                <c:pt idx="146">
                  <c:v>696526.92416119948</c:v>
                </c:pt>
                <c:pt idx="147">
                  <c:v>693583.21926345804</c:v>
                </c:pt>
                <c:pt idx="148">
                  <c:v>690627.2489286426</c:v>
                </c:pt>
                <c:pt idx="149">
                  <c:v>687658.96205076552</c:v>
                </c:pt>
                <c:pt idx="150">
                  <c:v>684678.30731089727</c:v>
                </c:pt>
                <c:pt idx="151">
                  <c:v>681685.23317627958</c:v>
                </c:pt>
                <c:pt idx="152">
                  <c:v>678679.68789943424</c:v>
                </c:pt>
                <c:pt idx="153">
                  <c:v>675661.61951726873</c:v>
                </c:pt>
                <c:pt idx="154">
                  <c:v>672630.97585017758</c:v>
                </c:pt>
                <c:pt idx="155">
                  <c:v>669587.70450114016</c:v>
                </c:pt>
                <c:pt idx="156">
                  <c:v>666531.7528548151</c:v>
                </c:pt>
                <c:pt idx="157">
                  <c:v>663463.06807663036</c:v>
                </c:pt>
                <c:pt idx="158">
                  <c:v>660381.59711186984</c:v>
                </c:pt>
                <c:pt idx="159">
                  <c:v>657287.28668475617</c:v>
                </c:pt>
                <c:pt idx="160">
                  <c:v>654180.08329752949</c:v>
                </c:pt>
                <c:pt idx="161">
                  <c:v>651059.93322952278</c:v>
                </c:pt>
                <c:pt idx="162">
                  <c:v>647926.78253623261</c:v>
                </c:pt>
                <c:pt idx="163">
                  <c:v>644780.57704838715</c:v>
                </c:pt>
                <c:pt idx="164">
                  <c:v>641621.26237100898</c:v>
                </c:pt>
                <c:pt idx="165">
                  <c:v>638448.78388247511</c:v>
                </c:pt>
                <c:pt idx="166">
                  <c:v>635263.0867335723</c:v>
                </c:pt>
                <c:pt idx="167">
                  <c:v>632064.11584654904</c:v>
                </c:pt>
                <c:pt idx="168">
                  <c:v>628851.81591416325</c:v>
                </c:pt>
                <c:pt idx="169">
                  <c:v>625626.13139872579</c:v>
                </c:pt>
                <c:pt idx="170">
                  <c:v>622387.00653114065</c:v>
                </c:pt>
                <c:pt idx="171">
                  <c:v>619134.38530994055</c:v>
                </c:pt>
                <c:pt idx="172">
                  <c:v>615868.21150031884</c:v>
                </c:pt>
                <c:pt idx="173">
                  <c:v>612588.42863315705</c:v>
                </c:pt>
                <c:pt idx="174">
                  <c:v>609294.98000404879</c:v>
                </c:pt>
                <c:pt idx="175">
                  <c:v>605987.80867231917</c:v>
                </c:pt>
                <c:pt idx="176">
                  <c:v>602666.85746004072</c:v>
                </c:pt>
                <c:pt idx="177">
                  <c:v>599332.06895104446</c:v>
                </c:pt>
                <c:pt idx="178">
                  <c:v>595983.38548992737</c:v>
                </c:pt>
                <c:pt idx="179">
                  <c:v>592620.74918105558</c:v>
                </c:pt>
                <c:pt idx="180">
                  <c:v>589244.10188756348</c:v>
                </c:pt>
                <c:pt idx="181">
                  <c:v>585853.38523034856</c:v>
                </c:pt>
                <c:pt idx="182">
                  <c:v>582448.5405870619</c:v>
                </c:pt>
                <c:pt idx="183">
                  <c:v>579029.50909109483</c:v>
                </c:pt>
                <c:pt idx="184">
                  <c:v>575596.23163056129</c:v>
                </c:pt>
                <c:pt idx="185">
                  <c:v>572148.64884727553</c:v>
                </c:pt>
                <c:pt idx="186">
                  <c:v>568686.70113572606</c:v>
                </c:pt>
                <c:pt idx="187">
                  <c:v>565210.32864204515</c:v>
                </c:pt>
                <c:pt idx="188">
                  <c:v>561719.47126297385</c:v>
                </c:pt>
                <c:pt idx="189">
                  <c:v>558214.06864482316</c:v>
                </c:pt>
                <c:pt idx="190">
                  <c:v>554694.06018243008</c:v>
                </c:pt>
                <c:pt idx="191">
                  <c:v>551159.38501811039</c:v>
                </c:pt>
                <c:pt idx="192">
                  <c:v>547609.98204060609</c:v>
                </c:pt>
                <c:pt idx="193">
                  <c:v>544045.78988402884</c:v>
                </c:pt>
                <c:pt idx="194">
                  <c:v>540466.74692679918</c:v>
                </c:pt>
                <c:pt idx="195">
                  <c:v>536872.79129058111</c:v>
                </c:pt>
                <c:pt idx="196">
                  <c:v>533263.86083921208</c:v>
                </c:pt>
                <c:pt idx="197">
                  <c:v>529639.89317762898</c:v>
                </c:pt>
                <c:pt idx="198">
                  <c:v>526000.82565078931</c:v>
                </c:pt>
                <c:pt idx="199">
                  <c:v>522346.5953425878</c:v>
                </c:pt>
                <c:pt idx="200">
                  <c:v>518677.13907476875</c:v>
                </c:pt>
                <c:pt idx="201">
                  <c:v>514992.39340583381</c:v>
                </c:pt>
                <c:pt idx="202">
                  <c:v>511292.29462994501</c:v>
                </c:pt>
                <c:pt idx="203">
                  <c:v>507576.7787758233</c:v>
                </c:pt>
                <c:pt idx="204">
                  <c:v>503845.78160564275</c:v>
                </c:pt>
                <c:pt idx="205">
                  <c:v>500099.23861391982</c:v>
                </c:pt>
                <c:pt idx="206">
                  <c:v>496337.08502639801</c:v>
                </c:pt>
                <c:pt idx="207">
                  <c:v>492559.25579892821</c:v>
                </c:pt>
                <c:pt idx="208">
                  <c:v>488765.68561634392</c:v>
                </c:pt>
                <c:pt idx="209">
                  <c:v>484956.30889133224</c:v>
                </c:pt>
                <c:pt idx="210">
                  <c:v>481131.05976329965</c:v>
                </c:pt>
                <c:pt idx="211">
                  <c:v>477289.8720972336</c:v>
                </c:pt>
                <c:pt idx="212">
                  <c:v>473432.67948255897</c:v>
                </c:pt>
                <c:pt idx="213">
                  <c:v>469559.41523198987</c:v>
                </c:pt>
                <c:pt idx="214">
                  <c:v>465670.01238037669</c:v>
                </c:pt>
                <c:pt idx="215">
                  <c:v>461764.40368354844</c:v>
                </c:pt>
                <c:pt idx="216">
                  <c:v>457842.52161715011</c:v>
                </c:pt>
                <c:pt idx="217">
                  <c:v>453904.2983754751</c:v>
                </c:pt>
                <c:pt idx="218">
                  <c:v>449949.6658702931</c:v>
                </c:pt>
                <c:pt idx="219">
                  <c:v>445978.55572967284</c:v>
                </c:pt>
                <c:pt idx="220">
                  <c:v>441990.89929680002</c:v>
                </c:pt>
                <c:pt idx="221">
                  <c:v>437986.62762879021</c:v>
                </c:pt>
                <c:pt idx="222">
                  <c:v>433965.67149549705</c:v>
                </c:pt>
                <c:pt idx="223">
                  <c:v>429927.96137831517</c:v>
                </c:pt>
                <c:pt idx="224">
                  <c:v>425873.42746897833</c:v>
                </c:pt>
                <c:pt idx="225">
                  <c:v>421801.9996683526</c:v>
                </c:pt>
                <c:pt idx="226">
                  <c:v>417713.60758522426</c:v>
                </c:pt>
                <c:pt idx="227">
                  <c:v>413608.18053508288</c:v>
                </c:pt>
                <c:pt idx="228">
                  <c:v>409485.64753889927</c:v>
                </c:pt>
                <c:pt idx="229">
                  <c:v>405345.93732189824</c:v>
                </c:pt>
                <c:pt idx="230">
                  <c:v>401188.97831232636</c:v>
                </c:pt>
                <c:pt idx="231">
                  <c:v>397014.69864021457</c:v>
                </c:pt>
                <c:pt idx="232">
                  <c:v>392823.02613613568</c:v>
                </c:pt>
                <c:pt idx="233">
                  <c:v>388613.88832995645</c:v>
                </c:pt>
                <c:pt idx="234">
                  <c:v>384387.2124495848</c:v>
                </c:pt>
                <c:pt idx="235">
                  <c:v>380142.92541971162</c:v>
                </c:pt>
                <c:pt idx="236">
                  <c:v>375880.95386054728</c:v>
                </c:pt>
                <c:pt idx="237">
                  <c:v>371601.22408655309</c:v>
                </c:pt>
                <c:pt idx="238">
                  <c:v>367303.66210516728</c:v>
                </c:pt>
                <c:pt idx="239">
                  <c:v>362988.19361552567</c:v>
                </c:pt>
                <c:pt idx="240">
                  <c:v>358654.74400717724</c:v>
                </c:pt>
                <c:pt idx="241">
                  <c:v>354303.23835879401</c:v>
                </c:pt>
                <c:pt idx="242">
                  <c:v>349933.60143687588</c:v>
                </c:pt>
                <c:pt idx="243">
                  <c:v>345545.75769444974</c:v>
                </c:pt>
                <c:pt idx="244">
                  <c:v>341139.63126976351</c:v>
                </c:pt>
                <c:pt idx="245">
                  <c:v>336715.1459849744</c:v>
                </c:pt>
                <c:pt idx="246">
                  <c:v>332272.225344832</c:v>
                </c:pt>
                <c:pt idx="247">
                  <c:v>327810.79253535566</c:v>
                </c:pt>
                <c:pt idx="248">
                  <c:v>323330.7704225065</c:v>
                </c:pt>
                <c:pt idx="249">
                  <c:v>318832.08155085379</c:v>
                </c:pt>
                <c:pt idx="250">
                  <c:v>314314.64814223588</c:v>
                </c:pt>
                <c:pt idx="251">
                  <c:v>309778.39209441538</c:v>
                </c:pt>
                <c:pt idx="252">
                  <c:v>305223.23497972899</c:v>
                </c:pt>
                <c:pt idx="253">
                  <c:v>300649.09804373141</c:v>
                </c:pt>
                <c:pt idx="254">
                  <c:v>296055.90220383386</c:v>
                </c:pt>
                <c:pt idx="255">
                  <c:v>291443.56804793671</c:v>
                </c:pt>
                <c:pt idx="256">
                  <c:v>286812.01583305665</c:v>
                </c:pt>
                <c:pt idx="257">
                  <c:v>282161.1654839479</c:v>
                </c:pt>
                <c:pt idx="258">
                  <c:v>277490.93659171788</c:v>
                </c:pt>
                <c:pt idx="259">
                  <c:v>272801.24841243692</c:v>
                </c:pt>
                <c:pt idx="260">
                  <c:v>268092.0198657423</c:v>
                </c:pt>
                <c:pt idx="261">
                  <c:v>263363.16953343642</c:v>
                </c:pt>
                <c:pt idx="262">
                  <c:v>258614.61565807927</c:v>
                </c:pt>
                <c:pt idx="263">
                  <c:v>253846.27614157484</c:v>
                </c:pt>
                <c:pt idx="264">
                  <c:v>249058.06854375161</c:v>
                </c:pt>
                <c:pt idx="265">
                  <c:v>244249.91008093749</c:v>
                </c:pt>
                <c:pt idx="266">
                  <c:v>239421.71762452828</c:v>
                </c:pt>
                <c:pt idx="267">
                  <c:v>234573.40769955068</c:v>
                </c:pt>
                <c:pt idx="268">
                  <c:v>229704.89648321905</c:v>
                </c:pt>
                <c:pt idx="269">
                  <c:v>224816.09980348602</c:v>
                </c:pt>
                <c:pt idx="270">
                  <c:v>219906.93313758745</c:v>
                </c:pt>
                <c:pt idx="271">
                  <c:v>214977.31161058095</c:v>
                </c:pt>
                <c:pt idx="272">
                  <c:v>210027.14999387861</c:v>
                </c:pt>
                <c:pt idx="273">
                  <c:v>205056.36270377331</c:v>
                </c:pt>
                <c:pt idx="274">
                  <c:v>200064.86379995925</c:v>
                </c:pt>
                <c:pt idx="275">
                  <c:v>195052.56698404596</c:v>
                </c:pt>
                <c:pt idx="276">
                  <c:v>190019.38559806638</c:v>
                </c:pt>
                <c:pt idx="277">
                  <c:v>184965.23262297857</c:v>
                </c:pt>
                <c:pt idx="278">
                  <c:v>179890.02067716123</c:v>
                </c:pt>
                <c:pt idx="279">
                  <c:v>174793.66201490298</c:v>
                </c:pt>
                <c:pt idx="280">
                  <c:v>169676.06852488528</c:v>
                </c:pt>
                <c:pt idx="281">
                  <c:v>164537.15172865917</c:v>
                </c:pt>
                <c:pt idx="282">
                  <c:v>159376.82277911546</c:v>
                </c:pt>
                <c:pt idx="283">
                  <c:v>154194.99245894869</c:v>
                </c:pt>
                <c:pt idx="284">
                  <c:v>148991.57117911451</c:v>
                </c:pt>
                <c:pt idx="285">
                  <c:v>143766.46897728107</c:v>
                </c:pt>
                <c:pt idx="286">
                  <c:v>138519.59551627329</c:v>
                </c:pt>
                <c:pt idx="287">
                  <c:v>133250.86008251132</c:v>
                </c:pt>
                <c:pt idx="288">
                  <c:v>127960.17158444201</c:v>
                </c:pt>
                <c:pt idx="289">
                  <c:v>122647.43855096409</c:v>
                </c:pt>
                <c:pt idx="290">
                  <c:v>117312.56912984667</c:v>
                </c:pt>
                <c:pt idx="291">
                  <c:v>111955.47108614126</c:v>
                </c:pt>
                <c:pt idx="292">
                  <c:v>106576.05180058708</c:v>
                </c:pt>
                <c:pt idx="293">
                  <c:v>101174.21826800976</c:v>
                </c:pt>
                <c:pt idx="294">
                  <c:v>95749.877095713367</c:v>
                </c:pt>
                <c:pt idx="295">
                  <c:v>90302.934501865733</c:v>
                </c:pt>
                <c:pt idx="296">
                  <c:v>84833.296313877072</c:v>
                </c:pt>
                <c:pt idx="297">
                  <c:v>79340.867966771795</c:v>
                </c:pt>
                <c:pt idx="298">
                  <c:v>73825.554501553575</c:v>
                </c:pt>
                <c:pt idx="299">
                  <c:v>68287.260563563614</c:v>
                </c:pt>
                <c:pt idx="300">
                  <c:v>62725.890400832024</c:v>
                </c:pt>
                <c:pt idx="301">
                  <c:v>57141.347862422386</c:v>
                </c:pt>
                <c:pt idx="302">
                  <c:v>51533.536396769377</c:v>
                </c:pt>
                <c:pt idx="303">
                  <c:v>45902.35905000948</c:v>
                </c:pt>
                <c:pt idx="304">
                  <c:v>40247.718464304751</c:v>
                </c:pt>
                <c:pt idx="305">
                  <c:v>34569.516876159585</c:v>
                </c:pt>
                <c:pt idx="306">
                  <c:v>28867.656114730482</c:v>
                </c:pt>
                <c:pt idx="307">
                  <c:v>23142.037600128755</c:v>
                </c:pt>
                <c:pt idx="308">
                  <c:v>17392.562341716188</c:v>
                </c:pt>
                <c:pt idx="309">
                  <c:v>11619.130936393569</c:v>
                </c:pt>
                <c:pt idx="310">
                  <c:v>5821.643566882105</c:v>
                </c:pt>
                <c:pt idx="311" formatCode="&quot;$&quot;#,##0.0_);[Red]\(&quot;$&quot;#,##0.0\)">
                  <c:v>-2.3228494683280587E-9</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numCache>
            </c:numRef>
          </c:val>
          <c:smooth val="0"/>
        </c:ser>
        <c:dLbls>
          <c:showLegendKey val="0"/>
          <c:showVal val="0"/>
          <c:showCatName val="0"/>
          <c:showSerName val="0"/>
          <c:showPercent val="0"/>
          <c:showBubbleSize val="0"/>
        </c:dLbls>
        <c:marker val="1"/>
        <c:smooth val="0"/>
        <c:axId val="78572544"/>
        <c:axId val="78058240"/>
      </c:lineChart>
      <c:catAx>
        <c:axId val="78572544"/>
        <c:scaling>
          <c:orientation val="minMax"/>
        </c:scaling>
        <c:delete val="0"/>
        <c:axPos val="b"/>
        <c:numFmt formatCode="General" sourceLinked="1"/>
        <c:majorTickMark val="out"/>
        <c:minorTickMark val="none"/>
        <c:tickLblPos val="nextTo"/>
        <c:txPr>
          <a:bodyPr rot="-5400000" vert="horz"/>
          <a:lstStyle/>
          <a:p>
            <a:pPr>
              <a:defRPr sz="1000" b="0" i="0" u="none" strike="noStrike" baseline="0">
                <a:solidFill>
                  <a:srgbClr val="000000"/>
                </a:solidFill>
                <a:latin typeface="Garamond"/>
                <a:ea typeface="Garamond"/>
                <a:cs typeface="Garamond"/>
              </a:defRPr>
            </a:pPr>
            <a:endParaRPr lang="en-US"/>
          </a:p>
        </c:txPr>
        <c:crossAx val="78058240"/>
        <c:crosses val="autoZero"/>
        <c:auto val="1"/>
        <c:lblAlgn val="ctr"/>
        <c:lblOffset val="100"/>
        <c:noMultiLvlLbl val="0"/>
      </c:catAx>
      <c:valAx>
        <c:axId val="78058240"/>
        <c:scaling>
          <c:orientation val="minMax"/>
          <c:max val="1000000"/>
          <c:min val="0"/>
        </c:scaling>
        <c:delete val="0"/>
        <c:axPos val="l"/>
        <c:numFmt formatCode="&quot;$&quot;#,##0_);[Red]\(&quot;$&quot;#,##0\)" sourceLinked="1"/>
        <c:majorTickMark val="out"/>
        <c:minorTickMark val="none"/>
        <c:tickLblPos val="nextTo"/>
        <c:txPr>
          <a:bodyPr rot="0" vert="horz"/>
          <a:lstStyle/>
          <a:p>
            <a:pPr>
              <a:defRPr sz="1400" b="0" i="0" u="none" strike="noStrike" baseline="0">
                <a:solidFill>
                  <a:srgbClr val="000000"/>
                </a:solidFill>
                <a:latin typeface="Garamond"/>
                <a:ea typeface="Garamond"/>
                <a:cs typeface="Garamond"/>
              </a:defRPr>
            </a:pPr>
            <a:endParaRPr lang="en-US"/>
          </a:p>
        </c:txPr>
        <c:crossAx val="78572544"/>
        <c:crosses val="autoZero"/>
        <c:crossBetween val="between"/>
        <c:majorUnit val="100000"/>
      </c:valAx>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 l="0.70000000000000095" r="0.70000000000000095" t="0.750000000000002"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194163</xdr:colOff>
      <xdr:row>5</xdr:row>
      <xdr:rowOff>84224</xdr:rowOff>
    </xdr:from>
    <xdr:to>
      <xdr:col>3</xdr:col>
      <xdr:colOff>542191</xdr:colOff>
      <xdr:row>8</xdr:row>
      <xdr:rowOff>70088</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81528" y="1153955"/>
          <a:ext cx="1091711" cy="7881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13</xdr:col>
      <xdr:colOff>544286</xdr:colOff>
      <xdr:row>7</xdr:row>
      <xdr:rowOff>172809</xdr:rowOff>
    </xdr:from>
    <xdr:to>
      <xdr:col>20</xdr:col>
      <xdr:colOff>95250</xdr:colOff>
      <xdr:row>18</xdr:row>
      <xdr:rowOff>221795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152400</xdr:colOff>
      <xdr:row>11</xdr:row>
      <xdr:rowOff>95250</xdr:rowOff>
    </xdr:from>
    <xdr:to>
      <xdr:col>24</xdr:col>
      <xdr:colOff>180975</xdr:colOff>
      <xdr:row>30</xdr:row>
      <xdr:rowOff>9525</xdr:rowOff>
    </xdr:to>
    <xdr:graphicFrame macro="">
      <xdr:nvGraphicFramePr>
        <xdr:cNvPr id="1502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114300</xdr:colOff>
      <xdr:row>49</xdr:row>
      <xdr:rowOff>219075</xdr:rowOff>
    </xdr:from>
    <xdr:to>
      <xdr:col>24</xdr:col>
      <xdr:colOff>142875</xdr:colOff>
      <xdr:row>68</xdr:row>
      <xdr:rowOff>200025</xdr:rowOff>
    </xdr:to>
    <xdr:graphicFrame macro="">
      <xdr:nvGraphicFramePr>
        <xdr:cNvPr id="1502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152400</xdr:colOff>
      <xdr:row>30</xdr:row>
      <xdr:rowOff>85725</xdr:rowOff>
    </xdr:from>
    <xdr:to>
      <xdr:col>24</xdr:col>
      <xdr:colOff>171450</xdr:colOff>
      <xdr:row>49</xdr:row>
      <xdr:rowOff>57150</xdr:rowOff>
    </xdr:to>
    <xdr:graphicFrame macro="">
      <xdr:nvGraphicFramePr>
        <xdr:cNvPr id="15028"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152400</xdr:colOff>
      <xdr:row>11</xdr:row>
      <xdr:rowOff>95250</xdr:rowOff>
    </xdr:from>
    <xdr:to>
      <xdr:col>22</xdr:col>
      <xdr:colOff>180975</xdr:colOff>
      <xdr:row>30</xdr:row>
      <xdr:rowOff>9525</xdr:rowOff>
    </xdr:to>
    <xdr:graphicFrame macro="">
      <xdr:nvGraphicFramePr>
        <xdr:cNvPr id="107088"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114300</xdr:colOff>
      <xdr:row>49</xdr:row>
      <xdr:rowOff>219075</xdr:rowOff>
    </xdr:from>
    <xdr:to>
      <xdr:col>22</xdr:col>
      <xdr:colOff>142875</xdr:colOff>
      <xdr:row>68</xdr:row>
      <xdr:rowOff>200025</xdr:rowOff>
    </xdr:to>
    <xdr:graphicFrame macro="">
      <xdr:nvGraphicFramePr>
        <xdr:cNvPr id="107089"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152400</xdr:colOff>
      <xdr:row>30</xdr:row>
      <xdr:rowOff>85725</xdr:rowOff>
    </xdr:from>
    <xdr:to>
      <xdr:col>22</xdr:col>
      <xdr:colOff>171450</xdr:colOff>
      <xdr:row>49</xdr:row>
      <xdr:rowOff>57150</xdr:rowOff>
    </xdr:to>
    <xdr:graphicFrame macro="">
      <xdr:nvGraphicFramePr>
        <xdr:cNvPr id="10709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152400</xdr:colOff>
      <xdr:row>11</xdr:row>
      <xdr:rowOff>142875</xdr:rowOff>
    </xdr:from>
    <xdr:to>
      <xdr:col>22</xdr:col>
      <xdr:colOff>180975</xdr:colOff>
      <xdr:row>30</xdr:row>
      <xdr:rowOff>57150</xdr:rowOff>
    </xdr:to>
    <xdr:graphicFrame macro="">
      <xdr:nvGraphicFramePr>
        <xdr:cNvPr id="83993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123825</xdr:colOff>
      <xdr:row>51</xdr:row>
      <xdr:rowOff>9525</xdr:rowOff>
    </xdr:from>
    <xdr:to>
      <xdr:col>22</xdr:col>
      <xdr:colOff>161925</xdr:colOff>
      <xdr:row>70</xdr:row>
      <xdr:rowOff>123825</xdr:rowOff>
    </xdr:to>
    <xdr:graphicFrame macro="">
      <xdr:nvGraphicFramePr>
        <xdr:cNvPr id="83993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152400</xdr:colOff>
      <xdr:row>31</xdr:row>
      <xdr:rowOff>0</xdr:rowOff>
    </xdr:from>
    <xdr:to>
      <xdr:col>22</xdr:col>
      <xdr:colOff>171450</xdr:colOff>
      <xdr:row>49</xdr:row>
      <xdr:rowOff>219075</xdr:rowOff>
    </xdr:to>
    <xdr:graphicFrame macro="">
      <xdr:nvGraphicFramePr>
        <xdr:cNvPr id="83993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25</xdr:row>
      <xdr:rowOff>133350</xdr:rowOff>
    </xdr:from>
    <xdr:to>
      <xdr:col>6</xdr:col>
      <xdr:colOff>133350</xdr:colOff>
      <xdr:row>43</xdr:row>
      <xdr:rowOff>190500</xdr:rowOff>
    </xdr:to>
    <xdr:pic>
      <xdr:nvPicPr>
        <xdr:cNvPr id="1476643"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361950" y="7315200"/>
          <a:ext cx="4676775" cy="4343400"/>
        </a:xfrm>
        <a:prstGeom prst="rect">
          <a:avLst/>
        </a:prstGeom>
        <a:noFill/>
        <a:ln w="1">
          <a:noFill/>
          <a:miter lim="800000"/>
          <a:headEnd/>
          <a:tailEnd/>
        </a:ln>
      </xdr:spPr>
    </xdr:pic>
    <xdr:clientData/>
  </xdr:twoCellAnchor>
  <xdr:twoCellAnchor editAs="oneCell">
    <xdr:from>
      <xdr:col>1</xdr:col>
      <xdr:colOff>19050</xdr:colOff>
      <xdr:row>46</xdr:row>
      <xdr:rowOff>85725</xdr:rowOff>
    </xdr:from>
    <xdr:to>
      <xdr:col>7</xdr:col>
      <xdr:colOff>695325</xdr:colOff>
      <xdr:row>67</xdr:row>
      <xdr:rowOff>0</xdr:rowOff>
    </xdr:to>
    <xdr:pic>
      <xdr:nvPicPr>
        <xdr:cNvPr id="1476644"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371475" y="12268200"/>
          <a:ext cx="6172200" cy="4905375"/>
        </a:xfrm>
        <a:prstGeom prst="rect">
          <a:avLst/>
        </a:prstGeom>
        <a:noFill/>
        <a:ln w="1">
          <a:noFill/>
          <a:miter lim="800000"/>
          <a:headEnd/>
          <a:tailEnd/>
        </a:ln>
      </xdr:spPr>
    </xdr:pic>
    <xdr:clientData/>
  </xdr:twoCellAnchor>
  <xdr:twoCellAnchor editAs="oneCell">
    <xdr:from>
      <xdr:col>1</xdr:col>
      <xdr:colOff>47625</xdr:colOff>
      <xdr:row>69</xdr:row>
      <xdr:rowOff>57150</xdr:rowOff>
    </xdr:from>
    <xdr:to>
      <xdr:col>8</xdr:col>
      <xdr:colOff>209550</xdr:colOff>
      <xdr:row>76</xdr:row>
      <xdr:rowOff>3175</xdr:rowOff>
    </xdr:to>
    <xdr:pic>
      <xdr:nvPicPr>
        <xdr:cNvPr id="1476645"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400050" y="17716500"/>
          <a:ext cx="6829425" cy="1590675"/>
        </a:xfrm>
        <a:prstGeom prst="rect">
          <a:avLst/>
        </a:prstGeom>
        <a:noFill/>
        <a:ln w="1">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xdr:row>
      <xdr:rowOff>38100</xdr:rowOff>
    </xdr:from>
    <xdr:to>
      <xdr:col>11</xdr:col>
      <xdr:colOff>533400</xdr:colOff>
      <xdr:row>28</xdr:row>
      <xdr:rowOff>66675</xdr:rowOff>
    </xdr:to>
    <xdr:pic>
      <xdr:nvPicPr>
        <xdr:cNvPr id="573563" name="Picture 2"/>
        <xdr:cNvPicPr>
          <a:picLocks noChangeAspect="1" noChangeArrowheads="1"/>
        </xdr:cNvPicPr>
      </xdr:nvPicPr>
      <xdr:blipFill>
        <a:blip xmlns:r="http://schemas.openxmlformats.org/officeDocument/2006/relationships" r:embed="rId1" cstate="print"/>
        <a:srcRect/>
        <a:stretch>
          <a:fillRect/>
        </a:stretch>
      </xdr:blipFill>
      <xdr:spPr bwMode="auto">
        <a:xfrm>
          <a:off x="0" y="276225"/>
          <a:ext cx="8572500" cy="6457950"/>
        </a:xfrm>
        <a:prstGeom prst="rect">
          <a:avLst/>
        </a:prstGeom>
        <a:noFill/>
        <a:ln w="1">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84202</xdr:colOff>
      <xdr:row>40</xdr:row>
      <xdr:rowOff>227382</xdr:rowOff>
    </xdr:to>
    <xdr:pic>
      <xdr:nvPicPr>
        <xdr:cNvPr id="3" name="Picture 2"/>
        <xdr:cNvPicPr>
          <a:picLocks noChangeAspect="1"/>
        </xdr:cNvPicPr>
      </xdr:nvPicPr>
      <xdr:blipFill>
        <a:blip xmlns:r="http://schemas.openxmlformats.org/officeDocument/2006/relationships" r:embed="rId1"/>
        <a:stretch>
          <a:fillRect/>
        </a:stretch>
      </xdr:blipFill>
      <xdr:spPr>
        <a:xfrm>
          <a:off x="0" y="0"/>
          <a:ext cx="12190477" cy="97523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getrefm.com/"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3.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4.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drawing" Target="../drawings/drawing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3:G18"/>
  <sheetViews>
    <sheetView tabSelected="1" zoomScale="200" zoomScaleNormal="200" zoomScalePageLayoutView="300" workbookViewId="0"/>
  </sheetViews>
  <sheetFormatPr defaultColWidth="8.6640625" defaultRowHeight="18.75" x14ac:dyDescent="0.3"/>
  <cols>
    <col min="1" max="16384" width="8.6640625" style="8"/>
  </cols>
  <sheetData>
    <row r="3" spans="1:7" ht="21" customHeight="1" x14ac:dyDescent="0.45">
      <c r="A3" s="388" t="s">
        <v>279</v>
      </c>
      <c r="B3" s="388"/>
      <c r="C3" s="388"/>
      <c r="D3" s="388"/>
      <c r="E3" s="388"/>
      <c r="F3" s="388"/>
      <c r="G3" s="10"/>
    </row>
    <row r="4" spans="1:7" ht="4.5" customHeight="1" x14ac:dyDescent="0.3">
      <c r="A4" s="9"/>
      <c r="B4" s="9"/>
      <c r="C4" s="9"/>
      <c r="D4" s="9"/>
      <c r="E4" s="9"/>
      <c r="F4" s="9"/>
      <c r="G4" s="9"/>
    </row>
    <row r="5" spans="1:7" ht="21" x14ac:dyDescent="0.35">
      <c r="A5" s="389" t="s">
        <v>120</v>
      </c>
      <c r="B5" s="389"/>
      <c r="C5" s="389"/>
      <c r="D5" s="389"/>
      <c r="E5" s="389"/>
      <c r="F5" s="389"/>
      <c r="G5" s="11"/>
    </row>
    <row r="6" spans="1:7" ht="21" x14ac:dyDescent="0.35">
      <c r="A6" s="66"/>
      <c r="B6" s="66"/>
      <c r="C6" s="66"/>
      <c r="D6" s="66"/>
      <c r="E6" s="66"/>
      <c r="F6" s="66"/>
      <c r="G6" s="11"/>
    </row>
    <row r="7" spans="1:7" ht="21" x14ac:dyDescent="0.35">
      <c r="A7" s="66"/>
      <c r="B7" s="66"/>
      <c r="C7" s="66"/>
      <c r="D7" s="66"/>
      <c r="E7" s="66"/>
      <c r="F7" s="66"/>
      <c r="G7" s="11"/>
    </row>
    <row r="8" spans="1:7" ht="21" x14ac:dyDescent="0.35">
      <c r="A8" s="66"/>
      <c r="B8" s="66"/>
      <c r="C8" s="66"/>
      <c r="D8" s="66"/>
      <c r="E8" s="66"/>
      <c r="F8" s="66"/>
      <c r="G8" s="11"/>
    </row>
    <row r="9" spans="1:7" ht="11.25" customHeight="1" x14ac:dyDescent="0.35">
      <c r="A9" s="66"/>
      <c r="B9" s="66"/>
      <c r="C9" s="66"/>
      <c r="D9" s="66"/>
      <c r="E9" s="66"/>
      <c r="F9" s="66"/>
      <c r="G9" s="11"/>
    </row>
    <row r="10" spans="1:7" x14ac:dyDescent="0.3">
      <c r="A10" s="390" t="s">
        <v>255</v>
      </c>
      <c r="B10" s="390"/>
      <c r="C10" s="390"/>
      <c r="D10" s="390"/>
      <c r="E10" s="390"/>
      <c r="F10" s="390"/>
    </row>
    <row r="11" spans="1:7" ht="3.75" customHeight="1" x14ac:dyDescent="0.3"/>
    <row r="12" spans="1:7" ht="14.25" customHeight="1" x14ac:dyDescent="0.3">
      <c r="A12" s="423" t="s">
        <v>275</v>
      </c>
      <c r="B12" s="423"/>
      <c r="C12" s="423"/>
      <c r="D12" s="423"/>
      <c r="E12" s="423"/>
      <c r="F12" s="423"/>
    </row>
    <row r="14" spans="1:7" x14ac:dyDescent="0.3">
      <c r="B14" s="424" t="s">
        <v>276</v>
      </c>
      <c r="C14" s="424"/>
      <c r="D14" s="424"/>
      <c r="E14" s="424"/>
    </row>
    <row r="15" spans="1:7" x14ac:dyDescent="0.3">
      <c r="B15" s="425"/>
      <c r="C15" s="425"/>
      <c r="D15" s="425"/>
      <c r="E15" s="425"/>
    </row>
    <row r="16" spans="1:7" x14ac:dyDescent="0.3">
      <c r="B16" s="426" t="s">
        <v>277</v>
      </c>
      <c r="C16" s="427"/>
      <c r="D16" s="427"/>
      <c r="E16" s="428"/>
    </row>
    <row r="17" spans="2:5" x14ac:dyDescent="0.3">
      <c r="B17" s="429"/>
      <c r="C17" s="429"/>
      <c r="D17" s="429"/>
      <c r="E17" s="429"/>
    </row>
    <row r="18" spans="2:5" x14ac:dyDescent="0.3">
      <c r="B18" s="430" t="s">
        <v>278</v>
      </c>
      <c r="C18" s="430"/>
      <c r="D18" s="430"/>
      <c r="E18" s="430"/>
    </row>
  </sheetData>
  <mergeCells count="7">
    <mergeCell ref="B16:E16"/>
    <mergeCell ref="B18:E18"/>
    <mergeCell ref="A3:F3"/>
    <mergeCell ref="A5:F5"/>
    <mergeCell ref="A10:F10"/>
    <mergeCell ref="A12:F12"/>
    <mergeCell ref="B14:E14"/>
  </mergeCells>
  <hyperlinks>
    <hyperlink ref="B18" r:id="rId1"/>
  </hyperlinks>
  <printOptions horizontalCentered="1" verticalCentered="1"/>
  <pageMargins left="0.7" right="0.7" top="0.75" bottom="0.75" header="0.3" footer="0.3"/>
  <pageSetup orientation="landscape"/>
  <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3"/>
  <sheetViews>
    <sheetView zoomScaleNormal="100" zoomScalePageLayoutView="200" workbookViewId="0"/>
  </sheetViews>
  <sheetFormatPr defaultColWidth="8.6640625" defaultRowHeight="18.75" x14ac:dyDescent="0.3"/>
  <cols>
    <col min="1" max="1" width="2.6640625" style="1" customWidth="1"/>
    <col min="2" max="2" width="9.109375" style="1" bestFit="1" customWidth="1"/>
    <col min="3" max="3" width="2.6640625" style="1" customWidth="1"/>
    <col min="4" max="4" width="13.6640625" style="1" customWidth="1"/>
    <col min="5" max="11" width="8.6640625" style="1"/>
    <col min="12" max="12" width="14.77734375" style="1" customWidth="1"/>
    <col min="13" max="16384" width="8.6640625" style="1"/>
  </cols>
  <sheetData>
    <row r="2" spans="2:12" ht="23.25" x14ac:dyDescent="0.35">
      <c r="B2" s="5" t="s">
        <v>246</v>
      </c>
    </row>
    <row r="4" spans="2:12" x14ac:dyDescent="0.3">
      <c r="B4" s="35">
        <v>6</v>
      </c>
    </row>
    <row r="6" spans="2:12" x14ac:dyDescent="0.3">
      <c r="B6" s="397" t="str">
        <f>IF(B4&lt;0,"Operating Deficit","Positive Cash Flow")</f>
        <v>Positive Cash Flow</v>
      </c>
      <c r="C6" s="397"/>
      <c r="D6" s="397"/>
      <c r="F6" s="398"/>
      <c r="G6" s="399"/>
      <c r="H6" s="400"/>
    </row>
    <row r="7" spans="2:12" x14ac:dyDescent="0.3">
      <c r="B7" s="3"/>
      <c r="C7" s="3"/>
      <c r="D7" s="3"/>
    </row>
    <row r="8" spans="2:12" ht="39.950000000000003" customHeight="1" x14ac:dyDescent="0.3">
      <c r="B8" s="395" t="s">
        <v>245</v>
      </c>
      <c r="C8" s="396"/>
      <c r="D8" s="396"/>
      <c r="E8" s="396"/>
      <c r="F8" s="396"/>
      <c r="G8" s="396"/>
      <c r="H8" s="396"/>
      <c r="I8" s="396"/>
      <c r="J8" s="396"/>
      <c r="K8" s="396"/>
      <c r="L8" s="396"/>
    </row>
    <row r="9" spans="2:12" ht="18.75" customHeight="1" x14ac:dyDescent="0.3">
      <c r="B9" s="117"/>
      <c r="C9" s="117"/>
      <c r="D9" s="117"/>
      <c r="E9" s="117"/>
      <c r="F9" s="117"/>
      <c r="G9" s="117"/>
      <c r="H9" s="117"/>
      <c r="I9" s="117"/>
      <c r="J9" s="117"/>
      <c r="K9" s="117"/>
      <c r="L9" s="117"/>
    </row>
    <row r="10" spans="2:12" x14ac:dyDescent="0.3">
      <c r="B10" s="298">
        <v>10</v>
      </c>
      <c r="C10" s="299"/>
      <c r="D10" s="296"/>
    </row>
    <row r="12" spans="2:12" x14ac:dyDescent="0.3">
      <c r="B12" s="158" t="s">
        <v>125</v>
      </c>
      <c r="C12" s="159"/>
      <c r="D12" s="160"/>
    </row>
    <row r="13" spans="2:12" x14ac:dyDescent="0.3">
      <c r="B13" s="297">
        <v>8</v>
      </c>
      <c r="C13" s="162"/>
      <c r="D13" s="76" t="str">
        <f>IF(AND(B13&gt;=0,B13&lt;=5),"Landlord Pays","Tenant Pays")</f>
        <v>Tenant Pays</v>
      </c>
    </row>
  </sheetData>
  <mergeCells count="3">
    <mergeCell ref="B8:L8"/>
    <mergeCell ref="B6:D6"/>
    <mergeCell ref="F6:H6"/>
  </mergeCells>
  <conditionalFormatting sqref="B6:B7">
    <cfRule type="containsText" dxfId="30" priority="15" stopIfTrue="1" operator="containsText" text="Gain">
      <formula>NOT(ISERROR(SEARCH("Gain",B6)))</formula>
    </cfRule>
    <cfRule type="containsText" dxfId="29" priority="16" stopIfTrue="1" operator="containsText" text="Loss">
      <formula>NOT(ISERROR(SEARCH("Loss",B6)))</formula>
    </cfRule>
    <cfRule type="containsText" dxfId="28" priority="18" stopIfTrue="1" operator="containsText" text="gain">
      <formula>NOT(ISERROR(SEARCH("gain",B6)))</formula>
    </cfRule>
    <cfRule type="containsText" dxfId="27" priority="19" stopIfTrue="1" operator="containsText" text="gAIN">
      <formula>NOT(ISERROR(SEARCH("gAIN",B6)))</formula>
    </cfRule>
    <cfRule type="containsText" dxfId="26" priority="20" stopIfTrue="1" operator="containsText" text="lOSS">
      <formula>NOT(ISERROR(SEARCH("lOSS",B6)))</formula>
    </cfRule>
    <cfRule type="dataBar" priority="21">
      <dataBar>
        <cfvo type="min"/>
        <cfvo type="max"/>
        <color rgb="FF63C384"/>
      </dataBar>
    </cfRule>
  </conditionalFormatting>
  <conditionalFormatting sqref="D10">
    <cfRule type="containsText" dxfId="25" priority="3" stopIfTrue="1" operator="containsText" text="Not">
      <formula>NOT(ISERROR(SEARCH("Not",D10)))</formula>
    </cfRule>
    <cfRule type="containsText" dxfId="24" priority="4" stopIfTrue="1" operator="containsText" text="ok">
      <formula>NOT(ISERROR(SEARCH("ok",D10)))</formula>
    </cfRule>
    <cfRule type="containsText" dxfId="23" priority="17" stopIfTrue="1" operator="containsText" text="BUY">
      <formula>NOT(ISERROR(SEARCH("BUY",D10)))</formula>
    </cfRule>
  </conditionalFormatting>
  <conditionalFormatting sqref="D13">
    <cfRule type="containsText" dxfId="22" priority="9" stopIfTrue="1" operator="containsText" text="tenant">
      <formula>NOT(ISERROR(SEARCH("tenant",D13)))</formula>
    </cfRule>
    <cfRule type="containsText" dxfId="21" priority="10" stopIfTrue="1" operator="containsText" text="Landlord">
      <formula>NOT(ISERROR(SEARCH("Landlord",D13)))</formula>
    </cfRule>
    <cfRule type="containsText" dxfId="20" priority="13" stopIfTrue="1" operator="containsText" text="Buy">
      <formula>NOT(ISERROR(SEARCH("Buy",D13)))</formula>
    </cfRule>
    <cfRule type="containsText" dxfId="19" priority="14" stopIfTrue="1" operator="containsText" text="BUY">
      <formula>NOT(ISERROR(SEARCH("BUY",D13)))</formula>
    </cfRule>
  </conditionalFormatting>
  <conditionalFormatting sqref="B6:D6">
    <cfRule type="containsText" dxfId="18" priority="7" stopIfTrue="1" operator="containsText" text="Positive">
      <formula>NOT(ISERROR(SEARCH("Positive",B6)))</formula>
    </cfRule>
    <cfRule type="containsText" dxfId="17" priority="8" stopIfTrue="1" operator="containsText" text="Deficit">
      <formula>NOT(ISERROR(SEARCH("Deficit",B6)))</formula>
    </cfRule>
    <cfRule type="containsText" dxfId="16" priority="11" stopIfTrue="1" operator="containsText" text="positive">
      <formula>NOT(ISERROR(SEARCH("positive",B6)))</formula>
    </cfRule>
    <cfRule type="containsText" dxfId="15" priority="12" stopIfTrue="1" operator="containsText" text="deficit">
      <formula>NOT(ISERROR(SEARCH("deficit",B6)))</formula>
    </cfRule>
  </conditionalFormatting>
  <pageMargins left="0.7" right="0.7" top="0.75" bottom="0.75" header="0.3" footer="0.3"/>
  <pageSetup orientation="portrait" verticalDpi="120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25"/>
  <sheetViews>
    <sheetView zoomScaleNormal="100" zoomScalePageLayoutView="200" workbookViewId="0"/>
  </sheetViews>
  <sheetFormatPr defaultColWidth="8.6640625" defaultRowHeight="18.75" x14ac:dyDescent="0.3"/>
  <cols>
    <col min="1" max="1" width="4.88671875" style="1" customWidth="1"/>
    <col min="2" max="2" width="8.6640625" style="1"/>
    <col min="3" max="3" width="11" style="1" customWidth="1"/>
    <col min="4" max="4" width="10.88671875" style="1" bestFit="1" customWidth="1"/>
    <col min="5" max="5" width="12.77734375" style="1" customWidth="1"/>
    <col min="6" max="6" width="8.6640625" style="1"/>
    <col min="7" max="9" width="10.88671875" style="1" customWidth="1"/>
    <col min="10" max="16384" width="8.6640625" style="1"/>
  </cols>
  <sheetData>
    <row r="2" spans="2:9" ht="23.25" x14ac:dyDescent="0.35">
      <c r="B2" s="5" t="s">
        <v>60</v>
      </c>
    </row>
    <row r="3" spans="2:9" x14ac:dyDescent="0.3">
      <c r="G3" s="72"/>
    </row>
    <row r="4" spans="2:9" x14ac:dyDescent="0.3">
      <c r="B4" s="1" t="s">
        <v>62</v>
      </c>
      <c r="C4" s="35">
        <v>35</v>
      </c>
      <c r="E4" s="300"/>
      <c r="G4" s="82"/>
    </row>
    <row r="5" spans="2:9" x14ac:dyDescent="0.3">
      <c r="E5" s="301"/>
      <c r="G5" s="72"/>
    </row>
    <row r="6" spans="2:9" x14ac:dyDescent="0.3">
      <c r="B6" s="1" t="s">
        <v>61</v>
      </c>
      <c r="C6" s="368">
        <v>30</v>
      </c>
      <c r="E6" s="301"/>
      <c r="G6" s="303"/>
      <c r="H6" s="120"/>
      <c r="I6" s="120"/>
    </row>
    <row r="7" spans="2:9" x14ac:dyDescent="0.3">
      <c r="E7" s="301"/>
      <c r="G7" s="72"/>
      <c r="H7" s="120"/>
      <c r="I7" s="120"/>
    </row>
    <row r="8" spans="2:9" x14ac:dyDescent="0.3">
      <c r="B8" s="1" t="s">
        <v>63</v>
      </c>
      <c r="C8" s="37">
        <v>22500</v>
      </c>
      <c r="E8" s="302"/>
      <c r="G8" s="304"/>
      <c r="H8" s="120"/>
      <c r="I8" s="120"/>
    </row>
    <row r="9" spans="2:9" x14ac:dyDescent="0.3">
      <c r="G9" s="305"/>
      <c r="H9" s="120"/>
      <c r="I9" s="120"/>
    </row>
    <row r="10" spans="2:9" x14ac:dyDescent="0.3">
      <c r="B10" s="1" t="s">
        <v>248</v>
      </c>
      <c r="G10" s="305"/>
      <c r="H10" s="120"/>
      <c r="I10" s="120"/>
    </row>
    <row r="13" spans="2:9" ht="23.25" x14ac:dyDescent="0.35">
      <c r="B13" s="5" t="s">
        <v>70</v>
      </c>
    </row>
    <row r="15" spans="2:9" x14ac:dyDescent="0.3">
      <c r="C15" s="37"/>
      <c r="D15" s="37"/>
    </row>
    <row r="17" spans="2:5" x14ac:dyDescent="0.3">
      <c r="B17" s="138" t="s">
        <v>247</v>
      </c>
      <c r="C17" s="122"/>
    </row>
    <row r="18" spans="2:5" x14ac:dyDescent="0.3">
      <c r="B18" s="122" t="s">
        <v>117</v>
      </c>
      <c r="C18" s="122"/>
    </row>
    <row r="20" spans="2:5" x14ac:dyDescent="0.3">
      <c r="B20" s="401">
        <v>125628.25687</v>
      </c>
      <c r="C20" s="402"/>
      <c r="D20" s="402"/>
      <c r="E20" s="403"/>
    </row>
    <row r="21" spans="2:5" x14ac:dyDescent="0.3">
      <c r="B21" s="118"/>
      <c r="C21" s="118"/>
      <c r="D21" s="118"/>
      <c r="E21" s="118"/>
    </row>
    <row r="22" spans="2:5" x14ac:dyDescent="0.3">
      <c r="B22" s="306" t="s">
        <v>125</v>
      </c>
      <c r="C22" s="307"/>
      <c r="D22" s="307"/>
      <c r="E22" s="308"/>
    </row>
    <row r="23" spans="2:5" x14ac:dyDescent="0.3">
      <c r="B23" s="404">
        <v>125628.25687</v>
      </c>
      <c r="C23" s="405"/>
      <c r="D23" s="405"/>
      <c r="E23" s="406"/>
    </row>
    <row r="25" spans="2:5" x14ac:dyDescent="0.3">
      <c r="D25" s="37"/>
    </row>
  </sheetData>
  <mergeCells count="2">
    <mergeCell ref="B20:E20"/>
    <mergeCell ref="B23:E23"/>
  </mergeCells>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34"/>
  <sheetViews>
    <sheetView zoomScaleNormal="100" zoomScalePageLayoutView="200" workbookViewId="0"/>
  </sheetViews>
  <sheetFormatPr defaultColWidth="8.6640625" defaultRowHeight="18.75" x14ac:dyDescent="0.3"/>
  <cols>
    <col min="1" max="1" width="4.88671875" style="1" customWidth="1"/>
    <col min="2" max="2" width="9.88671875" style="1" bestFit="1" customWidth="1"/>
    <col min="3" max="3" width="9.109375" style="1" bestFit="1" customWidth="1"/>
    <col min="4" max="5" width="8.6640625" style="1"/>
    <col min="6" max="6" width="9.33203125" style="1" customWidth="1"/>
    <col min="7" max="7" width="14.109375" style="1" customWidth="1"/>
    <col min="8" max="8" width="10.33203125" style="1" customWidth="1"/>
    <col min="9" max="16384" width="8.6640625" style="1"/>
  </cols>
  <sheetData>
    <row r="2" spans="2:8" ht="23.25" x14ac:dyDescent="0.35">
      <c r="B2" s="5" t="s">
        <v>67</v>
      </c>
    </row>
    <row r="3" spans="2:8" x14ac:dyDescent="0.3">
      <c r="D3" s="99"/>
    </row>
    <row r="4" spans="2:8" x14ac:dyDescent="0.3">
      <c r="B4" s="318">
        <v>9</v>
      </c>
      <c r="D4" s="99"/>
      <c r="G4" s="99"/>
    </row>
    <row r="5" spans="2:8" x14ac:dyDescent="0.3">
      <c r="B5" s="318">
        <v>10</v>
      </c>
      <c r="D5" s="99"/>
    </row>
    <row r="6" spans="2:8" x14ac:dyDescent="0.3">
      <c r="B6" s="319">
        <v>2</v>
      </c>
    </row>
    <row r="7" spans="2:8" x14ac:dyDescent="0.3">
      <c r="B7" s="320">
        <f>SUM(B4:B6)</f>
        <v>21</v>
      </c>
    </row>
    <row r="9" spans="2:8" ht="23.25" customHeight="1" x14ac:dyDescent="0.3">
      <c r="B9" s="72" t="s">
        <v>249</v>
      </c>
      <c r="C9" s="72"/>
      <c r="D9" s="72"/>
      <c r="E9" s="72"/>
      <c r="F9" s="72"/>
    </row>
    <row r="10" spans="2:8" x14ac:dyDescent="0.3">
      <c r="B10" s="144"/>
      <c r="C10" s="145"/>
      <c r="D10" s="145"/>
      <c r="E10" s="145"/>
      <c r="F10" s="146"/>
      <c r="G10" s="133"/>
      <c r="H10" s="309" t="s">
        <v>184</v>
      </c>
    </row>
    <row r="11" spans="2:8" x14ac:dyDescent="0.3">
      <c r="B11" s="148" t="s">
        <v>64</v>
      </c>
      <c r="C11" s="149"/>
      <c r="D11" s="149"/>
      <c r="E11" s="313"/>
      <c r="F11" s="190"/>
      <c r="G11" s="72"/>
      <c r="H11" s="310">
        <v>21</v>
      </c>
    </row>
    <row r="12" spans="2:8" x14ac:dyDescent="0.3">
      <c r="B12" s="148" t="s">
        <v>66</v>
      </c>
      <c r="C12" s="149"/>
      <c r="D12" s="149"/>
      <c r="E12" s="314"/>
      <c r="F12" s="315"/>
      <c r="G12" s="72"/>
      <c r="H12" s="311">
        <v>21</v>
      </c>
    </row>
    <row r="13" spans="2:8" x14ac:dyDescent="0.3">
      <c r="B13" s="183" t="s">
        <v>65</v>
      </c>
      <c r="C13" s="147"/>
      <c r="D13" s="147"/>
      <c r="E13" s="316"/>
      <c r="F13" s="317"/>
      <c r="G13" s="72"/>
      <c r="H13" s="312">
        <f>SUM(H11:H12)</f>
        <v>42</v>
      </c>
    </row>
    <row r="18" spans="2:10" ht="23.25" x14ac:dyDescent="0.35">
      <c r="B18" s="5" t="s">
        <v>59</v>
      </c>
      <c r="J18" s="27"/>
    </row>
    <row r="20" spans="2:10" x14ac:dyDescent="0.3">
      <c r="B20" s="1" t="s">
        <v>68</v>
      </c>
    </row>
    <row r="21" spans="2:10" x14ac:dyDescent="0.3">
      <c r="B21" s="36"/>
      <c r="D21" s="27"/>
      <c r="E21" s="27"/>
      <c r="F21" s="27"/>
    </row>
    <row r="22" spans="2:10" x14ac:dyDescent="0.3">
      <c r="B22" s="27">
        <v>2500</v>
      </c>
      <c r="H22" s="27"/>
      <c r="I22" s="27"/>
    </row>
    <row r="23" spans="2:10" x14ac:dyDescent="0.3">
      <c r="B23" s="27">
        <v>2000</v>
      </c>
      <c r="H23" s="27"/>
    </row>
    <row r="24" spans="2:10" x14ac:dyDescent="0.3">
      <c r="B24" s="27">
        <v>1500</v>
      </c>
      <c r="H24" s="27"/>
    </row>
    <row r="26" spans="2:10" x14ac:dyDescent="0.3">
      <c r="B26" s="138" t="s">
        <v>250</v>
      </c>
    </row>
    <row r="27" spans="2:10" x14ac:dyDescent="0.3">
      <c r="B27" s="72"/>
      <c r="C27" s="72"/>
      <c r="D27" s="321"/>
      <c r="E27" s="321"/>
      <c r="F27" s="321"/>
    </row>
    <row r="28" spans="2:10" x14ac:dyDescent="0.3">
      <c r="B28" s="72"/>
      <c r="C28" s="322"/>
      <c r="D28" s="323"/>
      <c r="E28" s="324"/>
      <c r="F28" s="321"/>
    </row>
    <row r="29" spans="2:10" x14ac:dyDescent="0.3">
      <c r="B29" s="36"/>
    </row>
    <row r="31" spans="2:10" x14ac:dyDescent="0.3">
      <c r="B31" s="72"/>
      <c r="C31" s="325" t="s">
        <v>125</v>
      </c>
      <c r="D31" s="326"/>
      <c r="E31" s="327"/>
      <c r="F31" s="83"/>
      <c r="G31" s="72"/>
    </row>
    <row r="32" spans="2:10" x14ac:dyDescent="0.3">
      <c r="B32" s="83"/>
      <c r="C32" s="328">
        <v>2500</v>
      </c>
      <c r="D32" s="329">
        <v>2000</v>
      </c>
      <c r="E32" s="330">
        <v>1500</v>
      </c>
      <c r="F32" s="72"/>
      <c r="G32" s="72"/>
      <c r="H32" s="21"/>
    </row>
    <row r="33" spans="2:8" x14ac:dyDescent="0.3">
      <c r="B33" s="100"/>
      <c r="C33" s="72"/>
      <c r="D33" s="72"/>
      <c r="E33" s="72"/>
      <c r="F33" s="72"/>
      <c r="G33" s="72"/>
      <c r="H33" s="21"/>
    </row>
    <row r="34" spans="2:8" x14ac:dyDescent="0.3">
      <c r="B34" s="21"/>
    </row>
  </sheetData>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59"/>
  <sheetViews>
    <sheetView zoomScaleNormal="100" zoomScalePageLayoutView="150" workbookViewId="0"/>
  </sheetViews>
  <sheetFormatPr defaultColWidth="8.6640625" defaultRowHeight="18.75" x14ac:dyDescent="0.3"/>
  <cols>
    <col min="1" max="1" width="3" style="1" customWidth="1"/>
    <col min="2" max="2" width="17.33203125" style="1" customWidth="1"/>
    <col min="3" max="3" width="11.5546875" style="1" bestFit="1" customWidth="1"/>
    <col min="4" max="21" width="11.6640625" style="1" customWidth="1"/>
    <col min="22" max="16384" width="8.6640625" style="1"/>
  </cols>
  <sheetData>
    <row r="2" spans="2:13" ht="23.25" x14ac:dyDescent="0.35">
      <c r="B2" s="5" t="s">
        <v>53</v>
      </c>
    </row>
    <row r="4" spans="2:13" s="29" customFormat="1" x14ac:dyDescent="0.3">
      <c r="B4" s="1" t="s">
        <v>56</v>
      </c>
      <c r="D4" s="31">
        <v>7</v>
      </c>
    </row>
    <row r="6" spans="2:13" x14ac:dyDescent="0.3">
      <c r="B6" s="1" t="s">
        <v>44</v>
      </c>
      <c r="D6" s="2">
        <v>1</v>
      </c>
      <c r="E6" s="2">
        <f>D6+1</f>
        <v>2</v>
      </c>
      <c r="F6" s="2">
        <f t="shared" ref="F6:M6" si="0">E6+1</f>
        <v>3</v>
      </c>
      <c r="G6" s="2">
        <f t="shared" si="0"/>
        <v>4</v>
      </c>
      <c r="H6" s="2">
        <f t="shared" si="0"/>
        <v>5</v>
      </c>
      <c r="I6" s="2">
        <f t="shared" si="0"/>
        <v>6</v>
      </c>
      <c r="J6" s="2">
        <f t="shared" si="0"/>
        <v>7</v>
      </c>
      <c r="K6" s="2">
        <f t="shared" si="0"/>
        <v>8</v>
      </c>
      <c r="L6" s="2">
        <f t="shared" si="0"/>
        <v>9</v>
      </c>
      <c r="M6" s="2">
        <f t="shared" si="0"/>
        <v>10</v>
      </c>
    </row>
    <row r="7" spans="2:13" x14ac:dyDescent="0.3">
      <c r="B7" s="1" t="s">
        <v>57</v>
      </c>
      <c r="D7" s="30">
        <f>VLOOKUP($D$4,$B$12:$L$18,D6+1,FALSE)</f>
        <v>7.4999999999999997E-2</v>
      </c>
      <c r="E7" s="101">
        <f>VLOOKUP($D$4,$B$12:$L$18,E6+1,FALSE)</f>
        <v>0.125</v>
      </c>
      <c r="F7" s="101">
        <f t="shared" ref="F7:H7" si="1">VLOOKUP($D$4,$B$12:$L$18,F6+1,FALSE)</f>
        <v>0.17499999999999999</v>
      </c>
      <c r="G7" s="101">
        <f t="shared" si="1"/>
        <v>0.25</v>
      </c>
      <c r="H7" s="101">
        <f t="shared" si="1"/>
        <v>0.17499999999999999</v>
      </c>
      <c r="I7" s="30">
        <f t="shared" ref="I7:M7" si="2">VLOOKUP($D$4,$B$12:$L$18,I6+1,FALSE)</f>
        <v>0.125</v>
      </c>
      <c r="J7" s="30">
        <f t="shared" si="2"/>
        <v>7.4999999999999997E-2</v>
      </c>
      <c r="K7" s="30">
        <f t="shared" si="2"/>
        <v>0</v>
      </c>
      <c r="L7" s="30">
        <f t="shared" si="2"/>
        <v>0</v>
      </c>
      <c r="M7" s="30">
        <f t="shared" si="2"/>
        <v>0</v>
      </c>
    </row>
    <row r="8" spans="2:13" x14ac:dyDescent="0.3">
      <c r="B8" s="1" t="s">
        <v>254</v>
      </c>
      <c r="C8" s="377">
        <v>25000000</v>
      </c>
      <c r="D8" s="369">
        <f>$C$8*D7</f>
        <v>1875000</v>
      </c>
      <c r="E8" s="369">
        <f t="shared" ref="E8:M8" si="3">$C$8*E7</f>
        <v>3125000</v>
      </c>
      <c r="F8" s="369">
        <f t="shared" si="3"/>
        <v>4375000</v>
      </c>
      <c r="G8" s="369">
        <f t="shared" si="3"/>
        <v>6250000</v>
      </c>
      <c r="H8" s="369">
        <f t="shared" si="3"/>
        <v>4375000</v>
      </c>
      <c r="I8" s="369">
        <f t="shared" si="3"/>
        <v>3125000</v>
      </c>
      <c r="J8" s="369">
        <f t="shared" si="3"/>
        <v>1875000</v>
      </c>
      <c r="K8" s="369">
        <f t="shared" si="3"/>
        <v>0</v>
      </c>
      <c r="L8" s="369">
        <f t="shared" si="3"/>
        <v>0</v>
      </c>
      <c r="M8" s="369">
        <f t="shared" si="3"/>
        <v>0</v>
      </c>
    </row>
    <row r="10" spans="2:13" x14ac:dyDescent="0.3">
      <c r="B10" s="408" t="s">
        <v>54</v>
      </c>
      <c r="C10" s="407" t="s">
        <v>55</v>
      </c>
      <c r="D10" s="407"/>
      <c r="E10" s="407"/>
      <c r="F10" s="407"/>
      <c r="G10" s="407"/>
      <c r="H10" s="407"/>
      <c r="I10" s="407"/>
      <c r="J10" s="407"/>
      <c r="K10" s="407"/>
      <c r="L10" s="407"/>
    </row>
    <row r="11" spans="2:13" x14ac:dyDescent="0.3">
      <c r="B11" s="409"/>
      <c r="C11" s="334">
        <v>1</v>
      </c>
      <c r="D11" s="334">
        <f>C11+1</f>
        <v>2</v>
      </c>
      <c r="E11" s="334">
        <f t="shared" ref="E11:L11" si="4">D11+1</f>
        <v>3</v>
      </c>
      <c r="F11" s="334">
        <f t="shared" si="4"/>
        <v>4</v>
      </c>
      <c r="G11" s="334">
        <f t="shared" si="4"/>
        <v>5</v>
      </c>
      <c r="H11" s="334">
        <f t="shared" si="4"/>
        <v>6</v>
      </c>
      <c r="I11" s="334">
        <f t="shared" si="4"/>
        <v>7</v>
      </c>
      <c r="J11" s="334">
        <f t="shared" si="4"/>
        <v>8</v>
      </c>
      <c r="K11" s="334">
        <f t="shared" si="4"/>
        <v>9</v>
      </c>
      <c r="L11" s="334">
        <f t="shared" si="4"/>
        <v>10</v>
      </c>
    </row>
    <row r="12" spans="2:13" x14ac:dyDescent="0.3">
      <c r="B12" s="336">
        <v>4</v>
      </c>
      <c r="C12" s="331">
        <v>0.2</v>
      </c>
      <c r="D12" s="332">
        <v>0.3</v>
      </c>
      <c r="E12" s="331">
        <v>0.3</v>
      </c>
      <c r="F12" s="331">
        <v>0.2</v>
      </c>
      <c r="G12" s="331"/>
      <c r="H12" s="331"/>
      <c r="I12" s="331"/>
      <c r="J12" s="331"/>
      <c r="K12" s="331"/>
      <c r="L12" s="331"/>
      <c r="M12" s="40">
        <f>SUM(C12:L12)</f>
        <v>1</v>
      </c>
    </row>
    <row r="13" spans="2:13" x14ac:dyDescent="0.3">
      <c r="B13" s="336">
        <v>5</v>
      </c>
      <c r="C13" s="331">
        <v>0.15</v>
      </c>
      <c r="D13" s="332">
        <v>0.2</v>
      </c>
      <c r="E13" s="331">
        <v>0.3</v>
      </c>
      <c r="F13" s="331">
        <v>0.2</v>
      </c>
      <c r="G13" s="331">
        <v>0.15</v>
      </c>
      <c r="H13" s="331"/>
      <c r="I13" s="331"/>
      <c r="J13" s="331"/>
      <c r="K13" s="331"/>
      <c r="L13" s="331"/>
      <c r="M13" s="40">
        <f t="shared" ref="M13:M18" si="5">SUM(C13:L13)</f>
        <v>0.99999999999999989</v>
      </c>
    </row>
    <row r="14" spans="2:13" x14ac:dyDescent="0.3">
      <c r="B14" s="336">
        <v>6</v>
      </c>
      <c r="C14" s="331">
        <v>0.1</v>
      </c>
      <c r="D14" s="332">
        <v>0.15</v>
      </c>
      <c r="E14" s="331">
        <v>0.25</v>
      </c>
      <c r="F14" s="331">
        <v>0.25</v>
      </c>
      <c r="G14" s="331">
        <v>0.15</v>
      </c>
      <c r="H14" s="331">
        <v>0.1</v>
      </c>
      <c r="I14" s="331"/>
      <c r="J14" s="331"/>
      <c r="K14" s="331"/>
      <c r="L14" s="331"/>
      <c r="M14" s="40">
        <f t="shared" si="5"/>
        <v>1</v>
      </c>
    </row>
    <row r="15" spans="2:13" x14ac:dyDescent="0.3">
      <c r="B15" s="336">
        <v>7</v>
      </c>
      <c r="C15" s="331">
        <v>7.4999999999999997E-2</v>
      </c>
      <c r="D15" s="332">
        <v>0.125</v>
      </c>
      <c r="E15" s="331">
        <v>0.17499999999999999</v>
      </c>
      <c r="F15" s="331">
        <v>0.25</v>
      </c>
      <c r="G15" s="331">
        <v>0.17499999999999999</v>
      </c>
      <c r="H15" s="331">
        <v>0.125</v>
      </c>
      <c r="I15" s="331">
        <v>7.4999999999999997E-2</v>
      </c>
      <c r="J15" s="331"/>
      <c r="K15" s="331"/>
      <c r="L15" s="331"/>
      <c r="M15" s="40">
        <f t="shared" si="5"/>
        <v>1</v>
      </c>
    </row>
    <row r="16" spans="2:13" x14ac:dyDescent="0.3">
      <c r="B16" s="336">
        <v>8</v>
      </c>
      <c r="C16" s="331">
        <v>0.05</v>
      </c>
      <c r="D16" s="332">
        <v>0.1</v>
      </c>
      <c r="E16" s="331">
        <v>0.15</v>
      </c>
      <c r="F16" s="331">
        <v>0.2</v>
      </c>
      <c r="G16" s="331">
        <v>0.2</v>
      </c>
      <c r="H16" s="331">
        <v>0.15</v>
      </c>
      <c r="I16" s="331">
        <v>0.1</v>
      </c>
      <c r="J16" s="331">
        <v>0.05</v>
      </c>
      <c r="K16" s="331"/>
      <c r="L16" s="331"/>
      <c r="M16" s="40">
        <f t="shared" si="5"/>
        <v>1</v>
      </c>
    </row>
    <row r="17" spans="1:22" x14ac:dyDescent="0.3">
      <c r="B17" s="336">
        <v>9</v>
      </c>
      <c r="C17" s="331">
        <v>0.05</v>
      </c>
      <c r="D17" s="332">
        <v>7.4999999999999997E-2</v>
      </c>
      <c r="E17" s="331">
        <v>0.125</v>
      </c>
      <c r="F17" s="331">
        <v>0.15</v>
      </c>
      <c r="G17" s="331">
        <v>0.2</v>
      </c>
      <c r="H17" s="331">
        <v>0.15</v>
      </c>
      <c r="I17" s="331">
        <v>0.125</v>
      </c>
      <c r="J17" s="331">
        <v>7.4999999999999997E-2</v>
      </c>
      <c r="K17" s="331">
        <v>0.05</v>
      </c>
      <c r="L17" s="331"/>
      <c r="M17" s="40">
        <f t="shared" si="5"/>
        <v>1</v>
      </c>
    </row>
    <row r="18" spans="1:22" x14ac:dyDescent="0.3">
      <c r="B18" s="336">
        <v>10</v>
      </c>
      <c r="C18" s="331">
        <v>0.04</v>
      </c>
      <c r="D18" s="332">
        <v>6.5000000000000002E-2</v>
      </c>
      <c r="E18" s="331">
        <v>0.1</v>
      </c>
      <c r="F18" s="331">
        <v>0.125</v>
      </c>
      <c r="G18" s="331">
        <v>0.17</v>
      </c>
      <c r="H18" s="331">
        <v>0.17</v>
      </c>
      <c r="I18" s="331">
        <v>0.125</v>
      </c>
      <c r="J18" s="331">
        <v>0.1</v>
      </c>
      <c r="K18" s="331">
        <v>6.5000000000000002E-2</v>
      </c>
      <c r="L18" s="331">
        <v>0.04</v>
      </c>
      <c r="M18" s="40">
        <f t="shared" si="5"/>
        <v>1</v>
      </c>
    </row>
    <row r="19" spans="1:22" x14ac:dyDescent="0.3">
      <c r="B19" s="121"/>
    </row>
    <row r="21" spans="1:22" ht="23.25" x14ac:dyDescent="0.35">
      <c r="B21" s="5" t="s">
        <v>58</v>
      </c>
    </row>
    <row r="23" spans="1:22" x14ac:dyDescent="0.3">
      <c r="B23" s="1" t="s">
        <v>44</v>
      </c>
      <c r="D23" s="4">
        <v>6</v>
      </c>
    </row>
    <row r="24" spans="1:22" x14ac:dyDescent="0.3">
      <c r="B24" s="1" t="s">
        <v>57</v>
      </c>
      <c r="D24" s="369">
        <f>HLOOKUP(D23,D6:M8,3,FALSE)</f>
        <v>3125000</v>
      </c>
    </row>
    <row r="25" spans="1:22" x14ac:dyDescent="0.3">
      <c r="D25" s="30"/>
    </row>
    <row r="26" spans="1:22" x14ac:dyDescent="0.3">
      <c r="D26" s="30"/>
    </row>
    <row r="27" spans="1:22" x14ac:dyDescent="0.3">
      <c r="A27" s="38"/>
      <c r="B27" s="333" t="s">
        <v>251</v>
      </c>
      <c r="C27" s="63"/>
      <c r="D27" s="63"/>
      <c r="E27" s="63"/>
      <c r="F27" s="63"/>
      <c r="G27" s="63"/>
      <c r="H27" s="63"/>
      <c r="I27" s="63"/>
      <c r="J27" s="63"/>
      <c r="K27" s="63"/>
      <c r="L27" s="63"/>
      <c r="M27" s="63"/>
      <c r="N27" s="63"/>
    </row>
    <row r="29" spans="1:22" ht="17.100000000000001" customHeight="1" x14ac:dyDescent="0.3">
      <c r="B29" s="408" t="s">
        <v>54</v>
      </c>
      <c r="C29" s="407" t="s">
        <v>55</v>
      </c>
      <c r="D29" s="407"/>
      <c r="E29" s="407"/>
      <c r="F29" s="407"/>
      <c r="G29" s="407"/>
      <c r="H29" s="407"/>
      <c r="I29" s="407"/>
      <c r="J29" s="407"/>
      <c r="K29" s="407"/>
      <c r="L29" s="407"/>
      <c r="M29" s="407"/>
      <c r="N29" s="407"/>
      <c r="O29" s="407"/>
      <c r="P29" s="407"/>
      <c r="Q29" s="407"/>
      <c r="R29" s="407"/>
      <c r="S29" s="407"/>
      <c r="T29" s="407"/>
      <c r="U29" s="407"/>
    </row>
    <row r="30" spans="1:22" x14ac:dyDescent="0.3">
      <c r="B30" s="409"/>
      <c r="C30" s="334">
        <v>1</v>
      </c>
      <c r="D30" s="334">
        <f t="shared" ref="D30:U30" si="6">C30+1</f>
        <v>2</v>
      </c>
      <c r="E30" s="334">
        <f t="shared" si="6"/>
        <v>3</v>
      </c>
      <c r="F30" s="334">
        <f t="shared" si="6"/>
        <v>4</v>
      </c>
      <c r="G30" s="334">
        <f t="shared" si="6"/>
        <v>5</v>
      </c>
      <c r="H30" s="334">
        <f t="shared" si="6"/>
        <v>6</v>
      </c>
      <c r="I30" s="334">
        <f t="shared" si="6"/>
        <v>7</v>
      </c>
      <c r="J30" s="334">
        <f t="shared" si="6"/>
        <v>8</v>
      </c>
      <c r="K30" s="334">
        <f t="shared" si="6"/>
        <v>9</v>
      </c>
      <c r="L30" s="334">
        <f t="shared" si="6"/>
        <v>10</v>
      </c>
      <c r="M30" s="334">
        <f t="shared" si="6"/>
        <v>11</v>
      </c>
      <c r="N30" s="334">
        <f t="shared" si="6"/>
        <v>12</v>
      </c>
      <c r="O30" s="334">
        <f t="shared" si="6"/>
        <v>13</v>
      </c>
      <c r="P30" s="334">
        <f t="shared" si="6"/>
        <v>14</v>
      </c>
      <c r="Q30" s="334">
        <f t="shared" si="6"/>
        <v>15</v>
      </c>
      <c r="R30" s="334">
        <f t="shared" si="6"/>
        <v>16</v>
      </c>
      <c r="S30" s="334">
        <f t="shared" si="6"/>
        <v>17</v>
      </c>
      <c r="T30" s="334">
        <f t="shared" si="6"/>
        <v>18</v>
      </c>
      <c r="U30" s="334">
        <f t="shared" si="6"/>
        <v>19</v>
      </c>
      <c r="V30" s="67" t="s">
        <v>43</v>
      </c>
    </row>
    <row r="31" spans="1:22" x14ac:dyDescent="0.3">
      <c r="B31" s="336">
        <v>13</v>
      </c>
      <c r="C31" s="73">
        <v>2.5000000000000001E-2</v>
      </c>
      <c r="D31" s="73">
        <v>0.04</v>
      </c>
      <c r="E31" s="73">
        <v>0.06</v>
      </c>
      <c r="F31" s="73">
        <v>0.09</v>
      </c>
      <c r="G31" s="73">
        <v>0.11</v>
      </c>
      <c r="H31" s="73">
        <v>0.11</v>
      </c>
      <c r="I31" s="73">
        <v>0.13</v>
      </c>
      <c r="J31" s="73">
        <v>0.11</v>
      </c>
      <c r="K31" s="73">
        <v>0.11</v>
      </c>
      <c r="L31" s="73">
        <v>0.09</v>
      </c>
      <c r="M31" s="73">
        <v>0.06</v>
      </c>
      <c r="N31" s="73">
        <v>0.04</v>
      </c>
      <c r="O31" s="73">
        <v>2.5000000000000001E-2</v>
      </c>
      <c r="P31" s="73"/>
      <c r="Q31" s="73"/>
      <c r="R31" s="73"/>
      <c r="S31" s="73"/>
      <c r="T31" s="73"/>
      <c r="U31" s="73"/>
      <c r="V31" s="40">
        <f>SUM(C31:U31)</f>
        <v>0.99999999999999989</v>
      </c>
    </row>
    <row r="32" spans="1:22" x14ac:dyDescent="0.3">
      <c r="B32" s="336">
        <v>14</v>
      </c>
      <c r="C32" s="73">
        <v>0.02</v>
      </c>
      <c r="D32" s="73">
        <v>0.04</v>
      </c>
      <c r="E32" s="73">
        <v>0.06</v>
      </c>
      <c r="F32" s="73">
        <v>0.08</v>
      </c>
      <c r="G32" s="73">
        <v>0.08</v>
      </c>
      <c r="H32" s="73">
        <v>0.1</v>
      </c>
      <c r="I32" s="73">
        <v>0.12</v>
      </c>
      <c r="J32" s="73">
        <v>0.12</v>
      </c>
      <c r="K32" s="73">
        <v>0.1</v>
      </c>
      <c r="L32" s="73">
        <v>0.08</v>
      </c>
      <c r="M32" s="73">
        <v>0.08</v>
      </c>
      <c r="N32" s="73">
        <v>0.06</v>
      </c>
      <c r="O32" s="73">
        <v>0.04</v>
      </c>
      <c r="P32" s="73">
        <v>0.02</v>
      </c>
      <c r="Q32" s="73"/>
      <c r="R32" s="73"/>
      <c r="S32" s="73"/>
      <c r="T32" s="73"/>
      <c r="U32" s="73"/>
      <c r="V32" s="40">
        <f t="shared" ref="V32:V37" si="7">SUM(C32:U32)</f>
        <v>1</v>
      </c>
    </row>
    <row r="33" spans="2:22" x14ac:dyDescent="0.3">
      <c r="B33" s="336">
        <v>15</v>
      </c>
      <c r="C33" s="73">
        <v>0.02</v>
      </c>
      <c r="D33" s="73">
        <v>0.03</v>
      </c>
      <c r="E33" s="73">
        <v>0.05</v>
      </c>
      <c r="F33" s="73">
        <v>7.0000000000000007E-2</v>
      </c>
      <c r="G33" s="73">
        <v>0.08</v>
      </c>
      <c r="H33" s="73">
        <v>0.09</v>
      </c>
      <c r="I33" s="73">
        <v>0.1</v>
      </c>
      <c r="J33" s="73">
        <v>0.12</v>
      </c>
      <c r="K33" s="73">
        <v>0.1</v>
      </c>
      <c r="L33" s="73">
        <v>0.09</v>
      </c>
      <c r="M33" s="73">
        <v>0.08</v>
      </c>
      <c r="N33" s="73">
        <v>7.0000000000000007E-2</v>
      </c>
      <c r="O33" s="73">
        <v>0.05</v>
      </c>
      <c r="P33" s="73">
        <v>0.03</v>
      </c>
      <c r="Q33" s="73">
        <v>0.02</v>
      </c>
      <c r="R33" s="73"/>
      <c r="S33" s="73"/>
      <c r="T33" s="73"/>
      <c r="U33" s="73"/>
      <c r="V33" s="40">
        <f t="shared" si="7"/>
        <v>1</v>
      </c>
    </row>
    <row r="34" spans="2:22" x14ac:dyDescent="0.3">
      <c r="B34" s="336">
        <v>16</v>
      </c>
      <c r="C34" s="73">
        <v>0.02</v>
      </c>
      <c r="D34" s="73">
        <v>0.03</v>
      </c>
      <c r="E34" s="73">
        <v>0.05</v>
      </c>
      <c r="F34" s="73">
        <v>0.06</v>
      </c>
      <c r="G34" s="73">
        <v>7.0000000000000007E-2</v>
      </c>
      <c r="H34" s="73">
        <v>0.08</v>
      </c>
      <c r="I34" s="73">
        <v>0.09</v>
      </c>
      <c r="J34" s="73">
        <v>0.1</v>
      </c>
      <c r="K34" s="73">
        <v>0.1</v>
      </c>
      <c r="L34" s="73">
        <v>0.09</v>
      </c>
      <c r="M34" s="73">
        <v>0.08</v>
      </c>
      <c r="N34" s="73">
        <v>7.0000000000000007E-2</v>
      </c>
      <c r="O34" s="73">
        <v>0.06</v>
      </c>
      <c r="P34" s="73">
        <v>0.05</v>
      </c>
      <c r="Q34" s="73">
        <v>0.03</v>
      </c>
      <c r="R34" s="73">
        <v>0.02</v>
      </c>
      <c r="S34" s="73"/>
      <c r="T34" s="73"/>
      <c r="U34" s="73"/>
      <c r="V34" s="40">
        <f t="shared" si="7"/>
        <v>1</v>
      </c>
    </row>
    <row r="35" spans="2:22" x14ac:dyDescent="0.3">
      <c r="B35" s="336">
        <v>17</v>
      </c>
      <c r="C35" s="73">
        <v>0.02</v>
      </c>
      <c r="D35" s="73">
        <v>0.03</v>
      </c>
      <c r="E35" s="73">
        <v>0.04</v>
      </c>
      <c r="F35" s="73">
        <v>0.05</v>
      </c>
      <c r="G35" s="73">
        <v>0.06</v>
      </c>
      <c r="H35" s="73">
        <v>7.0000000000000007E-2</v>
      </c>
      <c r="I35" s="73">
        <v>0.09</v>
      </c>
      <c r="J35" s="73">
        <v>0.09</v>
      </c>
      <c r="K35" s="73">
        <v>0.1</v>
      </c>
      <c r="L35" s="73">
        <v>0.09</v>
      </c>
      <c r="M35" s="73">
        <v>0.09</v>
      </c>
      <c r="N35" s="73">
        <v>7.0000000000000007E-2</v>
      </c>
      <c r="O35" s="73">
        <v>0.06</v>
      </c>
      <c r="P35" s="73">
        <v>0.05</v>
      </c>
      <c r="Q35" s="73">
        <v>0.04</v>
      </c>
      <c r="R35" s="73">
        <v>0.03</v>
      </c>
      <c r="S35" s="73">
        <v>0.02</v>
      </c>
      <c r="T35" s="73"/>
      <c r="U35" s="73"/>
      <c r="V35" s="40">
        <f t="shared" si="7"/>
        <v>1</v>
      </c>
    </row>
    <row r="36" spans="2:22" x14ac:dyDescent="0.3">
      <c r="B36" s="336">
        <v>18</v>
      </c>
      <c r="C36" s="73">
        <v>1.4999999999999999E-2</v>
      </c>
      <c r="D36" s="73">
        <v>2.5000000000000001E-2</v>
      </c>
      <c r="E36" s="73">
        <v>2.5000000000000001E-2</v>
      </c>
      <c r="F36" s="73">
        <v>2.5000000000000001E-2</v>
      </c>
      <c r="G36" s="73">
        <v>0.03</v>
      </c>
      <c r="H36" s="73">
        <v>0.04</v>
      </c>
      <c r="I36" s="73">
        <v>0.05</v>
      </c>
      <c r="J36" s="73">
        <v>0.08</v>
      </c>
      <c r="K36" s="73">
        <v>0.1</v>
      </c>
      <c r="L36" s="73">
        <v>0.1</v>
      </c>
      <c r="M36" s="73">
        <v>0.08</v>
      </c>
      <c r="N36" s="73">
        <v>0.08</v>
      </c>
      <c r="O36" s="73">
        <v>0.08</v>
      </c>
      <c r="P36" s="73">
        <v>0.08</v>
      </c>
      <c r="Q36" s="73">
        <v>0.08</v>
      </c>
      <c r="R36" s="73">
        <v>0.06</v>
      </c>
      <c r="S36" s="73">
        <v>0.03</v>
      </c>
      <c r="T36" s="73">
        <v>0.02</v>
      </c>
      <c r="U36" s="73"/>
      <c r="V36" s="40">
        <f t="shared" si="7"/>
        <v>0.99999999999999978</v>
      </c>
    </row>
    <row r="37" spans="2:22" x14ac:dyDescent="0.3">
      <c r="B37" s="336">
        <v>19</v>
      </c>
      <c r="C37" s="73">
        <v>1.4999999999999999E-2</v>
      </c>
      <c r="D37" s="73">
        <v>2.5000000000000001E-2</v>
      </c>
      <c r="E37" s="73">
        <v>2.5000000000000001E-2</v>
      </c>
      <c r="F37" s="73">
        <v>2.5000000000000001E-2</v>
      </c>
      <c r="G37" s="73">
        <v>2.5000000000000001E-2</v>
      </c>
      <c r="H37" s="73">
        <v>0.03</v>
      </c>
      <c r="I37" s="73">
        <v>0.05</v>
      </c>
      <c r="J37" s="73">
        <v>6.5000000000000002E-2</v>
      </c>
      <c r="K37" s="73">
        <v>0.08</v>
      </c>
      <c r="L37" s="73">
        <v>0.08</v>
      </c>
      <c r="M37" s="73">
        <v>0.08</v>
      </c>
      <c r="N37" s="73">
        <v>0.08</v>
      </c>
      <c r="O37" s="73">
        <v>0.08</v>
      </c>
      <c r="P37" s="73">
        <v>0.08</v>
      </c>
      <c r="Q37" s="73">
        <v>0.08</v>
      </c>
      <c r="R37" s="73">
        <v>0.08</v>
      </c>
      <c r="S37" s="73">
        <v>0.06</v>
      </c>
      <c r="T37" s="73">
        <v>0.03</v>
      </c>
      <c r="U37" s="73">
        <v>0.01</v>
      </c>
      <c r="V37" s="40">
        <f t="shared" si="7"/>
        <v>0.99999999999999978</v>
      </c>
    </row>
    <row r="38" spans="2:22" x14ac:dyDescent="0.3">
      <c r="B38" s="68"/>
    </row>
    <row r="39" spans="2:22" x14ac:dyDescent="0.3">
      <c r="B39" s="144" t="s">
        <v>56</v>
      </c>
      <c r="C39" s="145"/>
      <c r="D39" s="145"/>
      <c r="E39" s="335"/>
    </row>
    <row r="40" spans="2:22" x14ac:dyDescent="0.3">
      <c r="B40" s="183" t="s">
        <v>119</v>
      </c>
      <c r="C40" s="147"/>
      <c r="D40" s="147"/>
      <c r="E40" s="317"/>
    </row>
    <row r="42" spans="2:22" x14ac:dyDescent="0.3">
      <c r="B42" s="293" t="s">
        <v>125</v>
      </c>
      <c r="C42" s="337"/>
      <c r="D42" s="337"/>
      <c r="E42" s="338" t="e">
        <f>VLOOKUP(E39,B31:U37,6,FALSE)</f>
        <v>#N/A</v>
      </c>
    </row>
    <row r="44" spans="2:22" x14ac:dyDescent="0.3">
      <c r="B44" s="333" t="s">
        <v>271</v>
      </c>
    </row>
    <row r="45" spans="2:22" x14ac:dyDescent="0.3">
      <c r="B45" s="69"/>
    </row>
    <row r="46" spans="2:22" x14ac:dyDescent="0.3">
      <c r="B46" s="144"/>
      <c r="C46" s="344">
        <v>2013</v>
      </c>
      <c r="D46" s="344">
        <v>2014</v>
      </c>
      <c r="E46" s="344">
        <v>2015</v>
      </c>
      <c r="F46" s="345">
        <v>2016</v>
      </c>
    </row>
    <row r="47" spans="2:22" x14ac:dyDescent="0.3">
      <c r="B47" s="148" t="s">
        <v>41</v>
      </c>
      <c r="C47" s="346">
        <v>400000</v>
      </c>
      <c r="D47" s="346">
        <v>450000</v>
      </c>
      <c r="E47" s="346">
        <v>465000</v>
      </c>
      <c r="F47" s="347">
        <v>472000</v>
      </c>
    </row>
    <row r="48" spans="2:22" x14ac:dyDescent="0.3">
      <c r="B48" s="148"/>
      <c r="C48" s="149"/>
      <c r="D48" s="149"/>
      <c r="E48" s="149"/>
      <c r="F48" s="190"/>
    </row>
    <row r="49" spans="2:6" x14ac:dyDescent="0.3">
      <c r="B49" s="380">
        <v>2015</v>
      </c>
      <c r="C49" s="346"/>
      <c r="D49" s="378" t="s">
        <v>252</v>
      </c>
      <c r="E49" s="149"/>
      <c r="F49" s="190"/>
    </row>
    <row r="50" spans="2:6" x14ac:dyDescent="0.3">
      <c r="B50" s="381">
        <v>0.06</v>
      </c>
      <c r="C50" s="346"/>
      <c r="D50" s="379"/>
      <c r="E50" s="149"/>
      <c r="F50" s="190"/>
    </row>
    <row r="51" spans="2:6" x14ac:dyDescent="0.3">
      <c r="B51" s="382">
        <v>0.04</v>
      </c>
      <c r="C51" s="348"/>
      <c r="D51" s="147"/>
      <c r="E51" s="147"/>
      <c r="F51" s="317"/>
    </row>
    <row r="53" spans="2:6" x14ac:dyDescent="0.3">
      <c r="B53" s="158" t="s">
        <v>125</v>
      </c>
      <c r="C53" s="159"/>
      <c r="D53" s="159"/>
      <c r="E53" s="159"/>
      <c r="F53" s="160"/>
    </row>
    <row r="54" spans="2:6" x14ac:dyDescent="0.3">
      <c r="B54" s="164"/>
      <c r="C54" s="339">
        <v>2013</v>
      </c>
      <c r="D54" s="339">
        <v>2014</v>
      </c>
      <c r="E54" s="339">
        <v>2015</v>
      </c>
      <c r="F54" s="340">
        <v>2016</v>
      </c>
    </row>
    <row r="55" spans="2:6" x14ac:dyDescent="0.3">
      <c r="B55" s="164" t="s">
        <v>41</v>
      </c>
      <c r="C55" s="341">
        <v>400000</v>
      </c>
      <c r="D55" s="341">
        <v>450000</v>
      </c>
      <c r="E55" s="341">
        <v>465000</v>
      </c>
      <c r="F55" s="342">
        <v>472000</v>
      </c>
    </row>
    <row r="56" spans="2:6" x14ac:dyDescent="0.3">
      <c r="B56" s="164"/>
      <c r="C56" s="165"/>
      <c r="D56" s="165"/>
      <c r="E56" s="165"/>
      <c r="F56" s="196"/>
    </row>
    <row r="57" spans="2:6" x14ac:dyDescent="0.3">
      <c r="B57" s="383">
        <v>2015</v>
      </c>
      <c r="C57" s="165"/>
      <c r="D57" s="349" t="s">
        <v>252</v>
      </c>
      <c r="E57" s="165"/>
      <c r="F57" s="196"/>
    </row>
    <row r="58" spans="2:6" x14ac:dyDescent="0.3">
      <c r="B58" s="384">
        <v>0.06</v>
      </c>
      <c r="C58" s="165"/>
      <c r="D58" s="341">
        <f>HLOOKUP(B57+1,C54:F55,2,FALSE)/B58*(1-B59)</f>
        <v>7552000</v>
      </c>
      <c r="E58" s="165"/>
      <c r="F58" s="196"/>
    </row>
    <row r="59" spans="2:6" x14ac:dyDescent="0.3">
      <c r="B59" s="385">
        <v>0.04</v>
      </c>
      <c r="C59" s="162"/>
      <c r="D59" s="162"/>
      <c r="E59" s="162"/>
      <c r="F59" s="343"/>
    </row>
  </sheetData>
  <mergeCells count="4">
    <mergeCell ref="C10:L10"/>
    <mergeCell ref="C29:U29"/>
    <mergeCell ref="B10:B11"/>
    <mergeCell ref="B29:B30"/>
  </mergeCells>
  <pageMargins left="0.7" right="0.7" top="0.75" bottom="0.75" header="0.3" footer="0.3"/>
  <pageSetup orientation="portrait" verticalDpi="0"/>
  <drawing r:id="rId1"/>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28"/>
  <sheetViews>
    <sheetView zoomScaleNormal="100" zoomScalePageLayoutView="150" workbookViewId="0"/>
  </sheetViews>
  <sheetFormatPr defaultColWidth="8.6640625" defaultRowHeight="18.75" x14ac:dyDescent="0.3"/>
  <cols>
    <col min="1" max="1" width="3.5546875" style="1" customWidth="1"/>
    <col min="2" max="2" width="8.6640625" style="1"/>
    <col min="3" max="3" width="13.33203125" style="1" customWidth="1"/>
    <col min="4" max="4" width="8.6640625" style="1"/>
    <col min="5" max="5" width="8.88671875" style="1" customWidth="1"/>
    <col min="6" max="6" width="8.6640625" style="1"/>
    <col min="7" max="7" width="13.6640625" style="1" bestFit="1" customWidth="1"/>
    <col min="8" max="8" width="11.33203125" style="1" bestFit="1" customWidth="1"/>
    <col min="9" max="9" width="10.33203125" style="1" bestFit="1" customWidth="1"/>
    <col min="10" max="10" width="11.33203125" style="1" bestFit="1" customWidth="1"/>
    <col min="11" max="11" width="10.33203125" style="1" bestFit="1" customWidth="1"/>
    <col min="12" max="12" width="11.33203125" style="1" bestFit="1" customWidth="1"/>
    <col min="13" max="13" width="11.6640625" style="1" customWidth="1"/>
    <col min="14" max="14" width="8.6640625" style="1"/>
    <col min="15" max="15" width="9.109375" style="1" bestFit="1" customWidth="1"/>
    <col min="16" max="17" width="8.6640625" style="1"/>
    <col min="18" max="18" width="11.5546875" style="1" bestFit="1" customWidth="1"/>
    <col min="19" max="16384" width="8.6640625" style="1"/>
  </cols>
  <sheetData>
    <row r="2" spans="2:18" ht="23.25" x14ac:dyDescent="0.35">
      <c r="B2" s="5" t="s">
        <v>165</v>
      </c>
    </row>
    <row r="3" spans="2:18" ht="23.25" x14ac:dyDescent="0.35">
      <c r="B3" s="5"/>
    </row>
    <row r="4" spans="2:18" x14ac:dyDescent="0.3">
      <c r="G4" s="28" t="s">
        <v>123</v>
      </c>
      <c r="H4" s="4">
        <v>0</v>
      </c>
      <c r="I4" s="4">
        <f t="shared" ref="I4:M5" si="0">H4+1</f>
        <v>1</v>
      </c>
      <c r="J4" s="4">
        <f t="shared" si="0"/>
        <v>2</v>
      </c>
      <c r="K4" s="4">
        <f t="shared" si="0"/>
        <v>3</v>
      </c>
      <c r="L4" s="4">
        <f t="shared" si="0"/>
        <v>4</v>
      </c>
      <c r="M4" s="4">
        <f t="shared" si="0"/>
        <v>5</v>
      </c>
      <c r="N4" s="4"/>
      <c r="O4" s="4"/>
      <c r="P4" s="4"/>
      <c r="Q4" s="4"/>
      <c r="R4" s="4"/>
    </row>
    <row r="5" spans="2:18" x14ac:dyDescent="0.3">
      <c r="G5" s="28" t="s">
        <v>42</v>
      </c>
      <c r="H5" s="4">
        <v>0</v>
      </c>
      <c r="I5" s="4">
        <v>2013</v>
      </c>
      <c r="J5" s="25">
        <f t="shared" si="0"/>
        <v>2014</v>
      </c>
      <c r="K5" s="25">
        <f t="shared" si="0"/>
        <v>2015</v>
      </c>
      <c r="L5" s="25">
        <f t="shared" si="0"/>
        <v>2016</v>
      </c>
      <c r="M5" s="25">
        <f t="shared" si="0"/>
        <v>2017</v>
      </c>
      <c r="N5" s="4"/>
      <c r="O5" s="4"/>
      <c r="P5" s="4"/>
      <c r="Q5" s="4"/>
      <c r="R5" s="4"/>
    </row>
    <row r="6" spans="2:18" x14ac:dyDescent="0.3">
      <c r="G6" s="28" t="s">
        <v>81</v>
      </c>
      <c r="H6" s="21">
        <v>-8041305.7319778902</v>
      </c>
      <c r="I6" s="21">
        <v>741879.23405591224</v>
      </c>
      <c r="J6" s="21">
        <v>745277.45874145068</v>
      </c>
      <c r="K6" s="21">
        <v>748675.68342698878</v>
      </c>
      <c r="L6" s="21">
        <v>752073.90811252687</v>
      </c>
      <c r="M6" s="21">
        <v>11000000</v>
      </c>
      <c r="N6" s="21"/>
      <c r="O6" s="21"/>
      <c r="P6" s="21"/>
      <c r="Q6" s="21"/>
    </row>
    <row r="7" spans="2:18" x14ac:dyDescent="0.3">
      <c r="G7" s="1" t="s">
        <v>183</v>
      </c>
      <c r="H7" s="21">
        <f>SUM(H6:M6)</f>
        <v>5946600.5523589877</v>
      </c>
    </row>
    <row r="8" spans="2:18" ht="37.5" customHeight="1" x14ac:dyDescent="0.3">
      <c r="B8" s="36" t="s">
        <v>74</v>
      </c>
      <c r="C8" s="1" t="s">
        <v>129</v>
      </c>
      <c r="H8" s="39">
        <v>0.08</v>
      </c>
    </row>
    <row r="9" spans="2:18" x14ac:dyDescent="0.3">
      <c r="B9" s="36"/>
    </row>
    <row r="10" spans="2:18" x14ac:dyDescent="0.3">
      <c r="B10" s="36" t="s">
        <v>71</v>
      </c>
      <c r="C10" s="1" t="s">
        <v>121</v>
      </c>
      <c r="H10" s="21">
        <f>-PV(H8,K4,,K6)</f>
        <v>594322.8955721535</v>
      </c>
    </row>
    <row r="11" spans="2:18" x14ac:dyDescent="0.3">
      <c r="C11" s="1" t="s">
        <v>122</v>
      </c>
      <c r="H11" s="21">
        <f>H10*(1+H8)^K4</f>
        <v>748675.68342698878</v>
      </c>
    </row>
    <row r="13" spans="2:18" x14ac:dyDescent="0.3">
      <c r="B13" s="36" t="s">
        <v>73</v>
      </c>
      <c r="C13" s="1" t="s">
        <v>72</v>
      </c>
      <c r="H13" s="21">
        <f>-FV(H8,K4,,H10)</f>
        <v>748675.68342698878</v>
      </c>
    </row>
    <row r="15" spans="2:18" x14ac:dyDescent="0.3">
      <c r="B15" s="36" t="s">
        <v>77</v>
      </c>
      <c r="C15" s="1" t="s">
        <v>79</v>
      </c>
      <c r="H15" s="21">
        <f>NPV(H8,I6:M6)+H6</f>
        <v>1918109.618930894</v>
      </c>
    </row>
    <row r="16" spans="2:18" x14ac:dyDescent="0.3">
      <c r="H16" s="21"/>
    </row>
    <row r="17" spans="2:18" x14ac:dyDescent="0.3">
      <c r="B17" s="36" t="s">
        <v>75</v>
      </c>
      <c r="C17" s="1" t="s">
        <v>80</v>
      </c>
      <c r="H17" s="121">
        <f>IRR(H6:M6)</f>
        <v>0.13487118884312888</v>
      </c>
    </row>
    <row r="20" spans="2:18" x14ac:dyDescent="0.3">
      <c r="G20" s="28" t="s">
        <v>82</v>
      </c>
      <c r="H20" s="24">
        <v>41275</v>
      </c>
      <c r="I20" s="24">
        <v>41409</v>
      </c>
      <c r="J20" s="24">
        <v>41480</v>
      </c>
      <c r="K20" s="24">
        <v>41542</v>
      </c>
      <c r="L20" s="24">
        <v>41567</v>
      </c>
      <c r="M20" s="24">
        <v>41609</v>
      </c>
      <c r="N20" s="2"/>
      <c r="O20" s="2"/>
      <c r="P20" s="2"/>
      <c r="Q20" s="2"/>
      <c r="R20" s="2"/>
    </row>
    <row r="21" spans="2:18" x14ac:dyDescent="0.3">
      <c r="B21" s="123" t="s">
        <v>97</v>
      </c>
      <c r="G21" s="28" t="s">
        <v>81</v>
      </c>
      <c r="H21" s="21">
        <v>-8041305.7319778912</v>
      </c>
      <c r="I21" s="21">
        <v>741879.23405591224</v>
      </c>
      <c r="J21" s="21">
        <v>745277.45874145068</v>
      </c>
      <c r="K21" s="21">
        <v>748675.68342698878</v>
      </c>
      <c r="L21" s="21">
        <v>752073.90811252687</v>
      </c>
      <c r="M21" s="21">
        <v>11000000</v>
      </c>
      <c r="N21" s="21"/>
      <c r="O21" s="21"/>
      <c r="P21" s="21"/>
      <c r="Q21" s="21"/>
    </row>
    <row r="22" spans="2:18" x14ac:dyDescent="0.3">
      <c r="G22" s="28"/>
      <c r="H22" s="21"/>
      <c r="I22" s="21"/>
      <c r="J22" s="21"/>
      <c r="K22" s="21"/>
      <c r="L22" s="21"/>
      <c r="M22" s="21"/>
      <c r="N22" s="21"/>
      <c r="O22" s="21"/>
      <c r="P22" s="21"/>
      <c r="Q22" s="21"/>
      <c r="R22" s="21"/>
    </row>
    <row r="23" spans="2:18" x14ac:dyDescent="0.3">
      <c r="B23" s="36" t="s">
        <v>78</v>
      </c>
      <c r="C23" s="1" t="s">
        <v>96</v>
      </c>
      <c r="H23" s="21">
        <f>XNPV(H8,H21:M21,H20:M20)</f>
        <v>5060490.6945910137</v>
      </c>
      <c r="J23" s="21"/>
    </row>
    <row r="25" spans="2:18" x14ac:dyDescent="0.3">
      <c r="B25" s="36" t="s">
        <v>76</v>
      </c>
      <c r="C25" s="1" t="s">
        <v>95</v>
      </c>
      <c r="H25" s="40">
        <f>XIRR(H21:M21,H20:M20,0.1)</f>
        <v>0.92732785940170293</v>
      </c>
    </row>
    <row r="28" spans="2:18" x14ac:dyDescent="0.3">
      <c r="B28" s="138" t="s">
        <v>253</v>
      </c>
    </row>
  </sheetData>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28"/>
  <sheetViews>
    <sheetView zoomScaleNormal="100" zoomScalePageLayoutView="150" workbookViewId="0"/>
  </sheetViews>
  <sheetFormatPr defaultColWidth="8.6640625" defaultRowHeight="18.75" x14ac:dyDescent="0.3"/>
  <cols>
    <col min="1" max="1" width="3.5546875" style="1" customWidth="1"/>
    <col min="2" max="2" width="8.6640625" style="1"/>
    <col min="3" max="3" width="13.33203125" style="1" customWidth="1"/>
    <col min="4" max="4" width="8.6640625" style="1"/>
    <col min="5" max="5" width="8.88671875" style="1" customWidth="1"/>
    <col min="6" max="6" width="8.6640625" style="1"/>
    <col min="7" max="7" width="13.6640625" style="1" bestFit="1" customWidth="1"/>
    <col min="8" max="8" width="11.33203125" style="1" bestFit="1" customWidth="1"/>
    <col min="9" max="9" width="10.33203125" style="1" bestFit="1" customWidth="1"/>
    <col min="10" max="10" width="11.33203125" style="1" bestFit="1" customWidth="1"/>
    <col min="11" max="11" width="10.33203125" style="1" bestFit="1" customWidth="1"/>
    <col min="12" max="12" width="11.33203125" style="1" bestFit="1" customWidth="1"/>
    <col min="13" max="13" width="11.6640625" style="1" customWidth="1"/>
    <col min="14" max="14" width="8.6640625" style="1"/>
    <col min="15" max="15" width="9.109375" style="1" bestFit="1" customWidth="1"/>
    <col min="16" max="17" width="8.6640625" style="1"/>
    <col min="18" max="18" width="11.5546875" style="1" bestFit="1" customWidth="1"/>
    <col min="19" max="16384" width="8.6640625" style="1"/>
  </cols>
  <sheetData>
    <row r="2" spans="2:18" ht="23.25" x14ac:dyDescent="0.35">
      <c r="B2" s="5" t="s">
        <v>272</v>
      </c>
    </row>
    <row r="3" spans="2:18" ht="23.25" x14ac:dyDescent="0.35">
      <c r="B3" s="5"/>
    </row>
    <row r="4" spans="2:18" x14ac:dyDescent="0.3">
      <c r="G4" s="28" t="s">
        <v>123</v>
      </c>
      <c r="H4" s="4">
        <v>0</v>
      </c>
      <c r="I4" s="4">
        <f t="shared" ref="I4:M5" si="0">H4+1</f>
        <v>1</v>
      </c>
      <c r="J4" s="4">
        <f t="shared" si="0"/>
        <v>2</v>
      </c>
      <c r="K4" s="4">
        <f t="shared" si="0"/>
        <v>3</v>
      </c>
      <c r="L4" s="4">
        <f t="shared" si="0"/>
        <v>4</v>
      </c>
      <c r="M4" s="4">
        <f t="shared" si="0"/>
        <v>5</v>
      </c>
      <c r="N4" s="4"/>
      <c r="O4" s="4"/>
      <c r="P4" s="4"/>
      <c r="Q4" s="4"/>
      <c r="R4" s="4"/>
    </row>
    <row r="5" spans="2:18" x14ac:dyDescent="0.3">
      <c r="G5" s="28" t="s">
        <v>42</v>
      </c>
      <c r="H5" s="4">
        <v>0</v>
      </c>
      <c r="I5" s="4">
        <v>2013</v>
      </c>
      <c r="J5" s="25">
        <f t="shared" si="0"/>
        <v>2014</v>
      </c>
      <c r="K5" s="25">
        <f t="shared" si="0"/>
        <v>2015</v>
      </c>
      <c r="L5" s="25">
        <f t="shared" si="0"/>
        <v>2016</v>
      </c>
      <c r="M5" s="25">
        <f t="shared" si="0"/>
        <v>2017</v>
      </c>
      <c r="N5" s="4"/>
      <c r="O5" s="4"/>
      <c r="P5" s="4"/>
      <c r="Q5" s="4"/>
      <c r="R5" s="4"/>
    </row>
    <row r="6" spans="2:18" x14ac:dyDescent="0.3">
      <c r="G6" s="28" t="s">
        <v>81</v>
      </c>
      <c r="H6" s="21">
        <v>-8041305.7319778902</v>
      </c>
      <c r="I6" s="21">
        <v>741879.23405591224</v>
      </c>
      <c r="J6" s="21">
        <v>745277.45874145068</v>
      </c>
      <c r="K6" s="21">
        <v>748675.68342698878</v>
      </c>
      <c r="L6" s="21">
        <v>752073.90811252687</v>
      </c>
      <c r="M6" s="21">
        <v>11000000</v>
      </c>
      <c r="N6" s="21"/>
      <c r="O6" s="21"/>
      <c r="P6" s="21"/>
      <c r="Q6" s="21"/>
    </row>
    <row r="7" spans="2:18" x14ac:dyDescent="0.3">
      <c r="G7" s="1" t="s">
        <v>183</v>
      </c>
      <c r="H7" s="21">
        <f>SUM(H6:M6)</f>
        <v>5946600.5523589877</v>
      </c>
    </row>
    <row r="8" spans="2:18" ht="37.5" customHeight="1" x14ac:dyDescent="0.3">
      <c r="B8" s="36" t="s">
        <v>74</v>
      </c>
      <c r="C8" s="1" t="s">
        <v>129</v>
      </c>
      <c r="H8" s="39">
        <v>0.08</v>
      </c>
    </row>
    <row r="9" spans="2:18" x14ac:dyDescent="0.3">
      <c r="B9" s="36"/>
    </row>
    <row r="10" spans="2:18" x14ac:dyDescent="0.3">
      <c r="B10" s="36" t="s">
        <v>71</v>
      </c>
      <c r="C10" s="1" t="s">
        <v>121</v>
      </c>
      <c r="H10" s="350"/>
    </row>
    <row r="11" spans="2:18" x14ac:dyDescent="0.3">
      <c r="C11" s="1" t="s">
        <v>122</v>
      </c>
      <c r="H11" s="350"/>
    </row>
    <row r="13" spans="2:18" x14ac:dyDescent="0.3">
      <c r="B13" s="36" t="s">
        <v>73</v>
      </c>
      <c r="C13" s="1" t="s">
        <v>72</v>
      </c>
      <c r="H13" s="350"/>
    </row>
    <row r="15" spans="2:18" x14ac:dyDescent="0.3">
      <c r="B15" s="36" t="s">
        <v>77</v>
      </c>
      <c r="C15" s="1" t="s">
        <v>79</v>
      </c>
      <c r="H15" s="350"/>
    </row>
    <row r="16" spans="2:18" x14ac:dyDescent="0.3">
      <c r="H16" s="21"/>
    </row>
    <row r="17" spans="2:18" x14ac:dyDescent="0.3">
      <c r="B17" s="36" t="s">
        <v>75</v>
      </c>
      <c r="C17" s="1" t="s">
        <v>80</v>
      </c>
      <c r="H17" s="351"/>
    </row>
    <row r="20" spans="2:18" x14ac:dyDescent="0.3">
      <c r="G20" s="28" t="s">
        <v>82</v>
      </c>
      <c r="H20" s="24">
        <v>41395</v>
      </c>
      <c r="I20" s="24">
        <v>41409</v>
      </c>
      <c r="J20" s="24">
        <v>41480</v>
      </c>
      <c r="K20" s="24">
        <v>41542</v>
      </c>
      <c r="L20" s="24">
        <v>41567</v>
      </c>
      <c r="M20" s="24">
        <v>41609</v>
      </c>
      <c r="N20" s="366"/>
      <c r="O20" s="366"/>
      <c r="P20" s="366"/>
      <c r="Q20" s="366"/>
      <c r="R20" s="366"/>
    </row>
    <row r="21" spans="2:18" x14ac:dyDescent="0.3">
      <c r="B21" s="123" t="s">
        <v>97</v>
      </c>
      <c r="G21" s="28" t="s">
        <v>81</v>
      </c>
      <c r="H21" s="21">
        <v>-8041305.7319778912</v>
      </c>
      <c r="I21" s="21">
        <v>741879.23405591224</v>
      </c>
      <c r="J21" s="21">
        <v>745277.45874145068</v>
      </c>
      <c r="K21" s="21">
        <v>748675.68342698878</v>
      </c>
      <c r="L21" s="21">
        <v>752073.90811252687</v>
      </c>
      <c r="M21" s="21">
        <v>11000000</v>
      </c>
      <c r="N21" s="21"/>
      <c r="O21" s="21"/>
      <c r="P21" s="21"/>
      <c r="Q21" s="21"/>
    </row>
    <row r="22" spans="2:18" x14ac:dyDescent="0.3">
      <c r="G22" s="28"/>
      <c r="H22" s="21"/>
      <c r="I22" s="21"/>
      <c r="J22" s="21"/>
      <c r="K22" s="21"/>
      <c r="L22" s="21"/>
      <c r="M22" s="21"/>
      <c r="N22" s="21"/>
      <c r="O22" s="21"/>
      <c r="P22" s="21"/>
      <c r="Q22" s="21"/>
      <c r="R22" s="21"/>
    </row>
    <row r="23" spans="2:18" x14ac:dyDescent="0.3">
      <c r="B23" s="36" t="s">
        <v>78</v>
      </c>
      <c r="C23" s="1" t="s">
        <v>96</v>
      </c>
      <c r="H23" s="350"/>
      <c r="J23" s="21"/>
    </row>
    <row r="25" spans="2:18" x14ac:dyDescent="0.3">
      <c r="B25" s="36" t="s">
        <v>76</v>
      </c>
      <c r="C25" s="1" t="s">
        <v>95</v>
      </c>
      <c r="H25" s="386"/>
    </row>
    <row r="28" spans="2:18" x14ac:dyDescent="0.3">
      <c r="B28" s="138"/>
    </row>
  </sheetData>
  <pageMargins left="0.7" right="0.7" top="0.75" bottom="0.75" header="0.3" footer="0.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60"/>
  <sheetViews>
    <sheetView zoomScaleNormal="100" zoomScalePageLayoutView="150" workbookViewId="0"/>
  </sheetViews>
  <sheetFormatPr defaultColWidth="8.6640625" defaultRowHeight="18.75" x14ac:dyDescent="0.3"/>
  <cols>
    <col min="1" max="1" width="2.88671875" style="8" customWidth="1"/>
    <col min="2" max="2" width="8.6640625" style="41"/>
    <col min="3" max="3" width="17.6640625" style="8" customWidth="1"/>
    <col min="4" max="4" width="2.109375" style="8" customWidth="1"/>
    <col min="5" max="5" width="13.88671875" style="8" customWidth="1"/>
    <col min="6" max="6" width="2.109375" style="8" customWidth="1"/>
    <col min="7" max="7" width="10.88671875" style="8" customWidth="1"/>
    <col min="8" max="8" width="2.109375" style="8" customWidth="1"/>
    <col min="9" max="11" width="9.88671875" style="8" customWidth="1"/>
    <col min="12" max="12" width="10.44140625" style="8" customWidth="1"/>
    <col min="13" max="13" width="10.6640625" style="8" customWidth="1"/>
    <col min="14" max="16384" width="8.6640625" style="8"/>
  </cols>
  <sheetData>
    <row r="1" spans="1:13" x14ac:dyDescent="0.3">
      <c r="B1" s="8"/>
    </row>
    <row r="2" spans="1:13" ht="27.75" customHeight="1" x14ac:dyDescent="0.3">
      <c r="B2" s="410" t="s">
        <v>83</v>
      </c>
      <c r="C2" s="410"/>
      <c r="D2" s="410"/>
      <c r="E2" s="410"/>
    </row>
    <row r="4" spans="1:13" x14ac:dyDescent="0.3">
      <c r="C4" s="8" t="s">
        <v>84</v>
      </c>
      <c r="E4" s="42">
        <v>1000000</v>
      </c>
      <c r="F4" s="43"/>
      <c r="G4" s="411" t="str">
        <f>IF(E4-ROUND(G9,0)=0,"Repayment Correct", "FIX REPAYMENT")</f>
        <v>Repayment Correct</v>
      </c>
      <c r="H4" s="411"/>
      <c r="I4" s="411"/>
      <c r="J4" s="44"/>
      <c r="K4" s="44"/>
    </row>
    <row r="5" spans="1:13" x14ac:dyDescent="0.3">
      <c r="C5" s="8" t="s">
        <v>85</v>
      </c>
      <c r="E5" s="45">
        <v>25</v>
      </c>
      <c r="F5" s="45"/>
      <c r="G5" s="412">
        <f>E5*12</f>
        <v>300</v>
      </c>
      <c r="H5" s="412"/>
      <c r="I5" s="412"/>
      <c r="J5" s="46"/>
      <c r="K5" s="46"/>
    </row>
    <row r="6" spans="1:13" x14ac:dyDescent="0.3">
      <c r="C6" s="8" t="s">
        <v>86</v>
      </c>
      <c r="E6" s="47">
        <v>0.06</v>
      </c>
      <c r="F6" s="47"/>
    </row>
    <row r="7" spans="1:13" x14ac:dyDescent="0.3">
      <c r="C7" s="8" t="s">
        <v>87</v>
      </c>
      <c r="E7" s="48">
        <f>E6/12</f>
        <v>5.0000000000000001E-3</v>
      </c>
    </row>
    <row r="8" spans="1:13" x14ac:dyDescent="0.3">
      <c r="E8" s="48"/>
    </row>
    <row r="9" spans="1:13" x14ac:dyDescent="0.3">
      <c r="C9" s="49" t="s">
        <v>88</v>
      </c>
      <c r="D9" s="49"/>
      <c r="E9" s="50">
        <f>SUM(E12:E311)</f>
        <v>-1932904.204456513</v>
      </c>
      <c r="F9" s="49"/>
      <c r="G9" s="51">
        <f>SUM(G12:G311)</f>
        <v>999999.99999999988</v>
      </c>
      <c r="H9" s="49"/>
      <c r="I9" s="51">
        <f>SUM(I12:I311)</f>
        <v>932904.20445652504</v>
      </c>
      <c r="J9" s="51"/>
      <c r="K9" s="51"/>
    </row>
    <row r="10" spans="1:13" x14ac:dyDescent="0.3">
      <c r="G10" s="52"/>
    </row>
    <row r="11" spans="1:13" s="53" customFormat="1" ht="42.75" customHeight="1" x14ac:dyDescent="0.3">
      <c r="B11" s="53" t="s">
        <v>89</v>
      </c>
      <c r="C11" s="53" t="s">
        <v>90</v>
      </c>
      <c r="E11" s="53" t="s">
        <v>91</v>
      </c>
      <c r="G11" s="53" t="s">
        <v>92</v>
      </c>
      <c r="I11" s="53" t="s">
        <v>93</v>
      </c>
      <c r="J11" s="53" t="s">
        <v>93</v>
      </c>
      <c r="K11" s="53" t="s">
        <v>93</v>
      </c>
      <c r="L11" s="53" t="s">
        <v>94</v>
      </c>
      <c r="M11" s="53" t="s">
        <v>34</v>
      </c>
    </row>
    <row r="12" spans="1:13" ht="23.25" customHeight="1" x14ac:dyDescent="0.3">
      <c r="A12" s="54"/>
      <c r="B12" s="55">
        <v>1</v>
      </c>
      <c r="C12" s="52">
        <f>E4</f>
        <v>1000000</v>
      </c>
      <c r="E12" s="54">
        <f>PMT($E$7,$G$5,$E$4)</f>
        <v>-6443.0140148550854</v>
      </c>
      <c r="F12" s="54"/>
      <c r="G12" s="54">
        <f>-PPMT($E$7,B12,$G$5,$E$4)</f>
        <v>1443.0140148550852</v>
      </c>
      <c r="H12" s="54"/>
      <c r="I12" s="54">
        <f>-E12-G12</f>
        <v>5000</v>
      </c>
      <c r="J12" s="54"/>
      <c r="K12" s="54"/>
      <c r="L12" s="56">
        <f t="shared" ref="L12:L14" si="0">IFERROR(-I12/E12,"NA")</f>
        <v>0.77603432003592476</v>
      </c>
      <c r="M12" s="54">
        <f>C12-G12</f>
        <v>998556.98598514497</v>
      </c>
    </row>
    <row r="13" spans="1:13" x14ac:dyDescent="0.3">
      <c r="A13" s="54"/>
      <c r="B13" s="41">
        <f>B12+1</f>
        <v>2</v>
      </c>
      <c r="C13" s="52">
        <f>IF(B13&gt;$G$5,0,M12)</f>
        <v>998556.98598514497</v>
      </c>
      <c r="E13" s="54">
        <f t="shared" ref="E13:E14" si="1">IF(B13&gt;$G$5,0,PMT($E$7,$G$5,$E$4))</f>
        <v>-6443.0140148550854</v>
      </c>
      <c r="F13" s="54"/>
      <c r="G13" s="54">
        <f t="shared" ref="G13:G14" si="2">IF(B13&lt;$G$5+1,-PPMT($E$7,B13,$G$5,$E$4),0)</f>
        <v>1450.2290849293606</v>
      </c>
      <c r="H13" s="54"/>
      <c r="I13" s="387">
        <f>-E13-G13</f>
        <v>4992.784929925725</v>
      </c>
      <c r="J13" s="387">
        <f>M12*E7</f>
        <v>4992.784929925725</v>
      </c>
      <c r="K13" s="387">
        <f>-IPMT(E7,B13,G5,E4)</f>
        <v>4992.784929925725</v>
      </c>
      <c r="L13" s="56">
        <f t="shared" si="0"/>
        <v>0.77491449163610449</v>
      </c>
      <c r="M13" s="54">
        <f t="shared" ref="M13" si="3">C13-G13</f>
        <v>997106.75690021564</v>
      </c>
    </row>
    <row r="14" spans="1:13" x14ac:dyDescent="0.3">
      <c r="A14" s="54"/>
      <c r="B14" s="41">
        <f t="shared" ref="B14" si="4">B13+1</f>
        <v>3</v>
      </c>
      <c r="C14" s="52">
        <f>IF(B14&gt;$G$5,0,M13)</f>
        <v>997106.75690021564</v>
      </c>
      <c r="E14" s="54">
        <f t="shared" si="1"/>
        <v>-6443.0140148550854</v>
      </c>
      <c r="F14" s="54"/>
      <c r="G14" s="54">
        <f t="shared" si="2"/>
        <v>1457.4802303540075</v>
      </c>
      <c r="H14" s="54"/>
      <c r="I14" s="54">
        <f>-IPMT($E$7,B14,$G$5,$E$4)</f>
        <v>4985.5337845010781</v>
      </c>
      <c r="J14" s="54"/>
      <c r="K14" s="54"/>
      <c r="L14" s="56">
        <f t="shared" si="0"/>
        <v>0.77378906409428494</v>
      </c>
      <c r="M14" s="54">
        <f>C14-G14</f>
        <v>995649.27666986163</v>
      </c>
    </row>
    <row r="15" spans="1:13" x14ac:dyDescent="0.3">
      <c r="A15" s="54"/>
      <c r="B15" s="41">
        <f t="shared" ref="B15:B78" si="5">B14+1</f>
        <v>4</v>
      </c>
      <c r="C15" s="52">
        <f t="shared" ref="C15:C78" si="6">IF(B15&gt;$G$5,0,M14)</f>
        <v>995649.27666986163</v>
      </c>
      <c r="E15" s="54">
        <f t="shared" ref="E15:E78" si="7">IF(B15&gt;$G$5,0,PMT($E$7,$G$5,$E$4))</f>
        <v>-6443.0140148550854</v>
      </c>
      <c r="F15" s="54"/>
      <c r="G15" s="54">
        <f t="shared" ref="G15:G78" si="8">IF(B15&lt;$G$5+1,-PPMT($E$7,B15,$G$5,$E$4),0)</f>
        <v>1464.7676315057772</v>
      </c>
      <c r="H15" s="54"/>
      <c r="I15" s="54">
        <f t="shared" ref="I15:I78" si="9">-IPMT($E$7,B15,$G$5,$E$4)</f>
        <v>4978.2463833493075</v>
      </c>
      <c r="J15" s="54"/>
      <c r="K15" s="54"/>
      <c r="L15" s="56">
        <f t="shared" ref="L15:L78" si="10">IFERROR(-I15/E15,"NA")</f>
        <v>0.77265800941475637</v>
      </c>
      <c r="M15" s="54">
        <f t="shared" ref="M15:M78" si="11">C15-G15</f>
        <v>994184.5090383559</v>
      </c>
    </row>
    <row r="16" spans="1:13" x14ac:dyDescent="0.3">
      <c r="A16" s="54"/>
      <c r="B16" s="41">
        <f t="shared" si="5"/>
        <v>5</v>
      </c>
      <c r="C16" s="52">
        <f t="shared" si="6"/>
        <v>994184.5090383559</v>
      </c>
      <c r="E16" s="54">
        <f t="shared" si="7"/>
        <v>-6443.0140148550854</v>
      </c>
      <c r="F16" s="54"/>
      <c r="G16" s="54">
        <f t="shared" si="8"/>
        <v>1472.0914696633065</v>
      </c>
      <c r="H16" s="54"/>
      <c r="I16" s="54">
        <f t="shared" si="9"/>
        <v>4970.9225451917791</v>
      </c>
      <c r="J16" s="54"/>
      <c r="K16" s="54"/>
      <c r="L16" s="56">
        <f t="shared" si="10"/>
        <v>0.77152129946183023</v>
      </c>
      <c r="M16" s="54">
        <f t="shared" si="11"/>
        <v>992712.41756869259</v>
      </c>
    </row>
    <row r="17" spans="1:13" x14ac:dyDescent="0.3">
      <c r="A17" s="54"/>
      <c r="B17" s="41">
        <f t="shared" si="5"/>
        <v>6</v>
      </c>
      <c r="C17" s="52">
        <f t="shared" si="6"/>
        <v>992712.41756869259</v>
      </c>
      <c r="E17" s="54">
        <f t="shared" si="7"/>
        <v>-6443.0140148550854</v>
      </c>
      <c r="F17" s="54"/>
      <c r="G17" s="54">
        <f t="shared" si="8"/>
        <v>1479.4519270116227</v>
      </c>
      <c r="H17" s="54"/>
      <c r="I17" s="54">
        <f t="shared" si="9"/>
        <v>4963.5620878434629</v>
      </c>
      <c r="J17" s="54"/>
      <c r="K17" s="54"/>
      <c r="L17" s="56">
        <f t="shared" si="10"/>
        <v>0.77037890595913938</v>
      </c>
      <c r="M17" s="54">
        <f t="shared" si="11"/>
        <v>991232.96564168099</v>
      </c>
    </row>
    <row r="18" spans="1:13" x14ac:dyDescent="0.3">
      <c r="A18" s="54"/>
      <c r="B18" s="41">
        <f t="shared" si="5"/>
        <v>7</v>
      </c>
      <c r="C18" s="52">
        <f t="shared" si="6"/>
        <v>991232.96564168099</v>
      </c>
      <c r="E18" s="54">
        <f t="shared" si="7"/>
        <v>-6443.0140148550854</v>
      </c>
      <c r="F18" s="54"/>
      <c r="G18" s="54">
        <f t="shared" si="8"/>
        <v>1486.8491866466811</v>
      </c>
      <c r="H18" s="54"/>
      <c r="I18" s="54">
        <f t="shared" si="9"/>
        <v>4956.1648282084043</v>
      </c>
      <c r="J18" s="54"/>
      <c r="K18" s="54"/>
      <c r="L18" s="56">
        <f t="shared" si="10"/>
        <v>0.769230800488935</v>
      </c>
      <c r="M18" s="54">
        <f t="shared" si="11"/>
        <v>989746.11645503435</v>
      </c>
    </row>
    <row r="19" spans="1:13" x14ac:dyDescent="0.3">
      <c r="A19" s="54"/>
      <c r="B19" s="41">
        <f t="shared" si="5"/>
        <v>8</v>
      </c>
      <c r="C19" s="52">
        <f t="shared" si="6"/>
        <v>989746.11645503435</v>
      </c>
      <c r="E19" s="54">
        <f t="shared" si="7"/>
        <v>-6443.0140148550854</v>
      </c>
      <c r="F19" s="54"/>
      <c r="G19" s="54">
        <f t="shared" si="8"/>
        <v>1494.2834325799145</v>
      </c>
      <c r="H19" s="54"/>
      <c r="I19" s="54">
        <f t="shared" si="9"/>
        <v>4948.7305822751714</v>
      </c>
      <c r="J19" s="54"/>
      <c r="K19" s="54"/>
      <c r="L19" s="56">
        <f t="shared" si="10"/>
        <v>0.7680769544913798</v>
      </c>
      <c r="M19" s="54">
        <f t="shared" si="11"/>
        <v>988251.8330224544</v>
      </c>
    </row>
    <row r="20" spans="1:13" x14ac:dyDescent="0.3">
      <c r="A20" s="54"/>
      <c r="B20" s="41">
        <f t="shared" si="5"/>
        <v>9</v>
      </c>
      <c r="C20" s="52">
        <f t="shared" si="6"/>
        <v>988251.8330224544</v>
      </c>
      <c r="E20" s="54">
        <f t="shared" si="7"/>
        <v>-6443.0140148550854</v>
      </c>
      <c r="F20" s="54"/>
      <c r="G20" s="54">
        <f t="shared" si="8"/>
        <v>1501.7548497428143</v>
      </c>
      <c r="H20" s="54"/>
      <c r="I20" s="54">
        <f t="shared" si="9"/>
        <v>4941.2591651122711</v>
      </c>
      <c r="J20" s="54"/>
      <c r="K20" s="54"/>
      <c r="L20" s="56">
        <f t="shared" si="10"/>
        <v>0.76691733926383654</v>
      </c>
      <c r="M20" s="54">
        <f t="shared" si="11"/>
        <v>986750.07817271154</v>
      </c>
    </row>
    <row r="21" spans="1:13" x14ac:dyDescent="0.3">
      <c r="A21" s="54"/>
      <c r="B21" s="41">
        <f t="shared" si="5"/>
        <v>10</v>
      </c>
      <c r="C21" s="52">
        <f t="shared" si="6"/>
        <v>986750.07817271154</v>
      </c>
      <c r="E21" s="54">
        <f t="shared" si="7"/>
        <v>-6443.0140148550854</v>
      </c>
      <c r="F21" s="54"/>
      <c r="G21" s="54">
        <f t="shared" si="8"/>
        <v>1509.263623991528</v>
      </c>
      <c r="H21" s="54"/>
      <c r="I21" s="54">
        <f t="shared" si="9"/>
        <v>4933.7503908635572</v>
      </c>
      <c r="J21" s="54"/>
      <c r="K21" s="54"/>
      <c r="L21" s="56">
        <f t="shared" si="10"/>
        <v>0.76575192596015573</v>
      </c>
      <c r="M21" s="54">
        <f t="shared" si="11"/>
        <v>985240.81454872002</v>
      </c>
    </row>
    <row r="22" spans="1:13" x14ac:dyDescent="0.3">
      <c r="A22" s="54"/>
      <c r="B22" s="41">
        <f t="shared" si="5"/>
        <v>11</v>
      </c>
      <c r="C22" s="52">
        <f t="shared" si="6"/>
        <v>985240.81454872002</v>
      </c>
      <c r="E22" s="54">
        <f t="shared" si="7"/>
        <v>-6443.0140148550854</v>
      </c>
      <c r="F22" s="54"/>
      <c r="G22" s="54">
        <f t="shared" si="8"/>
        <v>1516.8099421114855</v>
      </c>
      <c r="H22" s="54"/>
      <c r="I22" s="54">
        <f t="shared" si="9"/>
        <v>4926.2040727436006</v>
      </c>
      <c r="J22" s="54"/>
      <c r="K22" s="54"/>
      <c r="L22" s="56">
        <f t="shared" si="10"/>
        <v>0.76458068558995673</v>
      </c>
      <c r="M22" s="54">
        <f t="shared" si="11"/>
        <v>983724.00460660853</v>
      </c>
    </row>
    <row r="23" spans="1:13" x14ac:dyDescent="0.3">
      <c r="A23" s="54"/>
      <c r="B23" s="41">
        <f t="shared" si="5"/>
        <v>12</v>
      </c>
      <c r="C23" s="52">
        <f t="shared" si="6"/>
        <v>983724.00460660853</v>
      </c>
      <c r="E23" s="54">
        <f t="shared" si="7"/>
        <v>-6443.0140148550854</v>
      </c>
      <c r="F23" s="54"/>
      <c r="G23" s="54">
        <f t="shared" si="8"/>
        <v>1524.3939918220431</v>
      </c>
      <c r="H23" s="54"/>
      <c r="I23" s="54">
        <f t="shared" si="9"/>
        <v>4918.6200230330423</v>
      </c>
      <c r="J23" s="54"/>
      <c r="K23" s="54"/>
      <c r="L23" s="56">
        <f t="shared" si="10"/>
        <v>0.76340358901790639</v>
      </c>
      <c r="M23" s="54">
        <f t="shared" si="11"/>
        <v>982199.61061478651</v>
      </c>
    </row>
    <row r="24" spans="1:13" x14ac:dyDescent="0.3">
      <c r="A24" s="54"/>
      <c r="B24" s="41">
        <f t="shared" si="5"/>
        <v>13</v>
      </c>
      <c r="C24" s="52">
        <f t="shared" si="6"/>
        <v>982199.61061478651</v>
      </c>
      <c r="E24" s="54">
        <f t="shared" si="7"/>
        <v>-6443.0140148550854</v>
      </c>
      <c r="F24" s="54"/>
      <c r="G24" s="54">
        <f t="shared" si="8"/>
        <v>1532.0159617811532</v>
      </c>
      <c r="H24" s="54"/>
      <c r="I24" s="54">
        <f t="shared" si="9"/>
        <v>4910.9980530739322</v>
      </c>
      <c r="J24" s="54"/>
      <c r="K24" s="54"/>
      <c r="L24" s="56">
        <f t="shared" si="10"/>
        <v>0.76222060696299587</v>
      </c>
      <c r="M24" s="54">
        <f t="shared" si="11"/>
        <v>980667.59465300536</v>
      </c>
    </row>
    <row r="25" spans="1:13" x14ac:dyDescent="0.3">
      <c r="A25" s="54"/>
      <c r="B25" s="41">
        <f t="shared" si="5"/>
        <v>14</v>
      </c>
      <c r="C25" s="52">
        <f t="shared" si="6"/>
        <v>980667.59465300536</v>
      </c>
      <c r="E25" s="54">
        <f t="shared" si="7"/>
        <v>-6443.0140148550854</v>
      </c>
      <c r="F25" s="54"/>
      <c r="G25" s="54">
        <f t="shared" si="8"/>
        <v>1539.6760415900592</v>
      </c>
      <c r="H25" s="54"/>
      <c r="I25" s="54">
        <f t="shared" si="9"/>
        <v>4903.3379732650255</v>
      </c>
      <c r="J25" s="54"/>
      <c r="K25" s="54"/>
      <c r="L25" s="56">
        <f t="shared" si="10"/>
        <v>0.76103170999781078</v>
      </c>
      <c r="M25" s="54">
        <f t="shared" si="11"/>
        <v>979127.91861141531</v>
      </c>
    </row>
    <row r="26" spans="1:13" x14ac:dyDescent="0.3">
      <c r="A26" s="54"/>
      <c r="B26" s="41">
        <f t="shared" si="5"/>
        <v>15</v>
      </c>
      <c r="C26" s="52">
        <f t="shared" si="6"/>
        <v>979127.91861141531</v>
      </c>
      <c r="E26" s="54">
        <f t="shared" si="7"/>
        <v>-6443.0140148550854</v>
      </c>
      <c r="F26" s="54"/>
      <c r="G26" s="54">
        <f t="shared" si="8"/>
        <v>1547.3744217980095</v>
      </c>
      <c r="H26" s="54"/>
      <c r="I26" s="54">
        <f t="shared" si="9"/>
        <v>4895.6395930570761</v>
      </c>
      <c r="J26" s="54"/>
      <c r="K26" s="54"/>
      <c r="L26" s="56">
        <f t="shared" si="10"/>
        <v>0.75983686854779997</v>
      </c>
      <c r="M26" s="54">
        <f t="shared" si="11"/>
        <v>977580.54418961727</v>
      </c>
    </row>
    <row r="27" spans="1:13" x14ac:dyDescent="0.3">
      <c r="A27" s="54"/>
      <c r="B27" s="41">
        <f t="shared" si="5"/>
        <v>16</v>
      </c>
      <c r="C27" s="52">
        <f t="shared" si="6"/>
        <v>977580.54418961727</v>
      </c>
      <c r="E27" s="54">
        <f t="shared" si="7"/>
        <v>-6443.0140148550854</v>
      </c>
      <c r="F27" s="54"/>
      <c r="G27" s="54">
        <f t="shared" si="8"/>
        <v>1555.1112939069997</v>
      </c>
      <c r="H27" s="54"/>
      <c r="I27" s="54">
        <f t="shared" si="9"/>
        <v>4887.9027209480864</v>
      </c>
      <c r="J27" s="54"/>
      <c r="K27" s="54"/>
      <c r="L27" s="56">
        <f t="shared" si="10"/>
        <v>0.75863605289053893</v>
      </c>
      <c r="M27" s="54">
        <f t="shared" si="11"/>
        <v>976025.43289571023</v>
      </c>
    </row>
    <row r="28" spans="1:13" x14ac:dyDescent="0.3">
      <c r="A28" s="54"/>
      <c r="B28" s="41">
        <f t="shared" si="5"/>
        <v>17</v>
      </c>
      <c r="C28" s="52">
        <f t="shared" si="6"/>
        <v>976025.43289571023</v>
      </c>
      <c r="E28" s="54">
        <f t="shared" si="7"/>
        <v>-6443.0140148550854</v>
      </c>
      <c r="F28" s="54"/>
      <c r="G28" s="54">
        <f t="shared" si="8"/>
        <v>1562.8868503765343</v>
      </c>
      <c r="H28" s="54"/>
      <c r="I28" s="54">
        <f t="shared" si="9"/>
        <v>4880.1271644785511</v>
      </c>
      <c r="J28" s="54"/>
      <c r="K28" s="54"/>
      <c r="L28" s="56">
        <f t="shared" si="10"/>
        <v>0.75742923315499167</v>
      </c>
      <c r="M28" s="54">
        <f t="shared" si="11"/>
        <v>974462.54604533373</v>
      </c>
    </row>
    <row r="29" spans="1:13" x14ac:dyDescent="0.3">
      <c r="A29" s="54"/>
      <c r="B29" s="41">
        <f t="shared" si="5"/>
        <v>18</v>
      </c>
      <c r="C29" s="52">
        <f t="shared" si="6"/>
        <v>974462.54604533373</v>
      </c>
      <c r="E29" s="54">
        <f t="shared" si="7"/>
        <v>-6443.0140148550854</v>
      </c>
      <c r="F29" s="54"/>
      <c r="G29" s="54">
        <f t="shared" si="8"/>
        <v>1570.7012846284174</v>
      </c>
      <c r="H29" s="54"/>
      <c r="I29" s="54">
        <f t="shared" si="9"/>
        <v>4872.3127302266685</v>
      </c>
      <c r="J29" s="54"/>
      <c r="K29" s="54"/>
      <c r="L29" s="56">
        <f t="shared" si="10"/>
        <v>0.75621637932076657</v>
      </c>
      <c r="M29" s="54">
        <f t="shared" si="11"/>
        <v>972891.84476070537</v>
      </c>
    </row>
    <row r="30" spans="1:13" x14ac:dyDescent="0.3">
      <c r="A30" s="54"/>
      <c r="B30" s="41">
        <f t="shared" si="5"/>
        <v>19</v>
      </c>
      <c r="C30" s="52">
        <f t="shared" si="6"/>
        <v>972891.84476070537</v>
      </c>
      <c r="E30" s="54">
        <f t="shared" si="7"/>
        <v>-6443.0140148550854</v>
      </c>
      <c r="F30" s="54"/>
      <c r="G30" s="54">
        <f t="shared" si="8"/>
        <v>1578.5547910515593</v>
      </c>
      <c r="H30" s="54"/>
      <c r="I30" s="54">
        <f t="shared" si="9"/>
        <v>4864.4592238035266</v>
      </c>
      <c r="J30" s="54"/>
      <c r="K30" s="54"/>
      <c r="L30" s="56">
        <f t="shared" si="10"/>
        <v>0.75499746121737044</v>
      </c>
      <c r="M30" s="54">
        <f t="shared" si="11"/>
        <v>971313.28996965382</v>
      </c>
    </row>
    <row r="31" spans="1:13" x14ac:dyDescent="0.3">
      <c r="A31" s="54"/>
      <c r="B31" s="41">
        <f t="shared" si="5"/>
        <v>20</v>
      </c>
      <c r="C31" s="52">
        <f t="shared" si="6"/>
        <v>971313.28996965382</v>
      </c>
      <c r="E31" s="54">
        <f t="shared" si="7"/>
        <v>-6443.0140148550854</v>
      </c>
      <c r="F31" s="54"/>
      <c r="G31" s="54">
        <f t="shared" si="8"/>
        <v>1586.4475650068173</v>
      </c>
      <c r="H31" s="54"/>
      <c r="I31" s="54">
        <f t="shared" si="9"/>
        <v>4856.5664498482683</v>
      </c>
      <c r="J31" s="54"/>
      <c r="K31" s="54"/>
      <c r="L31" s="56">
        <f t="shared" si="10"/>
        <v>0.75377244852345726</v>
      </c>
      <c r="M31" s="54">
        <f t="shared" si="11"/>
        <v>969726.84240464703</v>
      </c>
    </row>
    <row r="32" spans="1:13" x14ac:dyDescent="0.3">
      <c r="A32" s="54"/>
      <c r="B32" s="41">
        <f t="shared" si="5"/>
        <v>21</v>
      </c>
      <c r="C32" s="52">
        <f t="shared" si="6"/>
        <v>969726.84240464703</v>
      </c>
      <c r="E32" s="54">
        <f t="shared" si="7"/>
        <v>-6443.0140148550854</v>
      </c>
      <c r="F32" s="54"/>
      <c r="G32" s="54">
        <f t="shared" si="8"/>
        <v>1594.3798028318511</v>
      </c>
      <c r="H32" s="54"/>
      <c r="I32" s="54">
        <f t="shared" si="9"/>
        <v>4848.6342120232348</v>
      </c>
      <c r="J32" s="54"/>
      <c r="K32" s="54"/>
      <c r="L32" s="56">
        <f t="shared" si="10"/>
        <v>0.75254131076607456</v>
      </c>
      <c r="M32" s="54">
        <f t="shared" si="11"/>
        <v>968132.46260181523</v>
      </c>
    </row>
    <row r="33" spans="1:13" x14ac:dyDescent="0.3">
      <c r="A33" s="54"/>
      <c r="B33" s="41">
        <f t="shared" si="5"/>
        <v>22</v>
      </c>
      <c r="C33" s="52">
        <f t="shared" si="6"/>
        <v>968132.46260181523</v>
      </c>
      <c r="E33" s="54">
        <f t="shared" si="7"/>
        <v>-6443.0140148550854</v>
      </c>
      <c r="F33" s="54"/>
      <c r="G33" s="54">
        <f t="shared" si="8"/>
        <v>1602.3517018460102</v>
      </c>
      <c r="H33" s="54"/>
      <c r="I33" s="54">
        <f t="shared" si="9"/>
        <v>4840.6623130090748</v>
      </c>
      <c r="J33" s="54"/>
      <c r="K33" s="54"/>
      <c r="L33" s="56">
        <f t="shared" si="10"/>
        <v>0.75130401731990482</v>
      </c>
      <c r="M33" s="54">
        <f t="shared" si="11"/>
        <v>966530.11089996924</v>
      </c>
    </row>
    <row r="34" spans="1:13" x14ac:dyDescent="0.3">
      <c r="A34" s="54"/>
      <c r="B34" s="41">
        <f t="shared" si="5"/>
        <v>23</v>
      </c>
      <c r="C34" s="52">
        <f t="shared" si="6"/>
        <v>966530.11089996924</v>
      </c>
      <c r="E34" s="54">
        <f t="shared" si="7"/>
        <v>-6443.0140148550854</v>
      </c>
      <c r="F34" s="54"/>
      <c r="G34" s="54">
        <f t="shared" si="8"/>
        <v>1610.3634603552405</v>
      </c>
      <c r="H34" s="54"/>
      <c r="I34" s="54">
        <f t="shared" si="9"/>
        <v>4832.6505544998445</v>
      </c>
      <c r="J34" s="54"/>
      <c r="K34" s="54"/>
      <c r="L34" s="56">
        <f t="shared" si="10"/>
        <v>0.75006053740650436</v>
      </c>
      <c r="M34" s="54">
        <f t="shared" si="11"/>
        <v>964919.74743961403</v>
      </c>
    </row>
    <row r="35" spans="1:13" x14ac:dyDescent="0.3">
      <c r="A35" s="54"/>
      <c r="B35" s="41">
        <f t="shared" si="5"/>
        <v>24</v>
      </c>
      <c r="C35" s="52">
        <f t="shared" si="6"/>
        <v>964919.74743961403</v>
      </c>
      <c r="E35" s="54">
        <f t="shared" si="7"/>
        <v>-6443.0140148550854</v>
      </c>
      <c r="F35" s="54"/>
      <c r="G35" s="54">
        <f t="shared" si="8"/>
        <v>1618.4152776570168</v>
      </c>
      <c r="H35" s="54"/>
      <c r="I35" s="54">
        <f t="shared" si="9"/>
        <v>4824.5987371980691</v>
      </c>
      <c r="J35" s="54"/>
      <c r="K35" s="54"/>
      <c r="L35" s="56">
        <f t="shared" si="10"/>
        <v>0.74881084009353693</v>
      </c>
      <c r="M35" s="54">
        <f t="shared" si="11"/>
        <v>963301.33216195705</v>
      </c>
    </row>
    <row r="36" spans="1:13" x14ac:dyDescent="0.3">
      <c r="A36" s="54"/>
      <c r="B36" s="41">
        <f t="shared" si="5"/>
        <v>25</v>
      </c>
      <c r="C36" s="52">
        <f t="shared" si="6"/>
        <v>963301.33216195705</v>
      </c>
      <c r="E36" s="54">
        <f t="shared" si="7"/>
        <v>-6443.0140148550854</v>
      </c>
      <c r="F36" s="54"/>
      <c r="G36" s="54">
        <f t="shared" si="8"/>
        <v>1626.5073540453016</v>
      </c>
      <c r="H36" s="54"/>
      <c r="I36" s="54">
        <f t="shared" si="9"/>
        <v>4816.5066608097841</v>
      </c>
      <c r="J36" s="54"/>
      <c r="K36" s="54"/>
      <c r="L36" s="56">
        <f t="shared" si="10"/>
        <v>0.74755489429400468</v>
      </c>
      <c r="M36" s="54">
        <f t="shared" si="11"/>
        <v>961674.82480791176</v>
      </c>
    </row>
    <row r="37" spans="1:13" x14ac:dyDescent="0.3">
      <c r="A37" s="54"/>
      <c r="B37" s="41">
        <f t="shared" si="5"/>
        <v>26</v>
      </c>
      <c r="C37" s="52">
        <f t="shared" si="6"/>
        <v>961674.82480791176</v>
      </c>
      <c r="E37" s="54">
        <f t="shared" si="7"/>
        <v>-6443.0140148550854</v>
      </c>
      <c r="F37" s="54"/>
      <c r="G37" s="54">
        <f t="shared" si="8"/>
        <v>1634.6398908155281</v>
      </c>
      <c r="H37" s="54"/>
      <c r="I37" s="54">
        <f t="shared" si="9"/>
        <v>4808.3741240395575</v>
      </c>
      <c r="J37" s="54"/>
      <c r="K37" s="54"/>
      <c r="L37" s="56">
        <f t="shared" si="10"/>
        <v>0.74629266876547473</v>
      </c>
      <c r="M37" s="54">
        <f t="shared" si="11"/>
        <v>960040.18491709628</v>
      </c>
    </row>
    <row r="38" spans="1:13" x14ac:dyDescent="0.3">
      <c r="A38" s="54"/>
      <c r="B38" s="41">
        <f t="shared" si="5"/>
        <v>27</v>
      </c>
      <c r="C38" s="52">
        <f t="shared" si="6"/>
        <v>960040.18491709628</v>
      </c>
      <c r="E38" s="54">
        <f t="shared" si="7"/>
        <v>-6443.0140148550854</v>
      </c>
      <c r="F38" s="54"/>
      <c r="G38" s="54">
        <f t="shared" si="8"/>
        <v>1642.8130902696057</v>
      </c>
      <c r="H38" s="54"/>
      <c r="I38" s="54">
        <f t="shared" si="9"/>
        <v>4800.2009245854797</v>
      </c>
      <c r="J38" s="54"/>
      <c r="K38" s="54"/>
      <c r="L38" s="56">
        <f t="shared" si="10"/>
        <v>0.74502413210930207</v>
      </c>
      <c r="M38" s="54">
        <f t="shared" si="11"/>
        <v>958397.37182682671</v>
      </c>
    </row>
    <row r="39" spans="1:13" x14ac:dyDescent="0.3">
      <c r="A39" s="54"/>
      <c r="B39" s="41">
        <f t="shared" si="5"/>
        <v>28</v>
      </c>
      <c r="C39" s="52">
        <f t="shared" si="6"/>
        <v>958397.37182682671</v>
      </c>
      <c r="E39" s="54">
        <f t="shared" si="7"/>
        <v>-6443.0140148550854</v>
      </c>
      <c r="F39" s="54"/>
      <c r="G39" s="54">
        <f t="shared" si="8"/>
        <v>1651.0271557209539</v>
      </c>
      <c r="H39" s="54"/>
      <c r="I39" s="54">
        <f t="shared" si="9"/>
        <v>4791.9868591341319</v>
      </c>
      <c r="J39" s="54"/>
      <c r="K39" s="54"/>
      <c r="L39" s="56">
        <f t="shared" si="10"/>
        <v>0.7437492527698486</v>
      </c>
      <c r="M39" s="54">
        <f t="shared" si="11"/>
        <v>956746.34467110573</v>
      </c>
    </row>
    <row r="40" spans="1:13" x14ac:dyDescent="0.3">
      <c r="A40" s="54"/>
      <c r="B40" s="41">
        <f t="shared" si="5"/>
        <v>29</v>
      </c>
      <c r="C40" s="52">
        <f t="shared" si="6"/>
        <v>956746.34467110573</v>
      </c>
      <c r="E40" s="54">
        <f t="shared" si="7"/>
        <v>-6443.0140148550854</v>
      </c>
      <c r="F40" s="54"/>
      <c r="G40" s="54">
        <f t="shared" si="8"/>
        <v>1659.2822914995588</v>
      </c>
      <c r="H40" s="54"/>
      <c r="I40" s="54">
        <f t="shared" si="9"/>
        <v>4783.7317233555268</v>
      </c>
      <c r="J40" s="54"/>
      <c r="K40" s="54"/>
      <c r="L40" s="56">
        <f t="shared" si="10"/>
        <v>0.74246799903369776</v>
      </c>
      <c r="M40" s="54">
        <f t="shared" si="11"/>
        <v>955087.06237960618</v>
      </c>
    </row>
    <row r="41" spans="1:13" x14ac:dyDescent="0.3">
      <c r="A41" s="54"/>
      <c r="B41" s="41">
        <f t="shared" si="5"/>
        <v>30</v>
      </c>
      <c r="C41" s="52">
        <f t="shared" si="6"/>
        <v>955087.06237960618</v>
      </c>
      <c r="E41" s="54">
        <f t="shared" si="7"/>
        <v>-6443.0140148550854</v>
      </c>
      <c r="F41" s="54"/>
      <c r="G41" s="54">
        <f t="shared" si="8"/>
        <v>1667.5787029570565</v>
      </c>
      <c r="H41" s="54"/>
      <c r="I41" s="54">
        <f t="shared" si="9"/>
        <v>4775.4353118980289</v>
      </c>
      <c r="J41" s="54"/>
      <c r="K41" s="54"/>
      <c r="L41" s="56">
        <f t="shared" si="10"/>
        <v>0.74118033902886626</v>
      </c>
      <c r="M41" s="54">
        <f t="shared" si="11"/>
        <v>953419.48367664916</v>
      </c>
    </row>
    <row r="42" spans="1:13" x14ac:dyDescent="0.3">
      <c r="A42" s="54"/>
      <c r="B42" s="41">
        <f t="shared" si="5"/>
        <v>31</v>
      </c>
      <c r="C42" s="52">
        <f t="shared" si="6"/>
        <v>953419.48367664916</v>
      </c>
      <c r="E42" s="54">
        <f t="shared" si="7"/>
        <v>-6443.0140148550854</v>
      </c>
      <c r="F42" s="54"/>
      <c r="G42" s="54">
        <f t="shared" si="8"/>
        <v>1675.916596471842</v>
      </c>
      <c r="H42" s="54"/>
      <c r="I42" s="54">
        <f t="shared" si="9"/>
        <v>4767.0974183832432</v>
      </c>
      <c r="J42" s="54"/>
      <c r="K42" s="54"/>
      <c r="L42" s="56">
        <f t="shared" si="10"/>
        <v>0.73988624072401055</v>
      </c>
      <c r="M42" s="54">
        <f t="shared" si="11"/>
        <v>951743.56708017737</v>
      </c>
    </row>
    <row r="43" spans="1:13" x14ac:dyDescent="0.3">
      <c r="A43" s="54"/>
      <c r="B43" s="41">
        <f t="shared" si="5"/>
        <v>32</v>
      </c>
      <c r="C43" s="52">
        <f t="shared" si="6"/>
        <v>951743.56708017737</v>
      </c>
      <c r="E43" s="54">
        <f t="shared" si="7"/>
        <v>-6443.0140148550854</v>
      </c>
      <c r="F43" s="54"/>
      <c r="G43" s="54">
        <f t="shared" si="8"/>
        <v>1684.2961794542009</v>
      </c>
      <c r="H43" s="54"/>
      <c r="I43" s="54">
        <f t="shared" si="9"/>
        <v>4758.7178354008847</v>
      </c>
      <c r="J43" s="54"/>
      <c r="K43" s="54"/>
      <c r="L43" s="56">
        <f t="shared" si="10"/>
        <v>0.73858567192763069</v>
      </c>
      <c r="M43" s="54">
        <f t="shared" si="11"/>
        <v>950059.27090072318</v>
      </c>
    </row>
    <row r="44" spans="1:13" x14ac:dyDescent="0.3">
      <c r="A44" s="54"/>
      <c r="B44" s="41">
        <f t="shared" si="5"/>
        <v>33</v>
      </c>
      <c r="C44" s="52">
        <f t="shared" si="6"/>
        <v>950059.27090072318</v>
      </c>
      <c r="E44" s="54">
        <f t="shared" si="7"/>
        <v>-6443.0140148550854</v>
      </c>
      <c r="F44" s="54"/>
      <c r="G44" s="54">
        <f t="shared" si="8"/>
        <v>1692.7176603514722</v>
      </c>
      <c r="H44" s="54"/>
      <c r="I44" s="54">
        <f t="shared" si="9"/>
        <v>4750.2963545036137</v>
      </c>
      <c r="J44" s="54"/>
      <c r="K44" s="54"/>
      <c r="L44" s="56">
        <f t="shared" si="10"/>
        <v>0.73727860028726888</v>
      </c>
      <c r="M44" s="54">
        <f t="shared" si="11"/>
        <v>948366.55324037175</v>
      </c>
    </row>
    <row r="45" spans="1:13" x14ac:dyDescent="0.3">
      <c r="A45" s="54"/>
      <c r="B45" s="41">
        <f t="shared" si="5"/>
        <v>34</v>
      </c>
      <c r="C45" s="52">
        <f t="shared" si="6"/>
        <v>948366.55324037175</v>
      </c>
      <c r="E45" s="54">
        <f t="shared" si="7"/>
        <v>-6443.0140148550854</v>
      </c>
      <c r="F45" s="54"/>
      <c r="G45" s="54">
        <f t="shared" si="8"/>
        <v>1701.1812486532292</v>
      </c>
      <c r="H45" s="54"/>
      <c r="I45" s="54">
        <f t="shared" si="9"/>
        <v>4741.8327662018555</v>
      </c>
      <c r="J45" s="54"/>
      <c r="K45" s="54"/>
      <c r="L45" s="56">
        <f t="shared" si="10"/>
        <v>0.73596499328870502</v>
      </c>
      <c r="M45" s="54">
        <f t="shared" si="11"/>
        <v>946665.37199171854</v>
      </c>
    </row>
    <row r="46" spans="1:13" x14ac:dyDescent="0.3">
      <c r="A46" s="54"/>
      <c r="B46" s="41">
        <f t="shared" si="5"/>
        <v>35</v>
      </c>
      <c r="C46" s="52">
        <f t="shared" si="6"/>
        <v>946665.37199171854</v>
      </c>
      <c r="E46" s="54">
        <f t="shared" si="7"/>
        <v>-6443.0140148550854</v>
      </c>
      <c r="F46" s="54"/>
      <c r="G46" s="54">
        <f t="shared" si="8"/>
        <v>1709.687154896495</v>
      </c>
      <c r="H46" s="54"/>
      <c r="I46" s="54">
        <f t="shared" si="9"/>
        <v>4733.3268599585908</v>
      </c>
      <c r="J46" s="54"/>
      <c r="K46" s="54"/>
      <c r="L46" s="56">
        <f t="shared" si="10"/>
        <v>0.73464481825514882</v>
      </c>
      <c r="M46" s="54">
        <f t="shared" si="11"/>
        <v>944955.6848368221</v>
      </c>
    </row>
    <row r="47" spans="1:13" x14ac:dyDescent="0.3">
      <c r="A47" s="54"/>
      <c r="B47" s="41">
        <f t="shared" si="5"/>
        <v>36</v>
      </c>
      <c r="C47" s="52">
        <f t="shared" si="6"/>
        <v>944955.6848368221</v>
      </c>
      <c r="E47" s="54">
        <f t="shared" si="7"/>
        <v>-6443.0140148550854</v>
      </c>
      <c r="F47" s="54"/>
      <c r="G47" s="54">
        <f t="shared" si="8"/>
        <v>1718.2355906709781</v>
      </c>
      <c r="H47" s="54"/>
      <c r="I47" s="54">
        <f t="shared" si="9"/>
        <v>4724.7784241841073</v>
      </c>
      <c r="J47" s="54"/>
      <c r="K47" s="54"/>
      <c r="L47" s="56">
        <f t="shared" si="10"/>
        <v>0.73331804234642439</v>
      </c>
      <c r="M47" s="54">
        <f t="shared" si="11"/>
        <v>943237.44924615114</v>
      </c>
    </row>
    <row r="48" spans="1:13" x14ac:dyDescent="0.3">
      <c r="A48" s="54"/>
      <c r="B48" s="41">
        <f t="shared" si="5"/>
        <v>37</v>
      </c>
      <c r="C48" s="52">
        <f t="shared" si="6"/>
        <v>943237.44924615114</v>
      </c>
      <c r="E48" s="54">
        <f t="shared" si="7"/>
        <v>-6443.0140148550854</v>
      </c>
      <c r="F48" s="54"/>
      <c r="G48" s="54">
        <f t="shared" si="8"/>
        <v>1726.8267686243325</v>
      </c>
      <c r="H48" s="54"/>
      <c r="I48" s="54">
        <f t="shared" si="9"/>
        <v>4716.187246230752</v>
      </c>
      <c r="J48" s="54"/>
      <c r="K48" s="54"/>
      <c r="L48" s="56">
        <f t="shared" si="10"/>
        <v>0.73198463255815649</v>
      </c>
      <c r="M48" s="54">
        <f t="shared" si="11"/>
        <v>941510.62247752678</v>
      </c>
    </row>
    <row r="49" spans="1:13" x14ac:dyDescent="0.3">
      <c r="A49" s="54"/>
      <c r="B49" s="41">
        <f t="shared" si="5"/>
        <v>38</v>
      </c>
      <c r="C49" s="52">
        <f t="shared" si="6"/>
        <v>941510.62247752678</v>
      </c>
      <c r="E49" s="54">
        <f t="shared" si="7"/>
        <v>-6443.0140148550854</v>
      </c>
      <c r="F49" s="54"/>
      <c r="G49" s="54">
        <f t="shared" si="8"/>
        <v>1735.4609024674548</v>
      </c>
      <c r="H49" s="54"/>
      <c r="I49" s="54">
        <f t="shared" si="9"/>
        <v>4707.5531123876308</v>
      </c>
      <c r="J49" s="54"/>
      <c r="K49" s="54"/>
      <c r="L49" s="56">
        <f t="shared" si="10"/>
        <v>0.73064455572094733</v>
      </c>
      <c r="M49" s="54">
        <f t="shared" si="11"/>
        <v>939775.16157505929</v>
      </c>
    </row>
    <row r="50" spans="1:13" x14ac:dyDescent="0.3">
      <c r="A50" s="54"/>
      <c r="B50" s="41">
        <f t="shared" si="5"/>
        <v>39</v>
      </c>
      <c r="C50" s="52">
        <f t="shared" si="6"/>
        <v>939775.16157505929</v>
      </c>
      <c r="E50" s="54">
        <f t="shared" si="7"/>
        <v>-6443.0140148550854</v>
      </c>
      <c r="F50" s="54"/>
      <c r="G50" s="54">
        <f t="shared" si="8"/>
        <v>1744.1382069797917</v>
      </c>
      <c r="H50" s="54"/>
      <c r="I50" s="54">
        <f t="shared" si="9"/>
        <v>4698.8758078752935</v>
      </c>
      <c r="J50" s="54"/>
      <c r="K50" s="54"/>
      <c r="L50" s="56">
        <f t="shared" si="10"/>
        <v>0.72929777849955202</v>
      </c>
      <c r="M50" s="54">
        <f t="shared" si="11"/>
        <v>938031.02336807945</v>
      </c>
    </row>
    <row r="51" spans="1:13" x14ac:dyDescent="0.3">
      <c r="A51" s="54"/>
      <c r="B51" s="41">
        <f t="shared" si="5"/>
        <v>40</v>
      </c>
      <c r="C51" s="52">
        <f t="shared" si="6"/>
        <v>938031.02336807945</v>
      </c>
      <c r="E51" s="54">
        <f t="shared" si="7"/>
        <v>-6443.0140148550854</v>
      </c>
      <c r="F51" s="54"/>
      <c r="G51" s="54">
        <f t="shared" si="8"/>
        <v>1752.858898014691</v>
      </c>
      <c r="H51" s="54"/>
      <c r="I51" s="54">
        <f t="shared" si="9"/>
        <v>4690.1551168403948</v>
      </c>
      <c r="J51" s="54"/>
      <c r="K51" s="54"/>
      <c r="L51" s="56">
        <f t="shared" si="10"/>
        <v>0.72794426739204987</v>
      </c>
      <c r="M51" s="54">
        <f t="shared" si="11"/>
        <v>936278.1644700648</v>
      </c>
    </row>
    <row r="52" spans="1:13" x14ac:dyDescent="0.3">
      <c r="A52" s="54"/>
      <c r="B52" s="41">
        <f t="shared" si="5"/>
        <v>41</v>
      </c>
      <c r="C52" s="52">
        <f t="shared" si="6"/>
        <v>936278.1644700648</v>
      </c>
      <c r="E52" s="54">
        <f t="shared" si="7"/>
        <v>-6443.0140148550854</v>
      </c>
      <c r="F52" s="54"/>
      <c r="G52" s="54">
        <f t="shared" si="8"/>
        <v>1761.6231925047641</v>
      </c>
      <c r="H52" s="54"/>
      <c r="I52" s="54">
        <f t="shared" si="9"/>
        <v>4681.3908223503222</v>
      </c>
      <c r="J52" s="54"/>
      <c r="K52" s="54"/>
      <c r="L52" s="56">
        <f t="shared" si="10"/>
        <v>0.7265839887290102</v>
      </c>
      <c r="M52" s="54">
        <f t="shared" si="11"/>
        <v>934516.54127756006</v>
      </c>
    </row>
    <row r="53" spans="1:13" x14ac:dyDescent="0.3">
      <c r="A53" s="54"/>
      <c r="B53" s="41">
        <f t="shared" si="5"/>
        <v>42</v>
      </c>
      <c r="C53" s="52">
        <f t="shared" si="6"/>
        <v>934516.54127756006</v>
      </c>
      <c r="E53" s="54">
        <f t="shared" si="7"/>
        <v>-6443.0140148550854</v>
      </c>
      <c r="F53" s="54"/>
      <c r="G53" s="54">
        <f t="shared" si="8"/>
        <v>1770.4313084672881</v>
      </c>
      <c r="H53" s="54"/>
      <c r="I53" s="54">
        <f t="shared" si="9"/>
        <v>4672.5827063877978</v>
      </c>
      <c r="J53" s="54"/>
      <c r="K53" s="54"/>
      <c r="L53" s="56">
        <f t="shared" si="10"/>
        <v>0.7252169086726552</v>
      </c>
      <c r="M53" s="54">
        <f t="shared" si="11"/>
        <v>932746.10996909277</v>
      </c>
    </row>
    <row r="54" spans="1:13" x14ac:dyDescent="0.3">
      <c r="A54" s="54"/>
      <c r="B54" s="41">
        <f t="shared" si="5"/>
        <v>43</v>
      </c>
      <c r="C54" s="52">
        <f t="shared" si="6"/>
        <v>932746.10996909277</v>
      </c>
      <c r="E54" s="54">
        <f t="shared" si="7"/>
        <v>-6443.0140148550854</v>
      </c>
      <c r="F54" s="54"/>
      <c r="G54" s="54">
        <f t="shared" si="8"/>
        <v>1779.2834650096245</v>
      </c>
      <c r="H54" s="54"/>
      <c r="I54" s="54">
        <f t="shared" si="9"/>
        <v>4663.7305498454607</v>
      </c>
      <c r="J54" s="54"/>
      <c r="K54" s="54"/>
      <c r="L54" s="56">
        <f t="shared" si="10"/>
        <v>0.7238429932160183</v>
      </c>
      <c r="M54" s="54">
        <f t="shared" si="11"/>
        <v>930966.82650408312</v>
      </c>
    </row>
    <row r="55" spans="1:13" x14ac:dyDescent="0.3">
      <c r="A55" s="54"/>
      <c r="B55" s="41">
        <f t="shared" si="5"/>
        <v>44</v>
      </c>
      <c r="C55" s="52">
        <f t="shared" si="6"/>
        <v>930966.82650408312</v>
      </c>
      <c r="E55" s="54">
        <f t="shared" si="7"/>
        <v>-6443.0140148550854</v>
      </c>
      <c r="F55" s="54"/>
      <c r="G55" s="54">
        <f t="shared" si="8"/>
        <v>1788.1798823346728</v>
      </c>
      <c r="H55" s="54"/>
      <c r="I55" s="54">
        <f t="shared" si="9"/>
        <v>4654.8341325204119</v>
      </c>
      <c r="J55" s="54"/>
      <c r="K55" s="54"/>
      <c r="L55" s="56">
        <f t="shared" si="10"/>
        <v>0.72246220818209839</v>
      </c>
      <c r="M55" s="54">
        <f t="shared" si="11"/>
        <v>929178.64662174846</v>
      </c>
    </row>
    <row r="56" spans="1:13" x14ac:dyDescent="0.3">
      <c r="A56" s="54"/>
      <c r="B56" s="41">
        <f t="shared" si="5"/>
        <v>45</v>
      </c>
      <c r="C56" s="52">
        <f t="shared" si="6"/>
        <v>929178.64662174846</v>
      </c>
      <c r="E56" s="54">
        <f t="shared" si="7"/>
        <v>-6443.0140148550854</v>
      </c>
      <c r="F56" s="54"/>
      <c r="G56" s="54">
        <f t="shared" si="8"/>
        <v>1797.120781746346</v>
      </c>
      <c r="H56" s="54"/>
      <c r="I56" s="54">
        <f t="shared" si="9"/>
        <v>4645.8932331087399</v>
      </c>
      <c r="J56" s="54"/>
      <c r="K56" s="54"/>
      <c r="L56" s="56">
        <f t="shared" si="10"/>
        <v>0.72107451922300903</v>
      </c>
      <c r="M56" s="54">
        <f t="shared" si="11"/>
        <v>927381.52584000211</v>
      </c>
    </row>
    <row r="57" spans="1:13" x14ac:dyDescent="0.3">
      <c r="A57" s="54"/>
      <c r="B57" s="41">
        <f t="shared" si="5"/>
        <v>46</v>
      </c>
      <c r="C57" s="52">
        <f t="shared" si="6"/>
        <v>927381.52584000211</v>
      </c>
      <c r="E57" s="54">
        <f t="shared" si="7"/>
        <v>-6443.0140148550854</v>
      </c>
      <c r="F57" s="54"/>
      <c r="G57" s="54">
        <f t="shared" si="8"/>
        <v>1806.1063856550777</v>
      </c>
      <c r="H57" s="54"/>
      <c r="I57" s="54">
        <f t="shared" si="9"/>
        <v>4636.9076292000082</v>
      </c>
      <c r="J57" s="54"/>
      <c r="K57" s="54"/>
      <c r="L57" s="56">
        <f t="shared" si="10"/>
        <v>0.71967989181912406</v>
      </c>
      <c r="M57" s="54">
        <f t="shared" si="11"/>
        <v>925575.41945434699</v>
      </c>
    </row>
    <row r="58" spans="1:13" x14ac:dyDescent="0.3">
      <c r="A58" s="54"/>
      <c r="B58" s="41">
        <f t="shared" si="5"/>
        <v>47</v>
      </c>
      <c r="C58" s="52">
        <f t="shared" si="6"/>
        <v>925575.41945434699</v>
      </c>
      <c r="E58" s="54">
        <f t="shared" si="7"/>
        <v>-6443.0140148550854</v>
      </c>
      <c r="F58" s="54"/>
      <c r="G58" s="54">
        <f t="shared" si="8"/>
        <v>1815.1369175833531</v>
      </c>
      <c r="H58" s="54"/>
      <c r="I58" s="54">
        <f t="shared" si="9"/>
        <v>4627.8770972717321</v>
      </c>
      <c r="J58" s="54"/>
      <c r="K58" s="54"/>
      <c r="L58" s="56">
        <f t="shared" si="10"/>
        <v>0.71827829127821963</v>
      </c>
      <c r="M58" s="54">
        <f t="shared" si="11"/>
        <v>923760.2825367637</v>
      </c>
    </row>
    <row r="59" spans="1:13" x14ac:dyDescent="0.3">
      <c r="A59" s="54"/>
      <c r="B59" s="41">
        <f t="shared" si="5"/>
        <v>48</v>
      </c>
      <c r="C59" s="52">
        <f t="shared" si="6"/>
        <v>923760.2825367637</v>
      </c>
      <c r="E59" s="54">
        <f t="shared" si="7"/>
        <v>-6443.0140148550854</v>
      </c>
      <c r="F59" s="54"/>
      <c r="G59" s="54">
        <f t="shared" si="8"/>
        <v>1824.2126021712695</v>
      </c>
      <c r="H59" s="54"/>
      <c r="I59" s="54">
        <f t="shared" si="9"/>
        <v>4618.8014126838161</v>
      </c>
      <c r="J59" s="54"/>
      <c r="K59" s="54"/>
      <c r="L59" s="56">
        <f t="shared" si="10"/>
        <v>0.71686968273461082</v>
      </c>
      <c r="M59" s="54">
        <f t="shared" si="11"/>
        <v>921936.06993459247</v>
      </c>
    </row>
    <row r="60" spans="1:13" x14ac:dyDescent="0.3">
      <c r="A60" s="54"/>
      <c r="B60" s="41">
        <f t="shared" si="5"/>
        <v>49</v>
      </c>
      <c r="C60" s="52">
        <f t="shared" si="6"/>
        <v>921936.06993459247</v>
      </c>
      <c r="E60" s="54">
        <f t="shared" si="7"/>
        <v>-6443.0140148550854</v>
      </c>
      <c r="F60" s="54"/>
      <c r="G60" s="54">
        <f t="shared" si="8"/>
        <v>1833.3336651821264</v>
      </c>
      <c r="H60" s="54"/>
      <c r="I60" s="54">
        <f t="shared" si="9"/>
        <v>4609.680349672959</v>
      </c>
      <c r="J60" s="54"/>
      <c r="K60" s="54"/>
      <c r="L60" s="56">
        <f t="shared" si="10"/>
        <v>0.71545403114828376</v>
      </c>
      <c r="M60" s="54">
        <f t="shared" si="11"/>
        <v>920102.73626941035</v>
      </c>
    </row>
    <row r="61" spans="1:13" x14ac:dyDescent="0.3">
      <c r="A61" s="54"/>
      <c r="B61" s="41">
        <f t="shared" si="5"/>
        <v>50</v>
      </c>
      <c r="C61" s="52">
        <f t="shared" si="6"/>
        <v>920102.73626941035</v>
      </c>
      <c r="E61" s="54">
        <f t="shared" si="7"/>
        <v>-6443.0140148550854</v>
      </c>
      <c r="F61" s="54"/>
      <c r="G61" s="54">
        <f t="shared" si="8"/>
        <v>1842.5003335080369</v>
      </c>
      <c r="H61" s="54"/>
      <c r="I61" s="54">
        <f t="shared" si="9"/>
        <v>4600.5136813470481</v>
      </c>
      <c r="J61" s="54"/>
      <c r="K61" s="54"/>
      <c r="L61" s="56">
        <f t="shared" si="10"/>
        <v>0.71403130130402515</v>
      </c>
      <c r="M61" s="54">
        <f t="shared" si="11"/>
        <v>918260.23593590234</v>
      </c>
    </row>
    <row r="62" spans="1:13" x14ac:dyDescent="0.3">
      <c r="A62" s="54"/>
      <c r="B62" s="41">
        <f t="shared" si="5"/>
        <v>51</v>
      </c>
      <c r="C62" s="52">
        <f t="shared" si="6"/>
        <v>918260.23593590234</v>
      </c>
      <c r="E62" s="54">
        <f t="shared" si="7"/>
        <v>-6443.0140148550854</v>
      </c>
      <c r="F62" s="54"/>
      <c r="G62" s="54">
        <f t="shared" si="8"/>
        <v>1851.7128351755773</v>
      </c>
      <c r="H62" s="54"/>
      <c r="I62" s="54">
        <f t="shared" si="9"/>
        <v>4591.3011796795081</v>
      </c>
      <c r="J62" s="54"/>
      <c r="K62" s="54"/>
      <c r="L62" s="56">
        <f t="shared" si="10"/>
        <v>0.71260145781054529</v>
      </c>
      <c r="M62" s="54">
        <f t="shared" si="11"/>
        <v>916408.52310072677</v>
      </c>
    </row>
    <row r="63" spans="1:13" x14ac:dyDescent="0.3">
      <c r="A63" s="54"/>
      <c r="B63" s="41">
        <f t="shared" si="5"/>
        <v>52</v>
      </c>
      <c r="C63" s="52">
        <f t="shared" si="6"/>
        <v>916408.52310072677</v>
      </c>
      <c r="E63" s="54">
        <f t="shared" si="7"/>
        <v>-6443.0140148550854</v>
      </c>
      <c r="F63" s="54"/>
      <c r="G63" s="54">
        <f t="shared" si="8"/>
        <v>1860.9713993514547</v>
      </c>
      <c r="H63" s="54"/>
      <c r="I63" s="54">
        <f t="shared" si="9"/>
        <v>4582.0426155036312</v>
      </c>
      <c r="J63" s="54"/>
      <c r="K63" s="54"/>
      <c r="L63" s="56">
        <f t="shared" si="10"/>
        <v>0.71116446509959819</v>
      </c>
      <c r="M63" s="54">
        <f t="shared" si="11"/>
        <v>914547.55170137528</v>
      </c>
    </row>
    <row r="64" spans="1:13" x14ac:dyDescent="0.3">
      <c r="A64" s="54"/>
      <c r="B64" s="41">
        <f t="shared" si="5"/>
        <v>53</v>
      </c>
      <c r="C64" s="52">
        <f t="shared" si="6"/>
        <v>914547.55170137528</v>
      </c>
      <c r="E64" s="54">
        <f t="shared" si="7"/>
        <v>-6443.0140148550854</v>
      </c>
      <c r="F64" s="54"/>
      <c r="G64" s="54">
        <f t="shared" si="8"/>
        <v>1870.2762563482122</v>
      </c>
      <c r="H64" s="54"/>
      <c r="I64" s="54">
        <f t="shared" si="9"/>
        <v>4572.7377585068734</v>
      </c>
      <c r="J64" s="54"/>
      <c r="K64" s="54"/>
      <c r="L64" s="56">
        <f t="shared" si="10"/>
        <v>0.70972028742509607</v>
      </c>
      <c r="M64" s="54">
        <f t="shared" si="11"/>
        <v>912677.27544502704</v>
      </c>
    </row>
    <row r="65" spans="1:13" x14ac:dyDescent="0.3">
      <c r="A65" s="54"/>
      <c r="B65" s="41">
        <f t="shared" si="5"/>
        <v>54</v>
      </c>
      <c r="C65" s="52">
        <f t="shared" si="6"/>
        <v>912677.27544502704</v>
      </c>
      <c r="E65" s="54">
        <f t="shared" si="7"/>
        <v>-6443.0140148550854</v>
      </c>
      <c r="F65" s="54"/>
      <c r="G65" s="54">
        <f t="shared" si="8"/>
        <v>1879.6276376299534</v>
      </c>
      <c r="H65" s="54"/>
      <c r="I65" s="54">
        <f t="shared" si="9"/>
        <v>4563.3863772251325</v>
      </c>
      <c r="J65" s="54"/>
      <c r="K65" s="54"/>
      <c r="L65" s="56">
        <f t="shared" si="10"/>
        <v>0.70826888886222161</v>
      </c>
      <c r="M65" s="54">
        <f t="shared" si="11"/>
        <v>910797.64780739706</v>
      </c>
    </row>
    <row r="66" spans="1:13" x14ac:dyDescent="0.3">
      <c r="A66" s="54"/>
      <c r="B66" s="41">
        <f t="shared" si="5"/>
        <v>55</v>
      </c>
      <c r="C66" s="52">
        <f t="shared" si="6"/>
        <v>910797.64780739706</v>
      </c>
      <c r="E66" s="54">
        <f t="shared" si="7"/>
        <v>-6443.0140148550854</v>
      </c>
      <c r="F66" s="54"/>
      <c r="G66" s="54">
        <f t="shared" si="8"/>
        <v>1889.0257758181033</v>
      </c>
      <c r="H66" s="54"/>
      <c r="I66" s="54">
        <f t="shared" si="9"/>
        <v>4553.9882390369821</v>
      </c>
      <c r="J66" s="54"/>
      <c r="K66" s="54"/>
      <c r="L66" s="56">
        <f t="shared" si="10"/>
        <v>0.70681023330653259</v>
      </c>
      <c r="M66" s="54">
        <f t="shared" si="11"/>
        <v>908908.62203157891</v>
      </c>
    </row>
    <row r="67" spans="1:13" x14ac:dyDescent="0.3">
      <c r="A67" s="54"/>
      <c r="B67" s="41">
        <f t="shared" si="5"/>
        <v>56</v>
      </c>
      <c r="C67" s="52">
        <f t="shared" si="6"/>
        <v>908908.62203157891</v>
      </c>
      <c r="E67" s="54">
        <f t="shared" si="7"/>
        <v>-6443.0140148550854</v>
      </c>
      <c r="F67" s="54"/>
      <c r="G67" s="54">
        <f t="shared" si="8"/>
        <v>1898.4709046971934</v>
      </c>
      <c r="H67" s="54"/>
      <c r="I67" s="54">
        <f t="shared" si="9"/>
        <v>4544.5431101578915</v>
      </c>
      <c r="J67" s="54"/>
      <c r="K67" s="54"/>
      <c r="L67" s="56">
        <f t="shared" si="10"/>
        <v>0.70534428447306519</v>
      </c>
      <c r="M67" s="54">
        <f t="shared" si="11"/>
        <v>907010.15112688171</v>
      </c>
    </row>
    <row r="68" spans="1:13" x14ac:dyDescent="0.3">
      <c r="A68" s="54"/>
      <c r="B68" s="41">
        <f t="shared" si="5"/>
        <v>57</v>
      </c>
      <c r="C68" s="52">
        <f t="shared" si="6"/>
        <v>907010.15112688171</v>
      </c>
      <c r="E68" s="54">
        <f t="shared" si="7"/>
        <v>-6443.0140148550854</v>
      </c>
      <c r="F68" s="54"/>
      <c r="G68" s="54">
        <f t="shared" si="8"/>
        <v>1907.9632592206792</v>
      </c>
      <c r="H68" s="54"/>
      <c r="I68" s="54">
        <f t="shared" si="9"/>
        <v>4535.0507556344073</v>
      </c>
      <c r="J68" s="54"/>
      <c r="K68" s="54"/>
      <c r="L68" s="56">
        <f t="shared" si="10"/>
        <v>0.70387100589543083</v>
      </c>
      <c r="M68" s="54">
        <f t="shared" si="11"/>
        <v>905102.18786766101</v>
      </c>
    </row>
    <row r="69" spans="1:13" x14ac:dyDescent="0.3">
      <c r="A69" s="54"/>
      <c r="B69" s="41">
        <f t="shared" si="5"/>
        <v>58</v>
      </c>
      <c r="C69" s="52">
        <f t="shared" si="6"/>
        <v>905102.18786766101</v>
      </c>
      <c r="E69" s="54">
        <f t="shared" si="7"/>
        <v>-6443.0140148550854</v>
      </c>
      <c r="F69" s="54"/>
      <c r="G69" s="54">
        <f t="shared" si="8"/>
        <v>1917.5030755167829</v>
      </c>
      <c r="H69" s="54"/>
      <c r="I69" s="54">
        <f t="shared" si="9"/>
        <v>4525.5109393383027</v>
      </c>
      <c r="J69" s="54"/>
      <c r="K69" s="54"/>
      <c r="L69" s="56">
        <f t="shared" si="10"/>
        <v>0.70239036092490781</v>
      </c>
      <c r="M69" s="54">
        <f t="shared" si="11"/>
        <v>903184.68479214422</v>
      </c>
    </row>
    <row r="70" spans="1:13" x14ac:dyDescent="0.3">
      <c r="A70" s="54"/>
      <c r="B70" s="41">
        <f t="shared" si="5"/>
        <v>59</v>
      </c>
      <c r="C70" s="52">
        <f t="shared" si="6"/>
        <v>903184.68479214422</v>
      </c>
      <c r="E70" s="54">
        <f t="shared" si="7"/>
        <v>-6443.0140148550854</v>
      </c>
      <c r="F70" s="54"/>
      <c r="G70" s="54">
        <f t="shared" si="8"/>
        <v>1927.0905908943666</v>
      </c>
      <c r="H70" s="54"/>
      <c r="I70" s="54">
        <f t="shared" si="9"/>
        <v>4515.9234239607194</v>
      </c>
      <c r="J70" s="54"/>
      <c r="K70" s="54"/>
      <c r="L70" s="56">
        <f t="shared" si="10"/>
        <v>0.70090231272953241</v>
      </c>
      <c r="M70" s="54">
        <f t="shared" si="11"/>
        <v>901257.59420124989</v>
      </c>
    </row>
    <row r="71" spans="1:13" x14ac:dyDescent="0.3">
      <c r="A71" s="54"/>
      <c r="B71" s="41">
        <f t="shared" si="5"/>
        <v>60</v>
      </c>
      <c r="C71" s="52">
        <f t="shared" si="6"/>
        <v>901257.59420124989</v>
      </c>
      <c r="E71" s="54">
        <f t="shared" si="7"/>
        <v>-6443.0140148550854</v>
      </c>
      <c r="F71" s="54"/>
      <c r="G71" s="54">
        <f t="shared" si="8"/>
        <v>1936.7260438488386</v>
      </c>
      <c r="H71" s="54"/>
      <c r="I71" s="54">
        <f t="shared" si="9"/>
        <v>4506.2879710062471</v>
      </c>
      <c r="J71" s="54"/>
      <c r="K71" s="54"/>
      <c r="L71" s="56">
        <f t="shared" si="10"/>
        <v>0.69940682429318002</v>
      </c>
      <c r="M71" s="54">
        <f t="shared" si="11"/>
        <v>899320.8681574011</v>
      </c>
    </row>
    <row r="72" spans="1:13" x14ac:dyDescent="0.3">
      <c r="A72" s="54"/>
      <c r="B72" s="41">
        <f t="shared" si="5"/>
        <v>61</v>
      </c>
      <c r="C72" s="52">
        <f t="shared" si="6"/>
        <v>899320.8681574011</v>
      </c>
      <c r="E72" s="54">
        <f t="shared" si="7"/>
        <v>-6443.0140148550854</v>
      </c>
      <c r="F72" s="54"/>
      <c r="G72" s="54">
        <f t="shared" si="8"/>
        <v>1946.4096740680829</v>
      </c>
      <c r="H72" s="54"/>
      <c r="I72" s="54">
        <f t="shared" si="9"/>
        <v>4496.6043407870029</v>
      </c>
      <c r="J72" s="54"/>
      <c r="K72" s="54"/>
      <c r="L72" s="56">
        <f t="shared" si="10"/>
        <v>0.69790385841464597</v>
      </c>
      <c r="M72" s="54">
        <f t="shared" si="11"/>
        <v>897374.458483333</v>
      </c>
    </row>
    <row r="73" spans="1:13" x14ac:dyDescent="0.3">
      <c r="A73" s="54"/>
      <c r="B73" s="41">
        <f t="shared" si="5"/>
        <v>62</v>
      </c>
      <c r="C73" s="52">
        <f t="shared" si="6"/>
        <v>897374.458483333</v>
      </c>
      <c r="E73" s="54">
        <f t="shared" si="7"/>
        <v>-6443.0140148550854</v>
      </c>
      <c r="F73" s="54"/>
      <c r="G73" s="54">
        <f t="shared" si="8"/>
        <v>1956.1417224384236</v>
      </c>
      <c r="H73" s="54"/>
      <c r="I73" s="54">
        <f t="shared" si="9"/>
        <v>4486.8722924166623</v>
      </c>
      <c r="J73" s="54"/>
      <c r="K73" s="54"/>
      <c r="L73" s="56">
        <f t="shared" si="10"/>
        <v>0.69639337770671916</v>
      </c>
      <c r="M73" s="54">
        <f t="shared" si="11"/>
        <v>895418.31676089461</v>
      </c>
    </row>
    <row r="74" spans="1:13" x14ac:dyDescent="0.3">
      <c r="A74" s="54"/>
      <c r="B74" s="41">
        <f t="shared" si="5"/>
        <v>63</v>
      </c>
      <c r="C74" s="52">
        <f t="shared" si="6"/>
        <v>895418.31676089461</v>
      </c>
      <c r="E74" s="54">
        <f t="shared" si="7"/>
        <v>-6443.0140148550854</v>
      </c>
      <c r="F74" s="54"/>
      <c r="G74" s="54">
        <f t="shared" si="8"/>
        <v>1965.9224310506156</v>
      </c>
      <c r="H74" s="54"/>
      <c r="I74" s="54">
        <f t="shared" si="9"/>
        <v>4477.0915838044702</v>
      </c>
      <c r="J74" s="54"/>
      <c r="K74" s="54"/>
      <c r="L74" s="56">
        <f t="shared" si="10"/>
        <v>0.69487534459525269</v>
      </c>
      <c r="M74" s="54">
        <f t="shared" si="11"/>
        <v>893452.39432984404</v>
      </c>
    </row>
    <row r="75" spans="1:13" x14ac:dyDescent="0.3">
      <c r="A75" s="54"/>
      <c r="B75" s="41">
        <f t="shared" si="5"/>
        <v>64</v>
      </c>
      <c r="C75" s="52">
        <f t="shared" si="6"/>
        <v>893452.39432984404</v>
      </c>
      <c r="E75" s="54">
        <f t="shared" si="7"/>
        <v>-6443.0140148550854</v>
      </c>
      <c r="F75" s="54"/>
      <c r="G75" s="54">
        <f t="shared" si="8"/>
        <v>1975.7520432058686</v>
      </c>
      <c r="H75" s="54"/>
      <c r="I75" s="54">
        <f t="shared" si="9"/>
        <v>4467.2619716492172</v>
      </c>
      <c r="J75" s="54"/>
      <c r="K75" s="54"/>
      <c r="L75" s="56">
        <f t="shared" si="10"/>
        <v>0.69334972131822903</v>
      </c>
      <c r="M75" s="54">
        <f t="shared" si="11"/>
        <v>891476.64228663815</v>
      </c>
    </row>
    <row r="76" spans="1:13" x14ac:dyDescent="0.3">
      <c r="A76" s="54"/>
      <c r="B76" s="41">
        <f t="shared" si="5"/>
        <v>65</v>
      </c>
      <c r="C76" s="52">
        <f t="shared" si="6"/>
        <v>891476.64228663815</v>
      </c>
      <c r="E76" s="54">
        <f t="shared" si="7"/>
        <v>-6443.0140148550854</v>
      </c>
      <c r="F76" s="54"/>
      <c r="G76" s="54">
        <f t="shared" si="8"/>
        <v>1985.630803421898</v>
      </c>
      <c r="H76" s="54"/>
      <c r="I76" s="54">
        <f t="shared" si="9"/>
        <v>4457.3832114331881</v>
      </c>
      <c r="J76" s="54"/>
      <c r="K76" s="54"/>
      <c r="L76" s="56">
        <f t="shared" si="10"/>
        <v>0.69181646992482015</v>
      </c>
      <c r="M76" s="54">
        <f t="shared" si="11"/>
        <v>889491.01148321619</v>
      </c>
    </row>
    <row r="77" spans="1:13" x14ac:dyDescent="0.3">
      <c r="A77" s="54"/>
      <c r="B77" s="41">
        <f t="shared" si="5"/>
        <v>66</v>
      </c>
      <c r="C77" s="52">
        <f t="shared" si="6"/>
        <v>889491.01148321619</v>
      </c>
      <c r="E77" s="54">
        <f t="shared" si="7"/>
        <v>-6443.0140148550854</v>
      </c>
      <c r="F77" s="54"/>
      <c r="G77" s="54">
        <f t="shared" si="8"/>
        <v>1995.5589574390076</v>
      </c>
      <c r="H77" s="54"/>
      <c r="I77" s="54">
        <f t="shared" si="9"/>
        <v>4447.4550574160785</v>
      </c>
      <c r="J77" s="54"/>
      <c r="K77" s="54"/>
      <c r="L77" s="56">
        <f t="shared" si="10"/>
        <v>0.69027555227444426</v>
      </c>
      <c r="M77" s="54">
        <f t="shared" si="11"/>
        <v>887495.45252577716</v>
      </c>
    </row>
    <row r="78" spans="1:13" x14ac:dyDescent="0.3">
      <c r="A78" s="54"/>
      <c r="B78" s="41">
        <f t="shared" si="5"/>
        <v>67</v>
      </c>
      <c r="C78" s="52">
        <f t="shared" si="6"/>
        <v>887495.45252577716</v>
      </c>
      <c r="E78" s="54">
        <f t="shared" si="7"/>
        <v>-6443.0140148550854</v>
      </c>
      <c r="F78" s="54"/>
      <c r="G78" s="54">
        <f t="shared" si="8"/>
        <v>2005.5367522262022</v>
      </c>
      <c r="H78" s="54"/>
      <c r="I78" s="54">
        <f t="shared" si="9"/>
        <v>4437.4772626288832</v>
      </c>
      <c r="J78" s="54"/>
      <c r="K78" s="54"/>
      <c r="L78" s="56">
        <f t="shared" si="10"/>
        <v>0.68872693003581642</v>
      </c>
      <c r="M78" s="54">
        <f t="shared" si="11"/>
        <v>885489.91577355098</v>
      </c>
    </row>
    <row r="79" spans="1:13" x14ac:dyDescent="0.3">
      <c r="A79" s="54"/>
      <c r="B79" s="41">
        <f t="shared" ref="B79:B142" si="12">B78+1</f>
        <v>68</v>
      </c>
      <c r="C79" s="52">
        <f t="shared" ref="C79:C142" si="13">IF(B79&gt;$G$5,0,M78)</f>
        <v>885489.91577355098</v>
      </c>
      <c r="E79" s="54">
        <f t="shared" ref="E79:E142" si="14">IF(B79&gt;$G$5,0,PMT($E$7,$G$5,$E$4))</f>
        <v>-6443.0140148550854</v>
      </c>
      <c r="F79" s="54"/>
      <c r="G79" s="54">
        <f t="shared" ref="G79:G142" si="15">IF(B79&lt;$G$5+1,-PPMT($E$7,B79,$G$5,$E$4),0)</f>
        <v>2015.5644359873338</v>
      </c>
      <c r="H79" s="54"/>
      <c r="I79" s="54">
        <f t="shared" ref="I79:I142" si="16">-IPMT($E$7,B79,$G$5,$E$4)</f>
        <v>4427.4495788677523</v>
      </c>
      <c r="J79" s="54"/>
      <c r="K79" s="54"/>
      <c r="L79" s="56">
        <f t="shared" ref="L79:L142" si="17">IFERROR(-I79/E79,"NA")</f>
        <v>0.68717056468599558</v>
      </c>
      <c r="M79" s="54">
        <f t="shared" ref="M79:M142" si="18">C79-G79</f>
        <v>883474.3513375636</v>
      </c>
    </row>
    <row r="80" spans="1:13" x14ac:dyDescent="0.3">
      <c r="A80" s="54"/>
      <c r="B80" s="41">
        <f t="shared" si="12"/>
        <v>69</v>
      </c>
      <c r="C80" s="52">
        <f t="shared" si="13"/>
        <v>883474.3513375636</v>
      </c>
      <c r="E80" s="54">
        <f t="shared" si="14"/>
        <v>-6443.0140148550854</v>
      </c>
      <c r="F80" s="54"/>
      <c r="G80" s="54">
        <f t="shared" si="15"/>
        <v>2025.64225816727</v>
      </c>
      <c r="H80" s="54"/>
      <c r="I80" s="54">
        <f t="shared" si="16"/>
        <v>4417.3717566878149</v>
      </c>
      <c r="J80" s="54"/>
      <c r="K80" s="54"/>
      <c r="L80" s="56">
        <f t="shared" si="17"/>
        <v>0.68560641750942541</v>
      </c>
      <c r="M80" s="54">
        <f t="shared" si="18"/>
        <v>881448.70907939633</v>
      </c>
    </row>
    <row r="81" spans="1:13" x14ac:dyDescent="0.3">
      <c r="A81" s="54"/>
      <c r="B81" s="41">
        <f t="shared" si="12"/>
        <v>70</v>
      </c>
      <c r="C81" s="52">
        <f t="shared" si="13"/>
        <v>881448.70907939633</v>
      </c>
      <c r="E81" s="54">
        <f t="shared" si="14"/>
        <v>-6443.0140148550854</v>
      </c>
      <c r="F81" s="54"/>
      <c r="G81" s="54">
        <f t="shared" si="15"/>
        <v>2035.7704694581064</v>
      </c>
      <c r="H81" s="54"/>
      <c r="I81" s="54">
        <f t="shared" si="16"/>
        <v>4407.2435453969792</v>
      </c>
      <c r="J81" s="54"/>
      <c r="K81" s="54"/>
      <c r="L81" s="56">
        <f t="shared" si="17"/>
        <v>0.68403444959697268</v>
      </c>
      <c r="M81" s="54">
        <f t="shared" si="18"/>
        <v>879412.93860993825</v>
      </c>
    </row>
    <row r="82" spans="1:13" x14ac:dyDescent="0.3">
      <c r="A82" s="54"/>
      <c r="B82" s="41">
        <f t="shared" si="12"/>
        <v>71</v>
      </c>
      <c r="C82" s="52">
        <f t="shared" si="13"/>
        <v>879412.93860993825</v>
      </c>
      <c r="E82" s="54">
        <f t="shared" si="14"/>
        <v>-6443.0140148550854</v>
      </c>
      <c r="F82" s="54"/>
      <c r="G82" s="54">
        <f t="shared" si="15"/>
        <v>2045.9493218053967</v>
      </c>
      <c r="H82" s="54"/>
      <c r="I82" s="54">
        <f t="shared" si="16"/>
        <v>4397.0646930496887</v>
      </c>
      <c r="J82" s="54"/>
      <c r="K82" s="54"/>
      <c r="L82" s="56">
        <f t="shared" si="17"/>
        <v>0.68245462184495753</v>
      </c>
      <c r="M82" s="54">
        <f t="shared" si="18"/>
        <v>877366.98928813287</v>
      </c>
    </row>
    <row r="83" spans="1:13" x14ac:dyDescent="0.3">
      <c r="A83" s="54"/>
      <c r="B83" s="41">
        <f t="shared" si="12"/>
        <v>72</v>
      </c>
      <c r="C83" s="52">
        <f t="shared" si="13"/>
        <v>877366.98928813287</v>
      </c>
      <c r="E83" s="54">
        <f t="shared" si="14"/>
        <v>-6443.0140148550854</v>
      </c>
      <c r="F83" s="54"/>
      <c r="G83" s="54">
        <f t="shared" si="15"/>
        <v>2056.1790684144239</v>
      </c>
      <c r="H83" s="54"/>
      <c r="I83" s="54">
        <f t="shared" si="16"/>
        <v>4386.834946440662</v>
      </c>
      <c r="J83" s="54"/>
      <c r="K83" s="54"/>
      <c r="L83" s="56">
        <f t="shared" si="17"/>
        <v>0.68086689495418229</v>
      </c>
      <c r="M83" s="54">
        <f t="shared" si="18"/>
        <v>875310.81021971849</v>
      </c>
    </row>
    <row r="84" spans="1:13" x14ac:dyDescent="0.3">
      <c r="A84" s="54"/>
      <c r="B84" s="41">
        <f t="shared" si="12"/>
        <v>73</v>
      </c>
      <c r="C84" s="52">
        <f t="shared" si="13"/>
        <v>875310.81021971849</v>
      </c>
      <c r="E84" s="54">
        <f t="shared" si="14"/>
        <v>-6443.0140148550854</v>
      </c>
      <c r="F84" s="54"/>
      <c r="G84" s="54">
        <f t="shared" si="15"/>
        <v>2066.4599637564961</v>
      </c>
      <c r="H84" s="54"/>
      <c r="I84" s="54">
        <f t="shared" si="16"/>
        <v>4376.5540510985893</v>
      </c>
      <c r="J84" s="54"/>
      <c r="K84" s="54"/>
      <c r="L84" s="56">
        <f t="shared" si="17"/>
        <v>0.67927122942895313</v>
      </c>
      <c r="M84" s="54">
        <f t="shared" si="18"/>
        <v>873244.350255962</v>
      </c>
    </row>
    <row r="85" spans="1:13" x14ac:dyDescent="0.3">
      <c r="A85" s="54"/>
      <c r="B85" s="41">
        <f t="shared" si="12"/>
        <v>74</v>
      </c>
      <c r="C85" s="52">
        <f t="shared" si="13"/>
        <v>873244.350255962</v>
      </c>
      <c r="E85" s="54">
        <f t="shared" si="14"/>
        <v>-6443.0140148550854</v>
      </c>
      <c r="F85" s="54"/>
      <c r="G85" s="54">
        <f t="shared" si="15"/>
        <v>2076.7922635752784</v>
      </c>
      <c r="H85" s="54"/>
      <c r="I85" s="54">
        <f t="shared" si="16"/>
        <v>4366.221751279807</v>
      </c>
      <c r="J85" s="54"/>
      <c r="K85" s="54"/>
      <c r="L85" s="56">
        <f t="shared" si="17"/>
        <v>0.67766758557609796</v>
      </c>
      <c r="M85" s="54">
        <f t="shared" si="18"/>
        <v>871167.55799238675</v>
      </c>
    </row>
    <row r="86" spans="1:13" x14ac:dyDescent="0.3">
      <c r="A86" s="54"/>
      <c r="B86" s="41">
        <f t="shared" si="12"/>
        <v>75</v>
      </c>
      <c r="C86" s="52">
        <f t="shared" si="13"/>
        <v>871167.55799238675</v>
      </c>
      <c r="E86" s="54">
        <f t="shared" si="14"/>
        <v>-6443.0140148550854</v>
      </c>
      <c r="F86" s="54"/>
      <c r="G86" s="54">
        <f t="shared" si="15"/>
        <v>2087.176224893155</v>
      </c>
      <c r="H86" s="54"/>
      <c r="I86" s="54">
        <f t="shared" si="16"/>
        <v>4355.8377899619309</v>
      </c>
      <c r="J86" s="54"/>
      <c r="K86" s="54"/>
      <c r="L86" s="56">
        <f t="shared" si="17"/>
        <v>0.67605592350397847</v>
      </c>
      <c r="M86" s="54">
        <f t="shared" si="18"/>
        <v>869080.38176749356</v>
      </c>
    </row>
    <row r="87" spans="1:13" x14ac:dyDescent="0.3">
      <c r="A87" s="54"/>
      <c r="B87" s="41">
        <f t="shared" si="12"/>
        <v>76</v>
      </c>
      <c r="C87" s="52">
        <f t="shared" si="13"/>
        <v>869080.38176749356</v>
      </c>
      <c r="E87" s="54">
        <f t="shared" si="14"/>
        <v>-6443.0140148550854</v>
      </c>
      <c r="F87" s="54"/>
      <c r="G87" s="54">
        <f t="shared" si="15"/>
        <v>2097.6121060176206</v>
      </c>
      <c r="H87" s="54"/>
      <c r="I87" s="54">
        <f t="shared" si="16"/>
        <v>4345.4019088374653</v>
      </c>
      <c r="J87" s="54"/>
      <c r="K87" s="54"/>
      <c r="L87" s="56">
        <f t="shared" si="17"/>
        <v>0.67443620312149843</v>
      </c>
      <c r="M87" s="54">
        <f t="shared" si="18"/>
        <v>866982.7696614759</v>
      </c>
    </row>
    <row r="88" spans="1:13" x14ac:dyDescent="0.3">
      <c r="A88" s="54"/>
      <c r="B88" s="41">
        <f t="shared" si="12"/>
        <v>77</v>
      </c>
      <c r="C88" s="52">
        <f t="shared" si="13"/>
        <v>866982.7696614759</v>
      </c>
      <c r="E88" s="54">
        <f t="shared" si="14"/>
        <v>-6443.0140148550854</v>
      </c>
      <c r="F88" s="54"/>
      <c r="G88" s="54">
        <f t="shared" si="15"/>
        <v>2108.1001665477093</v>
      </c>
      <c r="H88" s="54"/>
      <c r="I88" s="54">
        <f t="shared" si="16"/>
        <v>4334.9138483073757</v>
      </c>
      <c r="J88" s="54"/>
      <c r="K88" s="54"/>
      <c r="L88" s="56">
        <f t="shared" si="17"/>
        <v>0.67280838413710564</v>
      </c>
      <c r="M88" s="54">
        <f t="shared" si="18"/>
        <v>864874.66949492821</v>
      </c>
    </row>
    <row r="89" spans="1:13" x14ac:dyDescent="0.3">
      <c r="A89" s="54"/>
      <c r="B89" s="41">
        <f t="shared" si="12"/>
        <v>78</v>
      </c>
      <c r="C89" s="52">
        <f t="shared" si="13"/>
        <v>864874.66949492821</v>
      </c>
      <c r="E89" s="54">
        <f t="shared" si="14"/>
        <v>-6443.0140148550854</v>
      </c>
      <c r="F89" s="54"/>
      <c r="G89" s="54">
        <f t="shared" si="15"/>
        <v>2118.6406673804477</v>
      </c>
      <c r="H89" s="54"/>
      <c r="I89" s="54">
        <f t="shared" si="16"/>
        <v>4324.3733474746386</v>
      </c>
      <c r="J89" s="54"/>
      <c r="K89" s="54"/>
      <c r="L89" s="56">
        <f t="shared" si="17"/>
        <v>0.67117242605779137</v>
      </c>
      <c r="M89" s="54">
        <f t="shared" si="18"/>
        <v>862756.02882754779</v>
      </c>
    </row>
    <row r="90" spans="1:13" x14ac:dyDescent="0.3">
      <c r="A90" s="54"/>
      <c r="B90" s="41">
        <f t="shared" si="12"/>
        <v>79</v>
      </c>
      <c r="C90" s="52">
        <f t="shared" si="13"/>
        <v>862756.02882754779</v>
      </c>
      <c r="E90" s="54">
        <f t="shared" si="14"/>
        <v>-6443.0140148550854</v>
      </c>
      <c r="F90" s="54"/>
      <c r="G90" s="54">
        <f t="shared" si="15"/>
        <v>2129.2338707173499</v>
      </c>
      <c r="H90" s="54"/>
      <c r="I90" s="54">
        <f t="shared" si="16"/>
        <v>4313.780144137736</v>
      </c>
      <c r="J90" s="54"/>
      <c r="K90" s="54"/>
      <c r="L90" s="56">
        <f t="shared" si="17"/>
        <v>0.6695282881880803</v>
      </c>
      <c r="M90" s="54">
        <f t="shared" si="18"/>
        <v>860626.79495683045</v>
      </c>
    </row>
    <row r="91" spans="1:13" x14ac:dyDescent="0.3">
      <c r="A91" s="54"/>
      <c r="B91" s="41">
        <f t="shared" si="12"/>
        <v>80</v>
      </c>
      <c r="C91" s="52">
        <f t="shared" si="13"/>
        <v>860626.79495683045</v>
      </c>
      <c r="E91" s="54">
        <f t="shared" si="14"/>
        <v>-6443.0140148550854</v>
      </c>
      <c r="F91" s="54"/>
      <c r="G91" s="54">
        <f t="shared" si="15"/>
        <v>2139.8800400709365</v>
      </c>
      <c r="H91" s="54"/>
      <c r="I91" s="54">
        <f t="shared" si="16"/>
        <v>4303.1339747841484</v>
      </c>
      <c r="J91" s="54"/>
      <c r="K91" s="54"/>
      <c r="L91" s="56">
        <f t="shared" si="17"/>
        <v>0.66787592962902054</v>
      </c>
      <c r="M91" s="54">
        <f t="shared" si="18"/>
        <v>858486.91491675947</v>
      </c>
    </row>
    <row r="92" spans="1:13" x14ac:dyDescent="0.3">
      <c r="A92" s="54"/>
      <c r="B92" s="41">
        <f t="shared" si="12"/>
        <v>81</v>
      </c>
      <c r="C92" s="52">
        <f t="shared" si="13"/>
        <v>858486.91491675947</v>
      </c>
      <c r="E92" s="54">
        <f t="shared" si="14"/>
        <v>-6443.0140148550854</v>
      </c>
      <c r="F92" s="54"/>
      <c r="G92" s="54">
        <f t="shared" si="15"/>
        <v>2150.5794402712909</v>
      </c>
      <c r="H92" s="54"/>
      <c r="I92" s="54">
        <f t="shared" si="16"/>
        <v>4292.4345745837954</v>
      </c>
      <c r="J92" s="54"/>
      <c r="K92" s="54"/>
      <c r="L92" s="56">
        <f t="shared" si="17"/>
        <v>0.66621530927716599</v>
      </c>
      <c r="M92" s="54">
        <f t="shared" si="18"/>
        <v>856336.33547648822</v>
      </c>
    </row>
    <row r="93" spans="1:13" x14ac:dyDescent="0.3">
      <c r="A93" s="54"/>
      <c r="B93" s="41">
        <f t="shared" si="12"/>
        <v>82</v>
      </c>
      <c r="C93" s="52">
        <f t="shared" si="13"/>
        <v>856336.33547648822</v>
      </c>
      <c r="E93" s="54">
        <f t="shared" si="14"/>
        <v>-6443.0140148550854</v>
      </c>
      <c r="F93" s="54"/>
      <c r="G93" s="54">
        <f t="shared" si="15"/>
        <v>2161.3323374726474</v>
      </c>
      <c r="H93" s="54"/>
      <c r="I93" s="54">
        <f t="shared" si="16"/>
        <v>4281.6816773824385</v>
      </c>
      <c r="J93" s="54"/>
      <c r="K93" s="54"/>
      <c r="L93" s="56">
        <f t="shared" si="17"/>
        <v>0.66454638582355174</v>
      </c>
      <c r="M93" s="54">
        <f t="shared" si="18"/>
        <v>854175.00313901552</v>
      </c>
    </row>
    <row r="94" spans="1:13" x14ac:dyDescent="0.3">
      <c r="A94" s="54"/>
      <c r="B94" s="41">
        <f t="shared" si="12"/>
        <v>83</v>
      </c>
      <c r="C94" s="52">
        <f t="shared" si="13"/>
        <v>854175.00313901552</v>
      </c>
      <c r="E94" s="54">
        <f t="shared" si="14"/>
        <v>-6443.0140148550854</v>
      </c>
      <c r="F94" s="54"/>
      <c r="G94" s="54">
        <f t="shared" si="15"/>
        <v>2172.1389991600108</v>
      </c>
      <c r="H94" s="54"/>
      <c r="I94" s="54">
        <f t="shared" si="16"/>
        <v>4270.8750156950746</v>
      </c>
      <c r="J94" s="54"/>
      <c r="K94" s="54"/>
      <c r="L94" s="56">
        <f t="shared" si="17"/>
        <v>0.66286911775266932</v>
      </c>
      <c r="M94" s="54">
        <f t="shared" si="18"/>
        <v>852002.86413985549</v>
      </c>
    </row>
    <row r="95" spans="1:13" x14ac:dyDescent="0.3">
      <c r="A95" s="54"/>
      <c r="B95" s="41">
        <f t="shared" si="12"/>
        <v>84</v>
      </c>
      <c r="C95" s="52">
        <f t="shared" si="13"/>
        <v>852002.86413985549</v>
      </c>
      <c r="E95" s="54">
        <f t="shared" si="14"/>
        <v>-6443.0140148550854</v>
      </c>
      <c r="F95" s="54"/>
      <c r="G95" s="54">
        <f t="shared" si="15"/>
        <v>2182.9996941558111</v>
      </c>
      <c r="H95" s="54"/>
      <c r="I95" s="54">
        <f t="shared" si="16"/>
        <v>4260.0143206992743</v>
      </c>
      <c r="J95" s="54"/>
      <c r="K95" s="54"/>
      <c r="L95" s="56">
        <f t="shared" si="17"/>
        <v>0.66118346334143263</v>
      </c>
      <c r="M95" s="54">
        <f t="shared" si="18"/>
        <v>849819.86444569973</v>
      </c>
    </row>
    <row r="96" spans="1:13" x14ac:dyDescent="0.3">
      <c r="A96" s="54"/>
      <c r="B96" s="41">
        <f t="shared" si="12"/>
        <v>85</v>
      </c>
      <c r="C96" s="52">
        <f t="shared" si="13"/>
        <v>849819.86444569973</v>
      </c>
      <c r="E96" s="54">
        <f t="shared" si="14"/>
        <v>-6443.0140148550854</v>
      </c>
      <c r="F96" s="54"/>
      <c r="G96" s="54">
        <f t="shared" si="15"/>
        <v>2193.9146926265898</v>
      </c>
      <c r="H96" s="54"/>
      <c r="I96" s="54">
        <f t="shared" si="16"/>
        <v>4249.099322228496</v>
      </c>
      <c r="J96" s="54"/>
      <c r="K96" s="54"/>
      <c r="L96" s="56">
        <f t="shared" si="17"/>
        <v>0.65948938065814</v>
      </c>
      <c r="M96" s="54">
        <f t="shared" si="18"/>
        <v>847625.94975307316</v>
      </c>
    </row>
    <row r="97" spans="1:13" x14ac:dyDescent="0.3">
      <c r="A97" s="54"/>
      <c r="B97" s="41">
        <f t="shared" si="12"/>
        <v>86</v>
      </c>
      <c r="C97" s="52">
        <f t="shared" si="13"/>
        <v>847625.94975307316</v>
      </c>
      <c r="E97" s="54">
        <f t="shared" si="14"/>
        <v>-6443.0140148550854</v>
      </c>
      <c r="F97" s="54"/>
      <c r="G97" s="54">
        <f t="shared" si="15"/>
        <v>2204.884266089723</v>
      </c>
      <c r="H97" s="54"/>
      <c r="I97" s="54">
        <f t="shared" si="16"/>
        <v>4238.1297487653628</v>
      </c>
      <c r="J97" s="54"/>
      <c r="K97" s="54"/>
      <c r="L97" s="56">
        <f t="shared" si="17"/>
        <v>0.65778682756143059</v>
      </c>
      <c r="M97" s="54">
        <f t="shared" si="18"/>
        <v>845421.0654869834</v>
      </c>
    </row>
    <row r="98" spans="1:13" x14ac:dyDescent="0.3">
      <c r="A98" s="54"/>
      <c r="B98" s="41">
        <f t="shared" si="12"/>
        <v>87</v>
      </c>
      <c r="C98" s="52">
        <f t="shared" si="13"/>
        <v>845421.0654869834</v>
      </c>
      <c r="E98" s="54">
        <f t="shared" si="14"/>
        <v>-6443.0140148550854</v>
      </c>
      <c r="F98" s="54"/>
      <c r="G98" s="54">
        <f t="shared" si="15"/>
        <v>2215.9086874201712</v>
      </c>
      <c r="H98" s="54"/>
      <c r="I98" s="54">
        <f t="shared" si="16"/>
        <v>4227.1053274349142</v>
      </c>
      <c r="J98" s="54"/>
      <c r="K98" s="54"/>
      <c r="L98" s="56">
        <f t="shared" si="17"/>
        <v>0.65607576169923776</v>
      </c>
      <c r="M98" s="54">
        <f t="shared" si="18"/>
        <v>843205.15679956321</v>
      </c>
    </row>
    <row r="99" spans="1:13" x14ac:dyDescent="0.3">
      <c r="A99" s="54"/>
      <c r="B99" s="41">
        <f t="shared" si="12"/>
        <v>88</v>
      </c>
      <c r="C99" s="52">
        <f t="shared" si="13"/>
        <v>843205.15679956321</v>
      </c>
      <c r="E99" s="54">
        <f t="shared" si="14"/>
        <v>-6443.0140148550854</v>
      </c>
      <c r="F99" s="54"/>
      <c r="G99" s="54">
        <f t="shared" si="15"/>
        <v>2226.9882308572728</v>
      </c>
      <c r="H99" s="54"/>
      <c r="I99" s="54">
        <f t="shared" si="16"/>
        <v>4216.0257839978131</v>
      </c>
      <c r="J99" s="54"/>
      <c r="K99" s="54"/>
      <c r="L99" s="56">
        <f t="shared" si="17"/>
        <v>0.65435614050773394</v>
      </c>
      <c r="M99" s="54">
        <f t="shared" si="18"/>
        <v>840978.16856870591</v>
      </c>
    </row>
    <row r="100" spans="1:13" x14ac:dyDescent="0.3">
      <c r="A100" s="54"/>
      <c r="B100" s="41">
        <f t="shared" si="12"/>
        <v>89</v>
      </c>
      <c r="C100" s="52">
        <f t="shared" si="13"/>
        <v>840978.16856870591</v>
      </c>
      <c r="E100" s="54">
        <f t="shared" si="14"/>
        <v>-6443.0140148550854</v>
      </c>
      <c r="F100" s="54"/>
      <c r="G100" s="54">
        <f t="shared" si="15"/>
        <v>2238.1231720115584</v>
      </c>
      <c r="H100" s="54"/>
      <c r="I100" s="54">
        <f t="shared" si="16"/>
        <v>4204.890842843527</v>
      </c>
      <c r="J100" s="54"/>
      <c r="K100" s="54"/>
      <c r="L100" s="56">
        <f t="shared" si="17"/>
        <v>0.65262792121027269</v>
      </c>
      <c r="M100" s="54">
        <f t="shared" si="18"/>
        <v>838740.04539669433</v>
      </c>
    </row>
    <row r="101" spans="1:13" x14ac:dyDescent="0.3">
      <c r="A101" s="54"/>
      <c r="B101" s="41">
        <f t="shared" si="12"/>
        <v>90</v>
      </c>
      <c r="C101" s="52">
        <f t="shared" si="13"/>
        <v>838740.04539669433</v>
      </c>
      <c r="E101" s="54">
        <f t="shared" si="14"/>
        <v>-6443.0140148550854</v>
      </c>
      <c r="F101" s="54"/>
      <c r="G101" s="54">
        <f t="shared" si="15"/>
        <v>2249.3137878716166</v>
      </c>
      <c r="H101" s="54"/>
      <c r="I101" s="54">
        <f t="shared" si="16"/>
        <v>4193.7002269834684</v>
      </c>
      <c r="J101" s="54"/>
      <c r="K101" s="54"/>
      <c r="L101" s="56">
        <f t="shared" si="17"/>
        <v>0.65089106081632386</v>
      </c>
      <c r="M101" s="54">
        <f t="shared" si="18"/>
        <v>836490.73160882271</v>
      </c>
    </row>
    <row r="102" spans="1:13" x14ac:dyDescent="0.3">
      <c r="A102" s="54"/>
      <c r="B102" s="41">
        <f t="shared" si="12"/>
        <v>91</v>
      </c>
      <c r="C102" s="52">
        <f t="shared" si="13"/>
        <v>836490.73160882271</v>
      </c>
      <c r="E102" s="54">
        <f t="shared" si="14"/>
        <v>-6443.0140148550854</v>
      </c>
      <c r="F102" s="54"/>
      <c r="G102" s="54">
        <f t="shared" si="15"/>
        <v>2260.5603568109741</v>
      </c>
      <c r="H102" s="54"/>
      <c r="I102" s="54">
        <f t="shared" si="16"/>
        <v>4182.4536580441109</v>
      </c>
      <c r="J102" s="54"/>
      <c r="K102" s="54"/>
      <c r="L102" s="56">
        <f t="shared" si="17"/>
        <v>0.64914551612040561</v>
      </c>
      <c r="M102" s="54">
        <f t="shared" si="18"/>
        <v>834230.17125201179</v>
      </c>
    </row>
    <row r="103" spans="1:13" x14ac:dyDescent="0.3">
      <c r="A103" s="54"/>
      <c r="B103" s="41">
        <f t="shared" si="12"/>
        <v>92</v>
      </c>
      <c r="C103" s="52">
        <f t="shared" si="13"/>
        <v>834230.17125201179</v>
      </c>
      <c r="E103" s="54">
        <f t="shared" si="14"/>
        <v>-6443.0140148550854</v>
      </c>
      <c r="F103" s="54"/>
      <c r="G103" s="54">
        <f t="shared" si="15"/>
        <v>2271.8631585950293</v>
      </c>
      <c r="H103" s="54"/>
      <c r="I103" s="54">
        <f t="shared" si="16"/>
        <v>4171.1508562600557</v>
      </c>
      <c r="J103" s="54"/>
      <c r="K103" s="54"/>
      <c r="L103" s="56">
        <f t="shared" si="17"/>
        <v>0.64739124370100753</v>
      </c>
      <c r="M103" s="54">
        <f t="shared" si="18"/>
        <v>831958.30809341674</v>
      </c>
    </row>
    <row r="104" spans="1:13" x14ac:dyDescent="0.3">
      <c r="A104" s="54"/>
      <c r="B104" s="41">
        <f t="shared" si="12"/>
        <v>93</v>
      </c>
      <c r="C104" s="52">
        <f t="shared" si="13"/>
        <v>831958.30809341674</v>
      </c>
      <c r="E104" s="54">
        <f t="shared" si="14"/>
        <v>-6443.0140148550854</v>
      </c>
      <c r="F104" s="54"/>
      <c r="G104" s="54">
        <f t="shared" si="15"/>
        <v>2283.2224743880047</v>
      </c>
      <c r="H104" s="54"/>
      <c r="I104" s="54">
        <f t="shared" si="16"/>
        <v>4159.7915404670812</v>
      </c>
      <c r="J104" s="54"/>
      <c r="K104" s="54"/>
      <c r="L104" s="56">
        <f t="shared" si="17"/>
        <v>0.6456281999195127</v>
      </c>
      <c r="M104" s="54">
        <f t="shared" si="18"/>
        <v>829675.08561902877</v>
      </c>
    </row>
    <row r="105" spans="1:13" x14ac:dyDescent="0.3">
      <c r="A105" s="54"/>
      <c r="B105" s="41">
        <f t="shared" si="12"/>
        <v>94</v>
      </c>
      <c r="C105" s="52">
        <f t="shared" si="13"/>
        <v>829675.08561902877</v>
      </c>
      <c r="E105" s="54">
        <f t="shared" si="14"/>
        <v>-6443.0140148550854</v>
      </c>
      <c r="F105" s="54"/>
      <c r="G105" s="54">
        <f t="shared" si="15"/>
        <v>2294.6385867599442</v>
      </c>
      <c r="H105" s="54"/>
      <c r="I105" s="54">
        <f t="shared" si="16"/>
        <v>4148.3754280951407</v>
      </c>
      <c r="J105" s="54"/>
      <c r="K105" s="54"/>
      <c r="L105" s="56">
        <f t="shared" si="17"/>
        <v>0.64385634091911015</v>
      </c>
      <c r="M105" s="54">
        <f t="shared" si="18"/>
        <v>827380.44703226886</v>
      </c>
    </row>
    <row r="106" spans="1:13" x14ac:dyDescent="0.3">
      <c r="A106" s="54"/>
      <c r="B106" s="41">
        <f t="shared" si="12"/>
        <v>95</v>
      </c>
      <c r="C106" s="52">
        <f t="shared" si="13"/>
        <v>827380.44703226886</v>
      </c>
      <c r="E106" s="54">
        <f t="shared" si="14"/>
        <v>-6443.0140148550854</v>
      </c>
      <c r="F106" s="54"/>
      <c r="G106" s="54">
        <f t="shared" si="15"/>
        <v>2306.1117796937442</v>
      </c>
      <c r="H106" s="54"/>
      <c r="I106" s="54">
        <f t="shared" si="16"/>
        <v>4136.9022351613412</v>
      </c>
      <c r="J106" s="54"/>
      <c r="K106" s="54"/>
      <c r="L106" s="56">
        <f t="shared" si="17"/>
        <v>0.64207562262370577</v>
      </c>
      <c r="M106" s="54">
        <f t="shared" si="18"/>
        <v>825074.33525257511</v>
      </c>
    </row>
    <row r="107" spans="1:13" x14ac:dyDescent="0.3">
      <c r="A107" s="54"/>
      <c r="B107" s="41">
        <f t="shared" si="12"/>
        <v>96</v>
      </c>
      <c r="C107" s="52">
        <f t="shared" si="13"/>
        <v>825074.33525257511</v>
      </c>
      <c r="E107" s="54">
        <f t="shared" si="14"/>
        <v>-6443.0140148550854</v>
      </c>
      <c r="F107" s="54"/>
      <c r="G107" s="54">
        <f t="shared" si="15"/>
        <v>2317.642338592213</v>
      </c>
      <c r="H107" s="54"/>
      <c r="I107" s="54">
        <f t="shared" si="16"/>
        <v>4125.3716762628728</v>
      </c>
      <c r="J107" s="54"/>
      <c r="K107" s="54"/>
      <c r="L107" s="56">
        <f t="shared" si="17"/>
        <v>0.6402860007368244</v>
      </c>
      <c r="M107" s="54">
        <f t="shared" si="18"/>
        <v>822756.6929139829</v>
      </c>
    </row>
    <row r="108" spans="1:13" x14ac:dyDescent="0.3">
      <c r="A108" s="54"/>
      <c r="B108" s="41">
        <f t="shared" si="12"/>
        <v>97</v>
      </c>
      <c r="C108" s="52">
        <f t="shared" si="13"/>
        <v>822756.6929139829</v>
      </c>
      <c r="E108" s="54">
        <f t="shared" si="14"/>
        <v>-6443.0140148550854</v>
      </c>
      <c r="F108" s="54"/>
      <c r="G108" s="54">
        <f t="shared" si="15"/>
        <v>2329.2305502851741</v>
      </c>
      <c r="H108" s="54"/>
      <c r="I108" s="54">
        <f t="shared" si="16"/>
        <v>4113.7834645699113</v>
      </c>
      <c r="J108" s="54"/>
      <c r="K108" s="54"/>
      <c r="L108" s="56">
        <f t="shared" si="17"/>
        <v>0.6384874307405084</v>
      </c>
      <c r="M108" s="54">
        <f t="shared" si="18"/>
        <v>820427.4623636977</v>
      </c>
    </row>
    <row r="109" spans="1:13" x14ac:dyDescent="0.3">
      <c r="A109" s="54"/>
      <c r="B109" s="41">
        <f t="shared" si="12"/>
        <v>98</v>
      </c>
      <c r="C109" s="52">
        <f t="shared" si="13"/>
        <v>820427.4623636977</v>
      </c>
      <c r="E109" s="54">
        <f t="shared" si="14"/>
        <v>-6443.0140148550854</v>
      </c>
      <c r="F109" s="54"/>
      <c r="G109" s="54">
        <f t="shared" si="15"/>
        <v>2340.8767030365993</v>
      </c>
      <c r="H109" s="54"/>
      <c r="I109" s="54">
        <f t="shared" si="16"/>
        <v>4102.1373118184856</v>
      </c>
      <c r="J109" s="54"/>
      <c r="K109" s="54"/>
      <c r="L109" s="56">
        <f t="shared" si="17"/>
        <v>0.63667986789421094</v>
      </c>
      <c r="M109" s="54">
        <f t="shared" si="18"/>
        <v>818086.58566066111</v>
      </c>
    </row>
    <row r="110" spans="1:13" x14ac:dyDescent="0.3">
      <c r="A110" s="54"/>
      <c r="B110" s="41">
        <f t="shared" si="12"/>
        <v>99</v>
      </c>
      <c r="C110" s="52">
        <f t="shared" si="13"/>
        <v>818086.58566066111</v>
      </c>
      <c r="E110" s="54">
        <f t="shared" si="14"/>
        <v>-6443.0140148550854</v>
      </c>
      <c r="F110" s="54"/>
      <c r="G110" s="54">
        <f t="shared" si="15"/>
        <v>2352.5810865517833</v>
      </c>
      <c r="H110" s="54"/>
      <c r="I110" s="54">
        <f t="shared" si="16"/>
        <v>4090.4329283033026</v>
      </c>
      <c r="J110" s="54"/>
      <c r="K110" s="54"/>
      <c r="L110" s="56">
        <f t="shared" si="17"/>
        <v>0.63486326723368203</v>
      </c>
      <c r="M110" s="54">
        <f t="shared" si="18"/>
        <v>815734.00457410933</v>
      </c>
    </row>
    <row r="111" spans="1:13" x14ac:dyDescent="0.3">
      <c r="A111" s="54"/>
      <c r="B111" s="41">
        <f t="shared" si="12"/>
        <v>100</v>
      </c>
      <c r="C111" s="52">
        <f t="shared" si="13"/>
        <v>815734.00457410933</v>
      </c>
      <c r="E111" s="54">
        <f t="shared" si="14"/>
        <v>-6443.0140148550854</v>
      </c>
      <c r="F111" s="54"/>
      <c r="G111" s="54">
        <f t="shared" si="15"/>
        <v>2364.3439919845418</v>
      </c>
      <c r="H111" s="54"/>
      <c r="I111" s="54">
        <f t="shared" si="16"/>
        <v>4078.670022870544</v>
      </c>
      <c r="J111" s="54"/>
      <c r="K111" s="54"/>
      <c r="L111" s="56">
        <f t="shared" si="17"/>
        <v>0.63303758356985051</v>
      </c>
      <c r="M111" s="54">
        <f t="shared" si="18"/>
        <v>813369.66058212484</v>
      </c>
    </row>
    <row r="112" spans="1:13" x14ac:dyDescent="0.3">
      <c r="A112" s="54"/>
      <c r="B112" s="41">
        <f t="shared" si="12"/>
        <v>101</v>
      </c>
      <c r="C112" s="52">
        <f t="shared" si="13"/>
        <v>813369.66058212484</v>
      </c>
      <c r="E112" s="54">
        <f t="shared" si="14"/>
        <v>-6443.0140148550854</v>
      </c>
      <c r="F112" s="54"/>
      <c r="G112" s="54">
        <f t="shared" si="15"/>
        <v>2376.1657119444649</v>
      </c>
      <c r="H112" s="54"/>
      <c r="I112" s="54">
        <f t="shared" si="16"/>
        <v>4066.848302910621</v>
      </c>
      <c r="J112" s="54"/>
      <c r="K112" s="54"/>
      <c r="L112" s="56">
        <f t="shared" si="17"/>
        <v>0.63120277148769965</v>
      </c>
      <c r="M112" s="54">
        <f t="shared" si="18"/>
        <v>810993.49487018038</v>
      </c>
    </row>
    <row r="113" spans="1:13" x14ac:dyDescent="0.3">
      <c r="A113" s="54"/>
      <c r="B113" s="41">
        <f t="shared" si="12"/>
        <v>102</v>
      </c>
      <c r="C113" s="52">
        <f t="shared" si="13"/>
        <v>810993.49487018038</v>
      </c>
      <c r="E113" s="54">
        <f t="shared" si="14"/>
        <v>-6443.0140148550854</v>
      </c>
      <c r="F113" s="54"/>
      <c r="G113" s="54">
        <f t="shared" si="15"/>
        <v>2388.0465405041869</v>
      </c>
      <c r="H113" s="54"/>
      <c r="I113" s="54">
        <f t="shared" si="16"/>
        <v>4054.9674743508986</v>
      </c>
      <c r="J113" s="54"/>
      <c r="K113" s="54"/>
      <c r="L113" s="56">
        <f t="shared" si="17"/>
        <v>0.62935878534513812</v>
      </c>
      <c r="M113" s="54">
        <f t="shared" si="18"/>
        <v>808605.44832967618</v>
      </c>
    </row>
    <row r="114" spans="1:13" x14ac:dyDescent="0.3">
      <c r="A114" s="54"/>
      <c r="B114" s="41">
        <f t="shared" si="12"/>
        <v>103</v>
      </c>
      <c r="C114" s="52">
        <f t="shared" si="13"/>
        <v>808605.44832967618</v>
      </c>
      <c r="E114" s="54">
        <f t="shared" si="14"/>
        <v>-6443.0140148550854</v>
      </c>
      <c r="F114" s="54"/>
      <c r="G114" s="54">
        <f t="shared" si="15"/>
        <v>2399.9867732067078</v>
      </c>
      <c r="H114" s="54"/>
      <c r="I114" s="54">
        <f t="shared" si="16"/>
        <v>4043.0272416483776</v>
      </c>
      <c r="J114" s="54"/>
      <c r="K114" s="54"/>
      <c r="L114" s="56">
        <f t="shared" si="17"/>
        <v>0.6275055792718639</v>
      </c>
      <c r="M114" s="54">
        <f t="shared" si="18"/>
        <v>806205.46155646944</v>
      </c>
    </row>
    <row r="115" spans="1:13" x14ac:dyDescent="0.3">
      <c r="A115" s="54"/>
      <c r="B115" s="41">
        <f t="shared" si="12"/>
        <v>104</v>
      </c>
      <c r="C115" s="52">
        <f t="shared" si="13"/>
        <v>806205.46155646944</v>
      </c>
      <c r="E115" s="54">
        <f t="shared" si="14"/>
        <v>-6443.0140148550854</v>
      </c>
      <c r="F115" s="54"/>
      <c r="G115" s="54">
        <f t="shared" si="15"/>
        <v>2411.986707072741</v>
      </c>
      <c r="H115" s="54"/>
      <c r="I115" s="54">
        <f t="shared" si="16"/>
        <v>4031.027307782344</v>
      </c>
      <c r="J115" s="54"/>
      <c r="K115" s="54"/>
      <c r="L115" s="56">
        <f t="shared" si="17"/>
        <v>0.62564310716822313</v>
      </c>
      <c r="M115" s="54">
        <f t="shared" si="18"/>
        <v>803793.47484939673</v>
      </c>
    </row>
    <row r="116" spans="1:13" x14ac:dyDescent="0.3">
      <c r="A116" s="54"/>
      <c r="B116" s="41">
        <f t="shared" si="12"/>
        <v>105</v>
      </c>
      <c r="C116" s="52">
        <f t="shared" si="13"/>
        <v>803793.47484939673</v>
      </c>
      <c r="E116" s="54">
        <f t="shared" si="14"/>
        <v>-6443.0140148550854</v>
      </c>
      <c r="F116" s="54"/>
      <c r="G116" s="54">
        <f t="shared" si="15"/>
        <v>2424.0466406081055</v>
      </c>
      <c r="H116" s="54"/>
      <c r="I116" s="54">
        <f t="shared" si="16"/>
        <v>4018.9673742469795</v>
      </c>
      <c r="J116" s="54"/>
      <c r="K116" s="54"/>
      <c r="L116" s="56">
        <f t="shared" si="17"/>
        <v>0.6237713227040641</v>
      </c>
      <c r="M116" s="54">
        <f t="shared" si="18"/>
        <v>801369.42820878862</v>
      </c>
    </row>
    <row r="117" spans="1:13" x14ac:dyDescent="0.3">
      <c r="A117" s="54"/>
      <c r="B117" s="41">
        <f t="shared" si="12"/>
        <v>106</v>
      </c>
      <c r="C117" s="52">
        <f t="shared" si="13"/>
        <v>801369.42820878862</v>
      </c>
      <c r="E117" s="54">
        <f t="shared" si="14"/>
        <v>-6443.0140148550854</v>
      </c>
      <c r="F117" s="54"/>
      <c r="G117" s="54">
        <f t="shared" si="15"/>
        <v>2436.1668738111457</v>
      </c>
      <c r="H117" s="54"/>
      <c r="I117" s="54">
        <f t="shared" si="16"/>
        <v>4006.8471410439397</v>
      </c>
      <c r="J117" s="54"/>
      <c r="K117" s="54"/>
      <c r="L117" s="56">
        <f t="shared" si="17"/>
        <v>0.62189017931758461</v>
      </c>
      <c r="M117" s="54">
        <f t="shared" si="18"/>
        <v>798933.26133497746</v>
      </c>
    </row>
    <row r="118" spans="1:13" x14ac:dyDescent="0.3">
      <c r="A118" s="54"/>
      <c r="B118" s="41">
        <f t="shared" si="12"/>
        <v>107</v>
      </c>
      <c r="C118" s="52">
        <f t="shared" si="13"/>
        <v>798933.26133497746</v>
      </c>
      <c r="E118" s="54">
        <f t="shared" si="14"/>
        <v>-6443.0140148550854</v>
      </c>
      <c r="F118" s="54"/>
      <c r="G118" s="54">
        <f t="shared" si="15"/>
        <v>2448.3477081802012</v>
      </c>
      <c r="H118" s="54"/>
      <c r="I118" s="54">
        <f t="shared" si="16"/>
        <v>3994.6663066748847</v>
      </c>
      <c r="J118" s="54"/>
      <c r="K118" s="54"/>
      <c r="L118" s="56">
        <f t="shared" si="17"/>
        <v>0.61999963021417259</v>
      </c>
      <c r="M118" s="54">
        <f t="shared" si="18"/>
        <v>796484.91362679726</v>
      </c>
    </row>
    <row r="119" spans="1:13" x14ac:dyDescent="0.3">
      <c r="A119" s="54"/>
      <c r="B119" s="41">
        <f t="shared" si="12"/>
        <v>108</v>
      </c>
      <c r="C119" s="52">
        <f t="shared" si="13"/>
        <v>796484.91362679726</v>
      </c>
      <c r="E119" s="54">
        <f t="shared" si="14"/>
        <v>-6443.0140148550854</v>
      </c>
      <c r="F119" s="54"/>
      <c r="G119" s="54">
        <f t="shared" si="15"/>
        <v>2460.5894467211024</v>
      </c>
      <c r="H119" s="54"/>
      <c r="I119" s="54">
        <f t="shared" si="16"/>
        <v>3982.4245681339821</v>
      </c>
      <c r="J119" s="54"/>
      <c r="K119" s="54"/>
      <c r="L119" s="56">
        <f t="shared" si="17"/>
        <v>0.61809962836524324</v>
      </c>
      <c r="M119" s="54">
        <f t="shared" si="18"/>
        <v>794024.32418007613</v>
      </c>
    </row>
    <row r="120" spans="1:13" x14ac:dyDescent="0.3">
      <c r="A120" s="54"/>
      <c r="B120" s="41">
        <f t="shared" si="12"/>
        <v>109</v>
      </c>
      <c r="C120" s="52">
        <f t="shared" si="13"/>
        <v>794024.32418007613</v>
      </c>
      <c r="E120" s="54">
        <f t="shared" si="14"/>
        <v>-6443.0140148550854</v>
      </c>
      <c r="F120" s="54"/>
      <c r="G120" s="54">
        <f t="shared" si="15"/>
        <v>2472.892393954708</v>
      </c>
      <c r="H120" s="54"/>
      <c r="I120" s="54">
        <f t="shared" si="16"/>
        <v>3970.1216209003778</v>
      </c>
      <c r="J120" s="54"/>
      <c r="K120" s="54"/>
      <c r="L120" s="56">
        <f t="shared" si="17"/>
        <v>0.61619012650706961</v>
      </c>
      <c r="M120" s="54">
        <f t="shared" si="18"/>
        <v>791551.43178612145</v>
      </c>
    </row>
    <row r="121" spans="1:13" x14ac:dyDescent="0.3">
      <c r="A121" s="54"/>
      <c r="B121" s="41">
        <f t="shared" si="12"/>
        <v>110</v>
      </c>
      <c r="C121" s="52">
        <f t="shared" si="13"/>
        <v>791551.43178612145</v>
      </c>
      <c r="E121" s="54">
        <f t="shared" si="14"/>
        <v>-6443.0140148550854</v>
      </c>
      <c r="F121" s="54"/>
      <c r="G121" s="54">
        <f t="shared" si="15"/>
        <v>2485.256855924481</v>
      </c>
      <c r="H121" s="54"/>
      <c r="I121" s="54">
        <f t="shared" si="16"/>
        <v>3957.757158930604</v>
      </c>
      <c r="J121" s="54"/>
      <c r="K121" s="54"/>
      <c r="L121" s="56">
        <f t="shared" si="17"/>
        <v>0.61427107713960494</v>
      </c>
      <c r="M121" s="54">
        <f t="shared" si="18"/>
        <v>789066.17493019695</v>
      </c>
    </row>
    <row r="122" spans="1:13" x14ac:dyDescent="0.3">
      <c r="A122" s="54"/>
      <c r="B122" s="41">
        <f t="shared" si="12"/>
        <v>111</v>
      </c>
      <c r="C122" s="52">
        <f t="shared" si="13"/>
        <v>789066.17493019695</v>
      </c>
      <c r="E122" s="54">
        <f t="shared" si="14"/>
        <v>-6443.0140148550854</v>
      </c>
      <c r="F122" s="54"/>
      <c r="G122" s="54">
        <f t="shared" si="15"/>
        <v>2497.6831402041034</v>
      </c>
      <c r="H122" s="54"/>
      <c r="I122" s="54">
        <f t="shared" si="16"/>
        <v>3945.3308746509824</v>
      </c>
      <c r="J122" s="54"/>
      <c r="K122" s="54"/>
      <c r="L122" s="56">
        <f t="shared" si="17"/>
        <v>0.61234243252530307</v>
      </c>
      <c r="M122" s="54">
        <f t="shared" si="18"/>
        <v>786568.4917899929</v>
      </c>
    </row>
    <row r="123" spans="1:13" x14ac:dyDescent="0.3">
      <c r="A123" s="54"/>
      <c r="B123" s="41">
        <f t="shared" si="12"/>
        <v>112</v>
      </c>
      <c r="C123" s="52">
        <f t="shared" si="13"/>
        <v>786568.4917899929</v>
      </c>
      <c r="E123" s="54">
        <f t="shared" si="14"/>
        <v>-6443.0140148550854</v>
      </c>
      <c r="F123" s="54"/>
      <c r="G123" s="54">
        <f t="shared" si="15"/>
        <v>2510.171555905124</v>
      </c>
      <c r="H123" s="54"/>
      <c r="I123" s="54">
        <f t="shared" si="16"/>
        <v>3932.8424589499609</v>
      </c>
      <c r="J123" s="54"/>
      <c r="K123" s="54"/>
      <c r="L123" s="56">
        <f t="shared" si="17"/>
        <v>0.61040414468792947</v>
      </c>
      <c r="M123" s="54">
        <f t="shared" si="18"/>
        <v>784058.32023408776</v>
      </c>
    </row>
    <row r="124" spans="1:13" x14ac:dyDescent="0.3">
      <c r="A124" s="54"/>
      <c r="B124" s="41">
        <f t="shared" si="12"/>
        <v>113</v>
      </c>
      <c r="C124" s="52">
        <f t="shared" si="13"/>
        <v>784058.32023408776</v>
      </c>
      <c r="E124" s="54">
        <f t="shared" si="14"/>
        <v>-6443.0140148550854</v>
      </c>
      <c r="F124" s="54"/>
      <c r="G124" s="54">
        <f t="shared" si="15"/>
        <v>2522.7224136846498</v>
      </c>
      <c r="H124" s="54"/>
      <c r="I124" s="54">
        <f t="shared" si="16"/>
        <v>3920.2916011704356</v>
      </c>
      <c r="J124" s="54"/>
      <c r="K124" s="54"/>
      <c r="L124" s="56">
        <f t="shared" si="17"/>
        <v>0.60845616541136915</v>
      </c>
      <c r="M124" s="54">
        <f t="shared" si="18"/>
        <v>781535.59782040305</v>
      </c>
    </row>
    <row r="125" spans="1:13" x14ac:dyDescent="0.3">
      <c r="A125" s="54"/>
      <c r="B125" s="41">
        <f t="shared" si="12"/>
        <v>114</v>
      </c>
      <c r="C125" s="52">
        <f t="shared" si="13"/>
        <v>781535.59782040305</v>
      </c>
      <c r="E125" s="54">
        <f t="shared" si="14"/>
        <v>-6443.0140148550854</v>
      </c>
      <c r="F125" s="54"/>
      <c r="G125" s="54">
        <f t="shared" si="15"/>
        <v>2535.3360257530735</v>
      </c>
      <c r="H125" s="54"/>
      <c r="I125" s="54">
        <f t="shared" si="16"/>
        <v>3907.6779891020124</v>
      </c>
      <c r="J125" s="54"/>
      <c r="K125" s="54"/>
      <c r="L125" s="56">
        <f t="shared" si="17"/>
        <v>0.60649844623842597</v>
      </c>
      <c r="M125" s="54">
        <f t="shared" si="18"/>
        <v>779000.26179465</v>
      </c>
    </row>
    <row r="126" spans="1:13" x14ac:dyDescent="0.3">
      <c r="A126" s="54"/>
      <c r="B126" s="41">
        <f t="shared" si="12"/>
        <v>115</v>
      </c>
      <c r="C126" s="52">
        <f t="shared" si="13"/>
        <v>779000.26179465</v>
      </c>
      <c r="E126" s="54">
        <f t="shared" si="14"/>
        <v>-6443.0140148550854</v>
      </c>
      <c r="F126" s="54"/>
      <c r="G126" s="54">
        <f t="shared" si="15"/>
        <v>2548.0127058818384</v>
      </c>
      <c r="H126" s="54"/>
      <c r="I126" s="54">
        <f t="shared" si="16"/>
        <v>3895.0013089732465</v>
      </c>
      <c r="J126" s="54"/>
      <c r="K126" s="54"/>
      <c r="L126" s="56">
        <f t="shared" si="17"/>
        <v>0.60453093846961803</v>
      </c>
      <c r="M126" s="54">
        <f t="shared" si="18"/>
        <v>776452.24908876815</v>
      </c>
    </row>
    <row r="127" spans="1:13" x14ac:dyDescent="0.3">
      <c r="A127" s="54"/>
      <c r="B127" s="41">
        <f t="shared" si="12"/>
        <v>116</v>
      </c>
      <c r="C127" s="52">
        <f t="shared" si="13"/>
        <v>776452.24908876815</v>
      </c>
      <c r="E127" s="54">
        <f t="shared" si="14"/>
        <v>-6443.0140148550854</v>
      </c>
      <c r="F127" s="54"/>
      <c r="G127" s="54">
        <f t="shared" si="15"/>
        <v>2560.7527694112478</v>
      </c>
      <c r="H127" s="54"/>
      <c r="I127" s="54">
        <f t="shared" si="16"/>
        <v>3882.2612454438381</v>
      </c>
      <c r="J127" s="54"/>
      <c r="K127" s="54"/>
      <c r="L127" s="56">
        <f t="shared" si="17"/>
        <v>0.60255359316196633</v>
      </c>
      <c r="M127" s="54">
        <f t="shared" si="18"/>
        <v>773891.49631935696</v>
      </c>
    </row>
    <row r="128" spans="1:13" x14ac:dyDescent="0.3">
      <c r="A128" s="54"/>
      <c r="B128" s="41">
        <f t="shared" si="12"/>
        <v>117</v>
      </c>
      <c r="C128" s="52">
        <f t="shared" si="13"/>
        <v>773891.49631935696</v>
      </c>
      <c r="E128" s="54">
        <f t="shared" si="14"/>
        <v>-6443.0140148550854</v>
      </c>
      <c r="F128" s="54"/>
      <c r="G128" s="54">
        <f t="shared" si="15"/>
        <v>2573.5565332583042</v>
      </c>
      <c r="H128" s="54"/>
      <c r="I128" s="54">
        <f t="shared" si="16"/>
        <v>3869.4574815967812</v>
      </c>
      <c r="J128" s="54"/>
      <c r="K128" s="54"/>
      <c r="L128" s="56">
        <f t="shared" si="17"/>
        <v>0.60056636112777606</v>
      </c>
      <c r="M128" s="54">
        <f t="shared" si="18"/>
        <v>771317.93978609866</v>
      </c>
    </row>
    <row r="129" spans="1:13" x14ac:dyDescent="0.3">
      <c r="A129" s="54"/>
      <c r="B129" s="41">
        <f t="shared" si="12"/>
        <v>118</v>
      </c>
      <c r="C129" s="52">
        <f t="shared" si="13"/>
        <v>771317.93978609866</v>
      </c>
      <c r="E129" s="54">
        <f t="shared" si="14"/>
        <v>-6443.0140148550854</v>
      </c>
      <c r="F129" s="54"/>
      <c r="G129" s="54">
        <f t="shared" si="15"/>
        <v>2586.4243159245957</v>
      </c>
      <c r="H129" s="54"/>
      <c r="I129" s="54">
        <f t="shared" si="16"/>
        <v>3856.5896989304897</v>
      </c>
      <c r="J129" s="54"/>
      <c r="K129" s="54"/>
      <c r="L129" s="56">
        <f t="shared" si="17"/>
        <v>0.59856919293341493</v>
      </c>
      <c r="M129" s="54">
        <f t="shared" si="18"/>
        <v>768731.51547017402</v>
      </c>
    </row>
    <row r="130" spans="1:13" x14ac:dyDescent="0.3">
      <c r="A130" s="54"/>
      <c r="B130" s="41">
        <f t="shared" si="12"/>
        <v>119</v>
      </c>
      <c r="C130" s="52">
        <f t="shared" si="13"/>
        <v>768731.51547017402</v>
      </c>
      <c r="E130" s="54">
        <f t="shared" si="14"/>
        <v>-6443.0140148550854</v>
      </c>
      <c r="F130" s="54"/>
      <c r="G130" s="54">
        <f t="shared" si="15"/>
        <v>2599.3564375042188</v>
      </c>
      <c r="H130" s="54"/>
      <c r="I130" s="54">
        <f t="shared" si="16"/>
        <v>3843.6575773508662</v>
      </c>
      <c r="J130" s="54"/>
      <c r="K130" s="54"/>
      <c r="L130" s="56">
        <f t="shared" si="17"/>
        <v>0.5965620388980819</v>
      </c>
      <c r="M130" s="54">
        <f t="shared" si="18"/>
        <v>766132.15903266985</v>
      </c>
    </row>
    <row r="131" spans="1:13" x14ac:dyDescent="0.3">
      <c r="A131" s="54"/>
      <c r="B131" s="41">
        <f t="shared" si="12"/>
        <v>120</v>
      </c>
      <c r="C131" s="52">
        <f t="shared" si="13"/>
        <v>766132.15903266985</v>
      </c>
      <c r="E131" s="54">
        <f t="shared" si="14"/>
        <v>-6443.0140148550854</v>
      </c>
      <c r="F131" s="54"/>
      <c r="G131" s="54">
        <f t="shared" si="15"/>
        <v>2612.3532196917399</v>
      </c>
      <c r="H131" s="54"/>
      <c r="I131" s="54">
        <f t="shared" si="16"/>
        <v>3830.6607951633459</v>
      </c>
      <c r="J131" s="54"/>
      <c r="K131" s="54"/>
      <c r="L131" s="56">
        <f t="shared" si="17"/>
        <v>0.59454484909257244</v>
      </c>
      <c r="M131" s="54">
        <f t="shared" si="18"/>
        <v>763519.80581297807</v>
      </c>
    </row>
    <row r="132" spans="1:13" x14ac:dyDescent="0.3">
      <c r="A132" s="54"/>
      <c r="B132" s="41">
        <f t="shared" si="12"/>
        <v>121</v>
      </c>
      <c r="C132" s="52">
        <f t="shared" si="13"/>
        <v>763519.80581297807</v>
      </c>
      <c r="E132" s="54">
        <f t="shared" si="14"/>
        <v>-6443.0140148550854</v>
      </c>
      <c r="F132" s="54"/>
      <c r="G132" s="54">
        <f t="shared" si="15"/>
        <v>2625.414985790198</v>
      </c>
      <c r="H132" s="54"/>
      <c r="I132" s="54">
        <f t="shared" si="16"/>
        <v>3817.599029064887</v>
      </c>
      <c r="J132" s="54"/>
      <c r="K132" s="54"/>
      <c r="L132" s="56">
        <f t="shared" si="17"/>
        <v>0.59251757333803523</v>
      </c>
      <c r="M132" s="54">
        <f t="shared" si="18"/>
        <v>760894.39082718792</v>
      </c>
    </row>
    <row r="133" spans="1:13" x14ac:dyDescent="0.3">
      <c r="A133" s="54"/>
      <c r="B133" s="41">
        <f t="shared" si="12"/>
        <v>122</v>
      </c>
      <c r="C133" s="52">
        <f t="shared" si="13"/>
        <v>760894.39082718792</v>
      </c>
      <c r="E133" s="54">
        <f t="shared" si="14"/>
        <v>-6443.0140148550854</v>
      </c>
      <c r="F133" s="54"/>
      <c r="G133" s="54">
        <f t="shared" si="15"/>
        <v>2638.5420607191495</v>
      </c>
      <c r="H133" s="54"/>
      <c r="I133" s="54">
        <f t="shared" si="16"/>
        <v>3804.4719541359364</v>
      </c>
      <c r="J133" s="54"/>
      <c r="K133" s="54"/>
      <c r="L133" s="56">
        <f t="shared" si="17"/>
        <v>0.59048016120472546</v>
      </c>
      <c r="M133" s="54">
        <f t="shared" si="18"/>
        <v>758255.84876646881</v>
      </c>
    </row>
    <row r="134" spans="1:13" x14ac:dyDescent="0.3">
      <c r="A134" s="54"/>
      <c r="B134" s="41">
        <f t="shared" si="12"/>
        <v>123</v>
      </c>
      <c r="C134" s="52">
        <f t="shared" si="13"/>
        <v>758255.84876646881</v>
      </c>
      <c r="E134" s="54">
        <f t="shared" si="14"/>
        <v>-6443.0140148550854</v>
      </c>
      <c r="F134" s="54"/>
      <c r="G134" s="54">
        <f t="shared" si="15"/>
        <v>2651.734771022745</v>
      </c>
      <c r="H134" s="54"/>
      <c r="I134" s="54">
        <f t="shared" si="16"/>
        <v>3791.2792438323409</v>
      </c>
      <c r="J134" s="54"/>
      <c r="K134" s="54"/>
      <c r="L134" s="56">
        <f t="shared" si="17"/>
        <v>0.58843256201074912</v>
      </c>
      <c r="M134" s="54">
        <f t="shared" si="18"/>
        <v>755604.11399544613</v>
      </c>
    </row>
    <row r="135" spans="1:13" x14ac:dyDescent="0.3">
      <c r="A135" s="54"/>
      <c r="B135" s="41">
        <f t="shared" si="12"/>
        <v>124</v>
      </c>
      <c r="C135" s="52">
        <f t="shared" si="13"/>
        <v>755604.11399544613</v>
      </c>
      <c r="E135" s="54">
        <f t="shared" si="14"/>
        <v>-6443.0140148550854</v>
      </c>
      <c r="F135" s="54"/>
      <c r="G135" s="54">
        <f t="shared" si="15"/>
        <v>2664.993444877859</v>
      </c>
      <c r="H135" s="54"/>
      <c r="I135" s="54">
        <f t="shared" si="16"/>
        <v>3778.0205699772268</v>
      </c>
      <c r="J135" s="54"/>
      <c r="K135" s="54"/>
      <c r="L135" s="56">
        <f t="shared" si="17"/>
        <v>0.58637472482080288</v>
      </c>
      <c r="M135" s="54">
        <f t="shared" si="18"/>
        <v>752939.12055056822</v>
      </c>
    </row>
    <row r="136" spans="1:13" x14ac:dyDescent="0.3">
      <c r="A136" s="54"/>
      <c r="B136" s="41">
        <f t="shared" si="12"/>
        <v>125</v>
      </c>
      <c r="C136" s="52">
        <f t="shared" si="13"/>
        <v>752939.12055056822</v>
      </c>
      <c r="E136" s="54">
        <f t="shared" si="14"/>
        <v>-6443.0140148550854</v>
      </c>
      <c r="F136" s="54"/>
      <c r="G136" s="54">
        <f t="shared" si="15"/>
        <v>2678.3184121022477</v>
      </c>
      <c r="H136" s="54"/>
      <c r="I136" s="54">
        <f t="shared" si="16"/>
        <v>3764.6956027528377</v>
      </c>
      <c r="J136" s="54"/>
      <c r="K136" s="54"/>
      <c r="L136" s="56">
        <f t="shared" si="17"/>
        <v>0.58430659844490684</v>
      </c>
      <c r="M136" s="54">
        <f t="shared" si="18"/>
        <v>750260.80213846592</v>
      </c>
    </row>
    <row r="137" spans="1:13" x14ac:dyDescent="0.3">
      <c r="A137" s="54"/>
      <c r="B137" s="41">
        <f t="shared" si="12"/>
        <v>126</v>
      </c>
      <c r="C137" s="52">
        <f t="shared" si="13"/>
        <v>750260.80213846592</v>
      </c>
      <c r="E137" s="54">
        <f t="shared" si="14"/>
        <v>-6443.0140148550854</v>
      </c>
      <c r="F137" s="54"/>
      <c r="G137" s="54">
        <f t="shared" si="15"/>
        <v>2691.7100041627596</v>
      </c>
      <c r="H137" s="54"/>
      <c r="I137" s="54">
        <f t="shared" si="16"/>
        <v>3751.3040106923263</v>
      </c>
      <c r="J137" s="54"/>
      <c r="K137" s="54"/>
      <c r="L137" s="56">
        <f t="shared" si="17"/>
        <v>0.58222813143713137</v>
      </c>
      <c r="M137" s="54">
        <f t="shared" si="18"/>
        <v>747569.09213430318</v>
      </c>
    </row>
    <row r="138" spans="1:13" x14ac:dyDescent="0.3">
      <c r="A138" s="54"/>
      <c r="B138" s="41">
        <f t="shared" si="12"/>
        <v>127</v>
      </c>
      <c r="C138" s="52">
        <f t="shared" si="13"/>
        <v>747569.09213430318</v>
      </c>
      <c r="E138" s="54">
        <f t="shared" si="14"/>
        <v>-6443.0140148550854</v>
      </c>
      <c r="F138" s="54"/>
      <c r="G138" s="54">
        <f t="shared" si="15"/>
        <v>2705.1685541835732</v>
      </c>
      <c r="H138" s="54"/>
      <c r="I138" s="54">
        <f t="shared" si="16"/>
        <v>3737.8454606715127</v>
      </c>
      <c r="J138" s="54"/>
      <c r="K138" s="54"/>
      <c r="L138" s="56">
        <f t="shared" si="17"/>
        <v>0.58013927209431704</v>
      </c>
      <c r="M138" s="54">
        <f t="shared" si="18"/>
        <v>744863.92358011962</v>
      </c>
    </row>
    <row r="139" spans="1:13" x14ac:dyDescent="0.3">
      <c r="A139" s="54"/>
      <c r="B139" s="41">
        <f t="shared" si="12"/>
        <v>128</v>
      </c>
      <c r="C139" s="52">
        <f t="shared" si="13"/>
        <v>744863.92358011962</v>
      </c>
      <c r="E139" s="54">
        <f t="shared" si="14"/>
        <v>-6443.0140148550854</v>
      </c>
      <c r="F139" s="54"/>
      <c r="G139" s="54">
        <f t="shared" si="15"/>
        <v>2718.6943969544909</v>
      </c>
      <c r="H139" s="54"/>
      <c r="I139" s="54">
        <f t="shared" si="16"/>
        <v>3724.319617900594</v>
      </c>
      <c r="J139" s="54"/>
      <c r="K139" s="54"/>
      <c r="L139" s="56">
        <f t="shared" si="17"/>
        <v>0.57803996845478856</v>
      </c>
      <c r="M139" s="54">
        <f t="shared" si="18"/>
        <v>742145.22918316512</v>
      </c>
    </row>
    <row r="140" spans="1:13" x14ac:dyDescent="0.3">
      <c r="A140" s="54"/>
      <c r="B140" s="41">
        <f t="shared" si="12"/>
        <v>129</v>
      </c>
      <c r="C140" s="52">
        <f t="shared" si="13"/>
        <v>742145.22918316512</v>
      </c>
      <c r="E140" s="54">
        <f t="shared" si="14"/>
        <v>-6443.0140148550854</v>
      </c>
      <c r="F140" s="54"/>
      <c r="G140" s="54">
        <f t="shared" si="15"/>
        <v>2732.2878689392637</v>
      </c>
      <c r="H140" s="54"/>
      <c r="I140" s="54">
        <f t="shared" si="16"/>
        <v>3710.7261459158226</v>
      </c>
      <c r="J140" s="54"/>
      <c r="K140" s="54"/>
      <c r="L140" s="56">
        <f t="shared" si="17"/>
        <v>0.57593016829706267</v>
      </c>
      <c r="M140" s="54">
        <f t="shared" si="18"/>
        <v>739412.9413142259</v>
      </c>
    </row>
    <row r="141" spans="1:13" x14ac:dyDescent="0.3">
      <c r="A141" s="54"/>
      <c r="B141" s="41">
        <f t="shared" si="12"/>
        <v>130</v>
      </c>
      <c r="C141" s="52">
        <f t="shared" si="13"/>
        <v>739412.9413142259</v>
      </c>
      <c r="E141" s="54">
        <f t="shared" si="14"/>
        <v>-6443.0140148550854</v>
      </c>
      <c r="F141" s="54"/>
      <c r="G141" s="54">
        <f t="shared" si="15"/>
        <v>2745.9493082839599</v>
      </c>
      <c r="H141" s="54"/>
      <c r="I141" s="54">
        <f t="shared" si="16"/>
        <v>3697.064706571126</v>
      </c>
      <c r="J141" s="54"/>
      <c r="K141" s="54"/>
      <c r="L141" s="56">
        <f t="shared" si="17"/>
        <v>0.57380981913854789</v>
      </c>
      <c r="M141" s="54">
        <f t="shared" si="18"/>
        <v>736666.99200594192</v>
      </c>
    </row>
    <row r="142" spans="1:13" x14ac:dyDescent="0.3">
      <c r="A142" s="54"/>
      <c r="B142" s="41">
        <f t="shared" si="12"/>
        <v>131</v>
      </c>
      <c r="C142" s="52">
        <f t="shared" si="13"/>
        <v>736666.99200594192</v>
      </c>
      <c r="E142" s="54">
        <f t="shared" si="14"/>
        <v>-6443.0140148550854</v>
      </c>
      <c r="F142" s="54"/>
      <c r="G142" s="54">
        <f t="shared" si="15"/>
        <v>2759.6790548253798</v>
      </c>
      <c r="H142" s="54"/>
      <c r="I142" s="54">
        <f t="shared" si="16"/>
        <v>3683.3349600297061</v>
      </c>
      <c r="J142" s="54"/>
      <c r="K142" s="54"/>
      <c r="L142" s="56">
        <f t="shared" si="17"/>
        <v>0.57167886823424063</v>
      </c>
      <c r="M142" s="54">
        <f t="shared" si="18"/>
        <v>733907.31295111659</v>
      </c>
    </row>
    <row r="143" spans="1:13" x14ac:dyDescent="0.3">
      <c r="A143" s="54"/>
      <c r="B143" s="41">
        <f t="shared" ref="B143:B206" si="19">B142+1</f>
        <v>132</v>
      </c>
      <c r="C143" s="52">
        <f t="shared" ref="C143:C156" si="20">IF(B143&gt;$G$5,0,M142)</f>
        <v>733907.31295111659</v>
      </c>
      <c r="E143" s="54">
        <f t="shared" ref="E143:E156" si="21">IF(B143&gt;$G$5,0,PMT($E$7,$G$5,$E$4))</f>
        <v>-6443.0140148550854</v>
      </c>
      <c r="F143" s="54"/>
      <c r="G143" s="54">
        <f t="shared" ref="G143:G156" si="22">IF(B143&lt;$G$5+1,-PPMT($E$7,B143,$G$5,$E$4),0)</f>
        <v>2773.4774500995068</v>
      </c>
      <c r="H143" s="54"/>
      <c r="I143" s="54">
        <f t="shared" ref="I143:I156" si="23">-IPMT($E$7,B143,$G$5,$E$4)</f>
        <v>3669.5365647555791</v>
      </c>
      <c r="J143" s="54"/>
      <c r="K143" s="54"/>
      <c r="L143" s="56">
        <f t="shared" ref="L143:L156" si="24">IFERROR(-I143/E143,"NA")</f>
        <v>0.56953726257541182</v>
      </c>
      <c r="M143" s="54">
        <f t="shared" ref="M143:M156" si="25">C143-G143</f>
        <v>731133.83550101705</v>
      </c>
    </row>
    <row r="144" spans="1:13" x14ac:dyDescent="0.3">
      <c r="A144" s="54"/>
      <c r="B144" s="41">
        <f t="shared" si="19"/>
        <v>133</v>
      </c>
      <c r="C144" s="52">
        <f t="shared" si="20"/>
        <v>731133.83550101705</v>
      </c>
      <c r="E144" s="54">
        <f t="shared" si="21"/>
        <v>-6443.0140148550854</v>
      </c>
      <c r="F144" s="54"/>
      <c r="G144" s="54">
        <f t="shared" si="22"/>
        <v>2787.3448373500037</v>
      </c>
      <c r="H144" s="54"/>
      <c r="I144" s="54">
        <f t="shared" si="23"/>
        <v>3655.6691775050817</v>
      </c>
      <c r="J144" s="54"/>
      <c r="K144" s="54"/>
      <c r="L144" s="56">
        <f t="shared" si="24"/>
        <v>0.56738494888828894</v>
      </c>
      <c r="M144" s="54">
        <f t="shared" si="25"/>
        <v>728346.49066366709</v>
      </c>
    </row>
    <row r="145" spans="1:13" x14ac:dyDescent="0.3">
      <c r="A145" s="54"/>
      <c r="B145" s="41">
        <f t="shared" si="19"/>
        <v>134</v>
      </c>
      <c r="C145" s="52">
        <f t="shared" si="20"/>
        <v>728346.49066366709</v>
      </c>
      <c r="E145" s="54">
        <f t="shared" si="21"/>
        <v>-6443.0140148550854</v>
      </c>
      <c r="F145" s="54"/>
      <c r="G145" s="54">
        <f t="shared" si="22"/>
        <v>2801.281561536754</v>
      </c>
      <c r="H145" s="54"/>
      <c r="I145" s="54">
        <f t="shared" si="23"/>
        <v>3641.7324533183319</v>
      </c>
      <c r="J145" s="54"/>
      <c r="K145" s="54"/>
      <c r="L145" s="56">
        <f t="shared" si="24"/>
        <v>0.56522187363273035</v>
      </c>
      <c r="M145" s="54">
        <f t="shared" si="25"/>
        <v>725545.20910213038</v>
      </c>
    </row>
    <row r="146" spans="1:13" x14ac:dyDescent="0.3">
      <c r="A146" s="54"/>
      <c r="B146" s="41">
        <f t="shared" si="19"/>
        <v>135</v>
      </c>
      <c r="C146" s="52">
        <f t="shared" si="20"/>
        <v>725545.20910213038</v>
      </c>
      <c r="E146" s="54">
        <f t="shared" si="21"/>
        <v>-6443.0140148550854</v>
      </c>
      <c r="F146" s="54"/>
      <c r="G146" s="54">
        <f t="shared" si="22"/>
        <v>2815.2879693444374</v>
      </c>
      <c r="H146" s="54"/>
      <c r="I146" s="54">
        <f t="shared" si="23"/>
        <v>3627.726045510648</v>
      </c>
      <c r="J146" s="54"/>
      <c r="K146" s="54"/>
      <c r="L146" s="56">
        <f t="shared" si="24"/>
        <v>0.56304798300089398</v>
      </c>
      <c r="M146" s="54">
        <f t="shared" si="25"/>
        <v>722729.92113278597</v>
      </c>
    </row>
    <row r="147" spans="1:13" x14ac:dyDescent="0.3">
      <c r="A147" s="54"/>
      <c r="B147" s="41">
        <f t="shared" si="19"/>
        <v>136</v>
      </c>
      <c r="C147" s="52">
        <f t="shared" si="20"/>
        <v>722729.92113278597</v>
      </c>
      <c r="E147" s="54">
        <f t="shared" si="21"/>
        <v>-6443.0140148550854</v>
      </c>
      <c r="F147" s="54"/>
      <c r="G147" s="54">
        <f t="shared" si="22"/>
        <v>2829.3644091911601</v>
      </c>
      <c r="H147" s="54"/>
      <c r="I147" s="54">
        <f t="shared" si="23"/>
        <v>3613.6496056639253</v>
      </c>
      <c r="J147" s="54"/>
      <c r="K147" s="54"/>
      <c r="L147" s="56">
        <f t="shared" si="24"/>
        <v>0.56086322291589841</v>
      </c>
      <c r="M147" s="54">
        <f t="shared" si="25"/>
        <v>719900.55672359478</v>
      </c>
    </row>
    <row r="148" spans="1:13" x14ac:dyDescent="0.3">
      <c r="A148" s="54"/>
      <c r="B148" s="41">
        <f t="shared" si="19"/>
        <v>137</v>
      </c>
      <c r="C148" s="52">
        <f t="shared" si="20"/>
        <v>719900.55672359478</v>
      </c>
      <c r="E148" s="54">
        <f t="shared" si="21"/>
        <v>-6443.0140148550854</v>
      </c>
      <c r="F148" s="54"/>
      <c r="G148" s="54">
        <f t="shared" si="22"/>
        <v>2843.5112312371161</v>
      </c>
      <c r="H148" s="54"/>
      <c r="I148" s="54">
        <f t="shared" si="23"/>
        <v>3599.5027836179697</v>
      </c>
      <c r="J148" s="54"/>
      <c r="K148" s="54"/>
      <c r="L148" s="56">
        <f t="shared" si="24"/>
        <v>0.55866753903047794</v>
      </c>
      <c r="M148" s="54">
        <f t="shared" si="25"/>
        <v>717057.04549235769</v>
      </c>
    </row>
    <row r="149" spans="1:13" x14ac:dyDescent="0.3">
      <c r="A149" s="54"/>
      <c r="B149" s="41">
        <f t="shared" si="19"/>
        <v>138</v>
      </c>
      <c r="C149" s="52">
        <f t="shared" si="20"/>
        <v>717057.04549235769</v>
      </c>
      <c r="E149" s="54">
        <f t="shared" si="21"/>
        <v>-6443.0140148550854</v>
      </c>
      <c r="F149" s="54"/>
      <c r="G149" s="54">
        <f t="shared" si="22"/>
        <v>2857.728787393301</v>
      </c>
      <c r="H149" s="54"/>
      <c r="I149" s="54">
        <f t="shared" si="23"/>
        <v>3585.2852274617835</v>
      </c>
      <c r="J149" s="54"/>
      <c r="K149" s="54"/>
      <c r="L149" s="56">
        <f t="shared" si="24"/>
        <v>0.55646087672563027</v>
      </c>
      <c r="M149" s="54">
        <f t="shared" si="25"/>
        <v>714199.31670496438</v>
      </c>
    </row>
    <row r="150" spans="1:13" x14ac:dyDescent="0.3">
      <c r="A150" s="54"/>
      <c r="B150" s="41">
        <f t="shared" si="19"/>
        <v>139</v>
      </c>
      <c r="C150" s="52">
        <f t="shared" si="20"/>
        <v>714199.31670496438</v>
      </c>
      <c r="E150" s="54">
        <f t="shared" si="21"/>
        <v>-6443.0140148550854</v>
      </c>
      <c r="F150" s="54"/>
      <c r="G150" s="54">
        <f t="shared" si="22"/>
        <v>2872.0174313302678</v>
      </c>
      <c r="H150" s="54"/>
      <c r="I150" s="54">
        <f t="shared" si="23"/>
        <v>3570.9965835248181</v>
      </c>
      <c r="J150" s="54"/>
      <c r="K150" s="54"/>
      <c r="L150" s="56">
        <f t="shared" si="24"/>
        <v>0.55424318110925852</v>
      </c>
      <c r="M150" s="54">
        <f t="shared" si="25"/>
        <v>711327.2992736341</v>
      </c>
    </row>
    <row r="151" spans="1:13" x14ac:dyDescent="0.3">
      <c r="A151" s="54"/>
      <c r="B151" s="41">
        <f t="shared" si="19"/>
        <v>140</v>
      </c>
      <c r="C151" s="52">
        <f t="shared" si="20"/>
        <v>711327.2992736341</v>
      </c>
      <c r="E151" s="54">
        <f t="shared" si="21"/>
        <v>-6443.0140148550854</v>
      </c>
      <c r="F151" s="54"/>
      <c r="G151" s="54">
        <f t="shared" si="22"/>
        <v>2886.3775184869191</v>
      </c>
      <c r="H151" s="54"/>
      <c r="I151" s="54">
        <f t="shared" si="23"/>
        <v>3556.6364963681663</v>
      </c>
      <c r="J151" s="54"/>
      <c r="K151" s="54"/>
      <c r="L151" s="56">
        <f t="shared" si="24"/>
        <v>0.5520143970148047</v>
      </c>
      <c r="M151" s="54">
        <f t="shared" si="25"/>
        <v>708440.92175514717</v>
      </c>
    </row>
    <row r="152" spans="1:13" x14ac:dyDescent="0.3">
      <c r="A152" s="54"/>
      <c r="B152" s="41">
        <f t="shared" si="19"/>
        <v>141</v>
      </c>
      <c r="C152" s="52">
        <f t="shared" si="20"/>
        <v>708440.92175514717</v>
      </c>
      <c r="E152" s="54">
        <f t="shared" si="21"/>
        <v>-6443.0140148550854</v>
      </c>
      <c r="F152" s="54"/>
      <c r="G152" s="54">
        <f t="shared" si="22"/>
        <v>2900.8094060793537</v>
      </c>
      <c r="H152" s="54"/>
      <c r="I152" s="54">
        <f t="shared" si="23"/>
        <v>3542.2046087757312</v>
      </c>
      <c r="J152" s="54"/>
      <c r="K152" s="54"/>
      <c r="L152" s="56">
        <f t="shared" si="24"/>
        <v>0.5497744689998787</v>
      </c>
      <c r="M152" s="54">
        <f t="shared" si="25"/>
        <v>705540.11234906781</v>
      </c>
    </row>
    <row r="153" spans="1:13" x14ac:dyDescent="0.3">
      <c r="A153" s="54"/>
      <c r="B153" s="41">
        <f t="shared" si="19"/>
        <v>142</v>
      </c>
      <c r="C153" s="52">
        <f t="shared" si="20"/>
        <v>705540.11234906781</v>
      </c>
      <c r="E153" s="54">
        <f t="shared" si="21"/>
        <v>-6443.0140148550854</v>
      </c>
      <c r="F153" s="54"/>
      <c r="G153" s="54">
        <f t="shared" si="22"/>
        <v>2915.3134531097512</v>
      </c>
      <c r="H153" s="54"/>
      <c r="I153" s="54">
        <f t="shared" si="23"/>
        <v>3527.7005617453347</v>
      </c>
      <c r="J153" s="54"/>
      <c r="K153" s="54"/>
      <c r="L153" s="56">
        <f t="shared" si="24"/>
        <v>0.54752334134487812</v>
      </c>
      <c r="M153" s="54">
        <f t="shared" si="25"/>
        <v>702624.79889595811</v>
      </c>
    </row>
    <row r="154" spans="1:13" x14ac:dyDescent="0.3">
      <c r="A154" s="54"/>
      <c r="B154" s="41">
        <f t="shared" si="19"/>
        <v>143</v>
      </c>
      <c r="C154" s="52">
        <f t="shared" si="20"/>
        <v>702624.79889595811</v>
      </c>
      <c r="E154" s="54">
        <f t="shared" si="21"/>
        <v>-6443.0140148550854</v>
      </c>
      <c r="F154" s="54"/>
      <c r="G154" s="54">
        <f t="shared" si="22"/>
        <v>2929.8900203752996</v>
      </c>
      <c r="H154" s="54"/>
      <c r="I154" s="54">
        <f t="shared" si="23"/>
        <v>3513.1239944797867</v>
      </c>
      <c r="J154" s="54"/>
      <c r="K154" s="54"/>
      <c r="L154" s="56">
        <f t="shared" si="24"/>
        <v>0.54526095805160268</v>
      </c>
      <c r="M154" s="54">
        <f t="shared" si="25"/>
        <v>699694.90887558286</v>
      </c>
    </row>
    <row r="155" spans="1:13" x14ac:dyDescent="0.3">
      <c r="A155" s="54"/>
      <c r="B155" s="41">
        <f t="shared" si="19"/>
        <v>144</v>
      </c>
      <c r="C155" s="52">
        <f t="shared" si="20"/>
        <v>699694.90887558286</v>
      </c>
      <c r="E155" s="54">
        <f t="shared" si="21"/>
        <v>-6443.0140148550854</v>
      </c>
      <c r="F155" s="54"/>
      <c r="G155" s="54">
        <f t="shared" si="22"/>
        <v>2944.5394704771757</v>
      </c>
      <c r="H155" s="54"/>
      <c r="I155" s="54">
        <f t="shared" si="23"/>
        <v>3498.4745443779098</v>
      </c>
      <c r="J155" s="54"/>
      <c r="K155" s="54"/>
      <c r="L155" s="56">
        <f t="shared" si="24"/>
        <v>0.54298726284186061</v>
      </c>
      <c r="M155" s="54">
        <f t="shared" si="25"/>
        <v>696750.36940510571</v>
      </c>
    </row>
    <row r="156" spans="1:13" x14ac:dyDescent="0.3">
      <c r="A156" s="54"/>
      <c r="B156" s="41">
        <f t="shared" si="19"/>
        <v>145</v>
      </c>
      <c r="C156" s="52">
        <f t="shared" si="20"/>
        <v>696750.36940510571</v>
      </c>
      <c r="E156" s="54">
        <f t="shared" si="21"/>
        <v>-6443.0140148550854</v>
      </c>
      <c r="F156" s="54"/>
      <c r="G156" s="54">
        <f t="shared" si="22"/>
        <v>2959.2621678295613</v>
      </c>
      <c r="H156" s="54"/>
      <c r="I156" s="54">
        <f t="shared" si="23"/>
        <v>3483.7518470255241</v>
      </c>
      <c r="J156" s="54"/>
      <c r="K156" s="54"/>
      <c r="L156" s="56">
        <f t="shared" si="24"/>
        <v>0.54070219915606987</v>
      </c>
      <c r="M156" s="54">
        <f t="shared" si="25"/>
        <v>693791.10723727616</v>
      </c>
    </row>
    <row r="157" spans="1:13" x14ac:dyDescent="0.3">
      <c r="A157" s="54"/>
      <c r="B157" s="41">
        <f t="shared" si="19"/>
        <v>146</v>
      </c>
      <c r="C157" s="52">
        <f t="shared" ref="C157:C220" si="26">IF(B157&gt;$G$5,0,M156)</f>
        <v>693791.10723727616</v>
      </c>
      <c r="E157" s="54">
        <f t="shared" ref="E157:E220" si="27">IF(B157&gt;$G$5,0,PMT($E$7,$G$5,$E$4))</f>
        <v>-6443.0140148550854</v>
      </c>
      <c r="F157" s="54"/>
      <c r="G157" s="54">
        <f t="shared" ref="G157:G220" si="28">IF(B157&lt;$G$5+1,-PPMT($E$7,B157,$G$5,$E$4),0)</f>
        <v>2974.0584786687095</v>
      </c>
      <c r="H157" s="54"/>
      <c r="I157" s="54">
        <f t="shared" ref="I157:I220" si="29">-IPMT($E$7,B157,$G$5,$E$4)</f>
        <v>3468.9555361863763</v>
      </c>
      <c r="J157" s="54"/>
      <c r="K157" s="54"/>
      <c r="L157" s="56">
        <f t="shared" ref="L157:L220" si="30">IFERROR(-I157/E157,"NA")</f>
        <v>0.53840571015185024</v>
      </c>
      <c r="M157" s="54">
        <f t="shared" ref="M157:M220" si="31">C157-G157</f>
        <v>690817.04875860747</v>
      </c>
    </row>
    <row r="158" spans="1:13" x14ac:dyDescent="0.3">
      <c r="A158" s="54"/>
      <c r="B158" s="41">
        <f t="shared" si="19"/>
        <v>147</v>
      </c>
      <c r="C158" s="52">
        <f t="shared" si="26"/>
        <v>690817.04875860747</v>
      </c>
      <c r="E158" s="54">
        <f t="shared" si="27"/>
        <v>-6443.0140148550854</v>
      </c>
      <c r="F158" s="54"/>
      <c r="G158" s="54">
        <f t="shared" si="28"/>
        <v>2988.9287710620533</v>
      </c>
      <c r="H158" s="54"/>
      <c r="I158" s="54">
        <f t="shared" si="29"/>
        <v>3454.0852437930321</v>
      </c>
      <c r="J158" s="54"/>
      <c r="K158" s="54"/>
      <c r="L158" s="56">
        <f t="shared" si="30"/>
        <v>0.53609773870260946</v>
      </c>
      <c r="M158" s="54">
        <f t="shared" si="31"/>
        <v>687828.11998754542</v>
      </c>
    </row>
    <row r="159" spans="1:13" x14ac:dyDescent="0.3">
      <c r="A159" s="54"/>
      <c r="B159" s="41">
        <f t="shared" si="19"/>
        <v>148</v>
      </c>
      <c r="C159" s="52">
        <f t="shared" si="26"/>
        <v>687828.11998754542</v>
      </c>
      <c r="E159" s="54">
        <f t="shared" si="27"/>
        <v>-6443.0140148550854</v>
      </c>
      <c r="F159" s="54"/>
      <c r="G159" s="54">
        <f t="shared" si="28"/>
        <v>3003.8734149173638</v>
      </c>
      <c r="H159" s="54"/>
      <c r="I159" s="54">
        <f t="shared" si="29"/>
        <v>3439.1405999377221</v>
      </c>
      <c r="J159" s="54"/>
      <c r="K159" s="54"/>
      <c r="L159" s="56">
        <f t="shared" si="30"/>
        <v>0.53377822739612246</v>
      </c>
      <c r="M159" s="54">
        <f t="shared" si="31"/>
        <v>684824.24657262804</v>
      </c>
    </row>
    <row r="160" spans="1:13" x14ac:dyDescent="0.3">
      <c r="A160" s="54"/>
      <c r="B160" s="41">
        <f t="shared" si="19"/>
        <v>149</v>
      </c>
      <c r="C160" s="52">
        <f t="shared" si="26"/>
        <v>684824.24657262804</v>
      </c>
      <c r="E160" s="54">
        <f t="shared" si="27"/>
        <v>-6443.0140148550854</v>
      </c>
      <c r="F160" s="54"/>
      <c r="G160" s="54">
        <f t="shared" si="28"/>
        <v>3018.8927819919504</v>
      </c>
      <c r="H160" s="54"/>
      <c r="I160" s="54">
        <f t="shared" si="29"/>
        <v>3424.121232863135</v>
      </c>
      <c r="J160" s="54"/>
      <c r="K160" s="54"/>
      <c r="L160" s="56">
        <f t="shared" si="30"/>
        <v>0.53144711853310311</v>
      </c>
      <c r="M160" s="54">
        <f t="shared" si="31"/>
        <v>681805.35379063606</v>
      </c>
    </row>
    <row r="161" spans="1:13" x14ac:dyDescent="0.3">
      <c r="A161" s="54"/>
      <c r="B161" s="41">
        <f t="shared" si="19"/>
        <v>150</v>
      </c>
      <c r="C161" s="52">
        <f t="shared" si="26"/>
        <v>681805.35379063606</v>
      </c>
      <c r="E161" s="54">
        <f t="shared" si="27"/>
        <v>-6443.0140148550854</v>
      </c>
      <c r="F161" s="54"/>
      <c r="G161" s="54">
        <f t="shared" si="28"/>
        <v>3033.9872459019102</v>
      </c>
      <c r="H161" s="54"/>
      <c r="I161" s="54">
        <f t="shared" si="29"/>
        <v>3409.0267689531752</v>
      </c>
      <c r="J161" s="54"/>
      <c r="K161" s="54"/>
      <c r="L161" s="56">
        <f t="shared" si="30"/>
        <v>0.52910435412576862</v>
      </c>
      <c r="M161" s="54">
        <f t="shared" si="31"/>
        <v>678771.3665447341</v>
      </c>
    </row>
    <row r="162" spans="1:13" x14ac:dyDescent="0.3">
      <c r="A162" s="54"/>
      <c r="B162" s="41">
        <f t="shared" si="19"/>
        <v>151</v>
      </c>
      <c r="C162" s="52">
        <f t="shared" si="26"/>
        <v>678771.3665447341</v>
      </c>
      <c r="E162" s="54">
        <f t="shared" si="27"/>
        <v>-6443.0140148550854</v>
      </c>
      <c r="F162" s="54"/>
      <c r="G162" s="54">
        <f t="shared" si="28"/>
        <v>3049.1571821314196</v>
      </c>
      <c r="H162" s="54"/>
      <c r="I162" s="54">
        <f t="shared" si="29"/>
        <v>3393.8568327236667</v>
      </c>
      <c r="J162" s="54"/>
      <c r="K162" s="54"/>
      <c r="L162" s="56">
        <f t="shared" si="30"/>
        <v>0.52674987589639755</v>
      </c>
      <c r="M162" s="54">
        <f t="shared" si="31"/>
        <v>675722.20936260268</v>
      </c>
    </row>
    <row r="163" spans="1:13" x14ac:dyDescent="0.3">
      <c r="A163" s="54"/>
      <c r="B163" s="41">
        <f t="shared" si="19"/>
        <v>152</v>
      </c>
      <c r="C163" s="52">
        <f t="shared" si="26"/>
        <v>675722.20936260268</v>
      </c>
      <c r="E163" s="54">
        <f t="shared" si="27"/>
        <v>-6443.0140148550854</v>
      </c>
      <c r="F163" s="54"/>
      <c r="G163" s="54">
        <f t="shared" si="28"/>
        <v>3064.4029680420767</v>
      </c>
      <c r="H163" s="54"/>
      <c r="I163" s="54">
        <f t="shared" si="29"/>
        <v>3378.6110468130087</v>
      </c>
      <c r="J163" s="54"/>
      <c r="K163" s="54"/>
      <c r="L163" s="56">
        <f t="shared" si="30"/>
        <v>0.52438362527587945</v>
      </c>
      <c r="M163" s="54">
        <f t="shared" si="31"/>
        <v>672657.80639456061</v>
      </c>
    </row>
    <row r="164" spans="1:13" x14ac:dyDescent="0.3">
      <c r="A164" s="54"/>
      <c r="B164" s="41">
        <f t="shared" si="19"/>
        <v>153</v>
      </c>
      <c r="C164" s="52">
        <f t="shared" si="26"/>
        <v>672657.80639456061</v>
      </c>
      <c r="E164" s="54">
        <f t="shared" si="27"/>
        <v>-6443.0140148550854</v>
      </c>
      <c r="F164" s="54"/>
      <c r="G164" s="54">
        <f t="shared" si="28"/>
        <v>3079.7249828822869</v>
      </c>
      <c r="H164" s="54"/>
      <c r="I164" s="54">
        <f t="shared" si="29"/>
        <v>3363.2890319727981</v>
      </c>
      <c r="J164" s="54"/>
      <c r="K164" s="54"/>
      <c r="L164" s="56">
        <f t="shared" si="30"/>
        <v>0.5220055434022588</v>
      </c>
      <c r="M164" s="54">
        <f t="shared" si="31"/>
        <v>669578.08141167834</v>
      </c>
    </row>
    <row r="165" spans="1:13" x14ac:dyDescent="0.3">
      <c r="A165" s="54"/>
      <c r="B165" s="41">
        <f t="shared" si="19"/>
        <v>154</v>
      </c>
      <c r="C165" s="52">
        <f t="shared" si="26"/>
        <v>669578.08141167834</v>
      </c>
      <c r="E165" s="54">
        <f t="shared" si="27"/>
        <v>-6443.0140148550854</v>
      </c>
      <c r="F165" s="54"/>
      <c r="G165" s="54">
        <f t="shared" si="28"/>
        <v>3095.1236077966983</v>
      </c>
      <c r="H165" s="54"/>
      <c r="I165" s="54">
        <f t="shared" si="29"/>
        <v>3347.8904070583872</v>
      </c>
      <c r="J165" s="54"/>
      <c r="K165" s="54"/>
      <c r="L165" s="56">
        <f t="shared" si="30"/>
        <v>0.51961557111927015</v>
      </c>
      <c r="M165" s="54">
        <f t="shared" si="31"/>
        <v>666482.95780388161</v>
      </c>
    </row>
    <row r="166" spans="1:13" x14ac:dyDescent="0.3">
      <c r="A166" s="54"/>
      <c r="B166" s="41">
        <f t="shared" si="19"/>
        <v>155</v>
      </c>
      <c r="C166" s="52">
        <f t="shared" si="26"/>
        <v>666482.95780388161</v>
      </c>
      <c r="E166" s="54">
        <f t="shared" si="27"/>
        <v>-6443.0140148550854</v>
      </c>
      <c r="F166" s="54"/>
      <c r="G166" s="54">
        <f t="shared" si="28"/>
        <v>3110.5992258356819</v>
      </c>
      <c r="H166" s="54"/>
      <c r="I166" s="54">
        <f t="shared" si="29"/>
        <v>3332.4147890194031</v>
      </c>
      <c r="J166" s="54"/>
      <c r="K166" s="54"/>
      <c r="L166" s="56">
        <f t="shared" si="30"/>
        <v>0.51721364897486644</v>
      </c>
      <c r="M166" s="54">
        <f t="shared" si="31"/>
        <v>663372.35857804597</v>
      </c>
    </row>
    <row r="167" spans="1:13" x14ac:dyDescent="0.3">
      <c r="A167" s="54"/>
      <c r="B167" s="41">
        <f t="shared" si="19"/>
        <v>156</v>
      </c>
      <c r="C167" s="52">
        <f t="shared" si="26"/>
        <v>663372.35857804597</v>
      </c>
      <c r="E167" s="54">
        <f t="shared" si="27"/>
        <v>-6443.0140148550854</v>
      </c>
      <c r="F167" s="54"/>
      <c r="G167" s="54">
        <f t="shared" si="28"/>
        <v>3126.1522219648605</v>
      </c>
      <c r="H167" s="54"/>
      <c r="I167" s="54">
        <f t="shared" si="29"/>
        <v>3316.8617928902258</v>
      </c>
      <c r="J167" s="54"/>
      <c r="K167" s="54"/>
      <c r="L167" s="56">
        <f t="shared" si="30"/>
        <v>0.51479971721974094</v>
      </c>
      <c r="M167" s="54">
        <f t="shared" si="31"/>
        <v>660246.20635608106</v>
      </c>
    </row>
    <row r="168" spans="1:13" x14ac:dyDescent="0.3">
      <c r="A168" s="54"/>
      <c r="B168" s="41">
        <f t="shared" si="19"/>
        <v>157</v>
      </c>
      <c r="C168" s="52">
        <f t="shared" si="26"/>
        <v>660246.20635608106</v>
      </c>
      <c r="E168" s="54">
        <f t="shared" si="27"/>
        <v>-6443.0140148550854</v>
      </c>
      <c r="F168" s="54"/>
      <c r="G168" s="54">
        <f t="shared" si="28"/>
        <v>3141.782983074685</v>
      </c>
      <c r="H168" s="54"/>
      <c r="I168" s="54">
        <f t="shared" si="29"/>
        <v>3301.2310317804008</v>
      </c>
      <c r="J168" s="54"/>
      <c r="K168" s="54"/>
      <c r="L168" s="56">
        <f t="shared" si="30"/>
        <v>0.51237371580583957</v>
      </c>
      <c r="M168" s="54">
        <f t="shared" si="31"/>
        <v>657104.4233730064</v>
      </c>
    </row>
    <row r="169" spans="1:13" x14ac:dyDescent="0.3">
      <c r="A169" s="54"/>
      <c r="B169" s="41">
        <f t="shared" si="19"/>
        <v>158</v>
      </c>
      <c r="C169" s="52">
        <f t="shared" si="26"/>
        <v>657104.4233730064</v>
      </c>
      <c r="E169" s="54">
        <f t="shared" si="27"/>
        <v>-6443.0140148550854</v>
      </c>
      <c r="F169" s="54"/>
      <c r="G169" s="54">
        <f t="shared" si="28"/>
        <v>3157.4918979900581</v>
      </c>
      <c r="H169" s="54"/>
      <c r="I169" s="54">
        <f t="shared" si="29"/>
        <v>3285.5221168650273</v>
      </c>
      <c r="J169" s="54"/>
      <c r="K169" s="54"/>
      <c r="L169" s="56">
        <f t="shared" si="30"/>
        <v>0.50993558438486875</v>
      </c>
      <c r="M169" s="54">
        <f t="shared" si="31"/>
        <v>653946.93147501629</v>
      </c>
    </row>
    <row r="170" spans="1:13" x14ac:dyDescent="0.3">
      <c r="A170" s="54"/>
      <c r="B170" s="41">
        <f t="shared" si="19"/>
        <v>159</v>
      </c>
      <c r="C170" s="52">
        <f t="shared" si="26"/>
        <v>653946.93147501629</v>
      </c>
      <c r="E170" s="54">
        <f t="shared" si="27"/>
        <v>-6443.0140148550854</v>
      </c>
      <c r="F170" s="54"/>
      <c r="G170" s="54">
        <f t="shared" si="28"/>
        <v>3173.2793574800089</v>
      </c>
      <c r="H170" s="54"/>
      <c r="I170" s="54">
        <f t="shared" si="29"/>
        <v>3269.7346573750774</v>
      </c>
      <c r="J170" s="54"/>
      <c r="K170" s="54"/>
      <c r="L170" s="56">
        <f t="shared" si="30"/>
        <v>0.50748526230679314</v>
      </c>
      <c r="M170" s="54">
        <f t="shared" si="31"/>
        <v>650773.65211753629</v>
      </c>
    </row>
    <row r="171" spans="1:13" x14ac:dyDescent="0.3">
      <c r="A171" s="54"/>
      <c r="B171" s="41">
        <f t="shared" si="19"/>
        <v>160</v>
      </c>
      <c r="C171" s="52">
        <f t="shared" si="26"/>
        <v>650773.65211753629</v>
      </c>
      <c r="E171" s="54">
        <f t="shared" si="27"/>
        <v>-6443.0140148550854</v>
      </c>
      <c r="F171" s="54"/>
      <c r="G171" s="54">
        <f t="shared" si="28"/>
        <v>3189.1457542674088</v>
      </c>
      <c r="H171" s="54"/>
      <c r="I171" s="54">
        <f t="shared" si="29"/>
        <v>3253.8682605876775</v>
      </c>
      <c r="J171" s="54"/>
      <c r="K171" s="54"/>
      <c r="L171" s="56">
        <f t="shared" si="30"/>
        <v>0.50502268861832711</v>
      </c>
      <c r="M171" s="54">
        <f t="shared" si="31"/>
        <v>647584.50636326883</v>
      </c>
    </row>
    <row r="172" spans="1:13" x14ac:dyDescent="0.3">
      <c r="A172" s="54"/>
      <c r="B172" s="41">
        <f t="shared" si="19"/>
        <v>161</v>
      </c>
      <c r="C172" s="52">
        <f t="shared" si="26"/>
        <v>647584.50636326883</v>
      </c>
      <c r="E172" s="54">
        <f t="shared" si="27"/>
        <v>-6443.0140148550854</v>
      </c>
      <c r="F172" s="54"/>
      <c r="G172" s="54">
        <f t="shared" si="28"/>
        <v>3205.0914830387455</v>
      </c>
      <c r="H172" s="54"/>
      <c r="I172" s="54">
        <f t="shared" si="29"/>
        <v>3237.9225318163403</v>
      </c>
      <c r="J172" s="54"/>
      <c r="K172" s="54"/>
      <c r="L172" s="56">
        <f t="shared" si="30"/>
        <v>0.50254780206141869</v>
      </c>
      <c r="M172" s="54">
        <f t="shared" si="31"/>
        <v>644379.41488023009</v>
      </c>
    </row>
    <row r="173" spans="1:13" x14ac:dyDescent="0.3">
      <c r="A173" s="54"/>
      <c r="B173" s="41">
        <f t="shared" si="19"/>
        <v>162</v>
      </c>
      <c r="C173" s="52">
        <f t="shared" si="26"/>
        <v>644379.41488023009</v>
      </c>
      <c r="E173" s="54">
        <f t="shared" si="27"/>
        <v>-6443.0140148550854</v>
      </c>
      <c r="F173" s="54"/>
      <c r="G173" s="54">
        <f t="shared" si="28"/>
        <v>3221.1169404539392</v>
      </c>
      <c r="H173" s="54"/>
      <c r="I173" s="54">
        <f t="shared" si="29"/>
        <v>3221.8970744011463</v>
      </c>
      <c r="J173" s="54"/>
      <c r="K173" s="54"/>
      <c r="L173" s="56">
        <f t="shared" si="30"/>
        <v>0.50006054107172582</v>
      </c>
      <c r="M173" s="54">
        <f t="shared" si="31"/>
        <v>641158.29793977621</v>
      </c>
    </row>
    <row r="174" spans="1:13" x14ac:dyDescent="0.3">
      <c r="A174" s="54"/>
      <c r="B174" s="41">
        <f t="shared" si="19"/>
        <v>163</v>
      </c>
      <c r="C174" s="52">
        <f t="shared" si="26"/>
        <v>641158.29793977621</v>
      </c>
      <c r="E174" s="54">
        <f t="shared" si="27"/>
        <v>-6443.0140148550854</v>
      </c>
      <c r="F174" s="54"/>
      <c r="G174" s="54">
        <f t="shared" si="28"/>
        <v>3237.222525156209</v>
      </c>
      <c r="H174" s="54"/>
      <c r="I174" s="54">
        <f t="shared" si="29"/>
        <v>3205.7914896988759</v>
      </c>
      <c r="J174" s="54"/>
      <c r="K174" s="54"/>
      <c r="L174" s="56">
        <f t="shared" si="30"/>
        <v>0.49756084377708432</v>
      </c>
      <c r="M174" s="54">
        <f t="shared" si="31"/>
        <v>637921.07541461999</v>
      </c>
    </row>
    <row r="175" spans="1:13" x14ac:dyDescent="0.3">
      <c r="A175" s="54"/>
      <c r="B175" s="41">
        <f t="shared" si="19"/>
        <v>164</v>
      </c>
      <c r="C175" s="52">
        <f t="shared" si="26"/>
        <v>637921.07541461999</v>
      </c>
      <c r="E175" s="54">
        <f t="shared" si="27"/>
        <v>-6443.0140148550854</v>
      </c>
      <c r="F175" s="54"/>
      <c r="G175" s="54">
        <f t="shared" si="28"/>
        <v>3253.4086377819904</v>
      </c>
      <c r="H175" s="54"/>
      <c r="I175" s="54">
        <f t="shared" si="29"/>
        <v>3189.6053770730955</v>
      </c>
      <c r="J175" s="54"/>
      <c r="K175" s="54"/>
      <c r="L175" s="56">
        <f t="shared" si="30"/>
        <v>0.49504864799596981</v>
      </c>
      <c r="M175" s="54">
        <f t="shared" si="31"/>
        <v>634667.66677683801</v>
      </c>
    </row>
    <row r="176" spans="1:13" x14ac:dyDescent="0.3">
      <c r="A176" s="54"/>
      <c r="B176" s="41">
        <f t="shared" si="19"/>
        <v>165</v>
      </c>
      <c r="C176" s="52">
        <f t="shared" si="26"/>
        <v>634667.66677683801</v>
      </c>
      <c r="E176" s="54">
        <f t="shared" si="27"/>
        <v>-6443.0140148550854</v>
      </c>
      <c r="F176" s="54"/>
      <c r="G176" s="54">
        <f t="shared" si="28"/>
        <v>3269.6756809709</v>
      </c>
      <c r="H176" s="54"/>
      <c r="I176" s="54">
        <f t="shared" si="29"/>
        <v>3173.338333884185</v>
      </c>
      <c r="J176" s="54"/>
      <c r="K176" s="54"/>
      <c r="L176" s="56">
        <f t="shared" si="30"/>
        <v>0.49252389123594958</v>
      </c>
      <c r="M176" s="54">
        <f t="shared" si="31"/>
        <v>631397.99109586712</v>
      </c>
    </row>
    <row r="177" spans="1:13" x14ac:dyDescent="0.3">
      <c r="A177" s="54"/>
      <c r="B177" s="41">
        <f t="shared" si="19"/>
        <v>166</v>
      </c>
      <c r="C177" s="52">
        <f t="shared" si="26"/>
        <v>631397.99109586712</v>
      </c>
      <c r="E177" s="54">
        <f t="shared" si="27"/>
        <v>-6443.0140148550854</v>
      </c>
      <c r="F177" s="54"/>
      <c r="G177" s="54">
        <f t="shared" si="28"/>
        <v>3286.0240593757544</v>
      </c>
      <c r="H177" s="54"/>
      <c r="I177" s="54">
        <f t="shared" si="29"/>
        <v>3156.989955479331</v>
      </c>
      <c r="J177" s="54"/>
      <c r="K177" s="54"/>
      <c r="L177" s="56">
        <f t="shared" si="30"/>
        <v>0.4899865106921294</v>
      </c>
      <c r="M177" s="54">
        <f t="shared" si="31"/>
        <v>628111.96703649138</v>
      </c>
    </row>
    <row r="178" spans="1:13" x14ac:dyDescent="0.3">
      <c r="A178" s="54"/>
      <c r="B178" s="41">
        <f t="shared" si="19"/>
        <v>167</v>
      </c>
      <c r="C178" s="52">
        <f t="shared" si="26"/>
        <v>628111.96703649138</v>
      </c>
      <c r="E178" s="54">
        <f t="shared" si="27"/>
        <v>-6443.0140148550854</v>
      </c>
      <c r="F178" s="54"/>
      <c r="G178" s="54">
        <f t="shared" si="28"/>
        <v>3302.4541796726339</v>
      </c>
      <c r="H178" s="54"/>
      <c r="I178" s="54">
        <f t="shared" si="29"/>
        <v>3140.5598351824524</v>
      </c>
      <c r="J178" s="54"/>
      <c r="K178" s="54"/>
      <c r="L178" s="56">
        <f t="shared" si="30"/>
        <v>0.4874364432455901</v>
      </c>
      <c r="M178" s="54">
        <f t="shared" si="31"/>
        <v>624809.51285681874</v>
      </c>
    </row>
    <row r="179" spans="1:13" x14ac:dyDescent="0.3">
      <c r="A179" s="54"/>
      <c r="B179" s="41">
        <f t="shared" si="19"/>
        <v>168</v>
      </c>
      <c r="C179" s="52">
        <f t="shared" si="26"/>
        <v>624809.51285681874</v>
      </c>
      <c r="E179" s="54">
        <f t="shared" si="27"/>
        <v>-6443.0140148550854</v>
      </c>
      <c r="F179" s="54"/>
      <c r="G179" s="54">
        <f t="shared" si="28"/>
        <v>3318.9664505709966</v>
      </c>
      <c r="H179" s="54"/>
      <c r="I179" s="54">
        <f t="shared" si="29"/>
        <v>3124.0475642840897</v>
      </c>
      <c r="J179" s="54"/>
      <c r="K179" s="54"/>
      <c r="L179" s="56">
        <f t="shared" si="30"/>
        <v>0.48487362546181811</v>
      </c>
      <c r="M179" s="54">
        <f t="shared" si="31"/>
        <v>621490.54640624777</v>
      </c>
    </row>
    <row r="180" spans="1:13" x14ac:dyDescent="0.3">
      <c r="A180" s="54"/>
      <c r="B180" s="41">
        <f t="shared" si="19"/>
        <v>169</v>
      </c>
      <c r="C180" s="52">
        <f t="shared" si="26"/>
        <v>621490.54640624777</v>
      </c>
      <c r="E180" s="54">
        <f t="shared" si="27"/>
        <v>-6443.0140148550854</v>
      </c>
      <c r="F180" s="54"/>
      <c r="G180" s="54">
        <f t="shared" si="28"/>
        <v>3335.5612828238509</v>
      </c>
      <c r="H180" s="54"/>
      <c r="I180" s="54">
        <f t="shared" si="29"/>
        <v>3107.4527320312341</v>
      </c>
      <c r="J180" s="54"/>
      <c r="K180" s="54"/>
      <c r="L180" s="56">
        <f t="shared" si="30"/>
        <v>0.48229799358912712</v>
      </c>
      <c r="M180" s="54">
        <f t="shared" si="31"/>
        <v>618154.98512342398</v>
      </c>
    </row>
    <row r="181" spans="1:13" x14ac:dyDescent="0.3">
      <c r="A181" s="54"/>
      <c r="B181" s="41">
        <f t="shared" si="19"/>
        <v>170</v>
      </c>
      <c r="C181" s="52">
        <f t="shared" si="26"/>
        <v>618154.98512342398</v>
      </c>
      <c r="E181" s="54">
        <f t="shared" si="27"/>
        <v>-6443.0140148550854</v>
      </c>
      <c r="F181" s="54"/>
      <c r="G181" s="54">
        <f t="shared" si="28"/>
        <v>3352.2390892379703</v>
      </c>
      <c r="H181" s="54"/>
      <c r="I181" s="54">
        <f t="shared" si="29"/>
        <v>3090.7749256171155</v>
      </c>
      <c r="J181" s="54"/>
      <c r="K181" s="54"/>
      <c r="L181" s="56">
        <f t="shared" si="30"/>
        <v>0.47970948355707282</v>
      </c>
      <c r="M181" s="54">
        <f t="shared" si="31"/>
        <v>614802.74603418598</v>
      </c>
    </row>
    <row r="182" spans="1:13" x14ac:dyDescent="0.3">
      <c r="A182" s="54"/>
      <c r="B182" s="41">
        <f t="shared" si="19"/>
        <v>171</v>
      </c>
      <c r="C182" s="52">
        <f t="shared" si="26"/>
        <v>614802.74603418598</v>
      </c>
      <c r="E182" s="54">
        <f t="shared" si="27"/>
        <v>-6443.0140148550854</v>
      </c>
      <c r="F182" s="54"/>
      <c r="G182" s="54">
        <f t="shared" si="28"/>
        <v>3369.0002846841608</v>
      </c>
      <c r="H182" s="54"/>
      <c r="I182" s="54">
        <f t="shared" si="29"/>
        <v>3074.0137301709246</v>
      </c>
      <c r="J182" s="54"/>
      <c r="K182" s="54"/>
      <c r="L182" s="56">
        <f t="shared" si="30"/>
        <v>0.47710803097485804</v>
      </c>
      <c r="M182" s="54">
        <f t="shared" si="31"/>
        <v>611433.74574950186</v>
      </c>
    </row>
    <row r="183" spans="1:13" x14ac:dyDescent="0.3">
      <c r="A183" s="54"/>
      <c r="B183" s="41">
        <f t="shared" si="19"/>
        <v>172</v>
      </c>
      <c r="C183" s="52">
        <f t="shared" si="26"/>
        <v>611433.74574950186</v>
      </c>
      <c r="E183" s="54">
        <f t="shared" si="27"/>
        <v>-6443.0140148550854</v>
      </c>
      <c r="F183" s="54"/>
      <c r="G183" s="54">
        <f t="shared" si="28"/>
        <v>3385.8452861075807</v>
      </c>
      <c r="H183" s="54"/>
      <c r="I183" s="54">
        <f t="shared" si="29"/>
        <v>3057.1687287475042</v>
      </c>
      <c r="J183" s="54"/>
      <c r="K183" s="54"/>
      <c r="L183" s="56">
        <f t="shared" si="30"/>
        <v>0.47449357112973239</v>
      </c>
      <c r="M183" s="54">
        <f t="shared" si="31"/>
        <v>608047.90046339424</v>
      </c>
    </row>
    <row r="184" spans="1:13" x14ac:dyDescent="0.3">
      <c r="A184" s="54"/>
      <c r="B184" s="41">
        <f t="shared" si="19"/>
        <v>173</v>
      </c>
      <c r="C184" s="52">
        <f t="shared" si="26"/>
        <v>608047.90046339424</v>
      </c>
      <c r="E184" s="54">
        <f t="shared" si="27"/>
        <v>-6443.0140148550854</v>
      </c>
      <c r="F184" s="54"/>
      <c r="G184" s="54">
        <f t="shared" si="28"/>
        <v>3402.7745125381193</v>
      </c>
      <c r="H184" s="54"/>
      <c r="I184" s="54">
        <f t="shared" si="29"/>
        <v>3040.2395023169661</v>
      </c>
      <c r="J184" s="54"/>
      <c r="K184" s="54"/>
      <c r="L184" s="56">
        <f t="shared" si="30"/>
        <v>0.47186603898538104</v>
      </c>
      <c r="M184" s="54">
        <f t="shared" si="31"/>
        <v>604645.12595085613</v>
      </c>
    </row>
    <row r="185" spans="1:13" x14ac:dyDescent="0.3">
      <c r="A185" s="54"/>
      <c r="B185" s="41">
        <f t="shared" si="19"/>
        <v>174</v>
      </c>
      <c r="C185" s="52">
        <f t="shared" si="26"/>
        <v>604645.12595085613</v>
      </c>
      <c r="E185" s="54">
        <f t="shared" si="27"/>
        <v>-6443.0140148550854</v>
      </c>
      <c r="F185" s="54"/>
      <c r="G185" s="54">
        <f t="shared" si="28"/>
        <v>3419.7883851008096</v>
      </c>
      <c r="H185" s="54"/>
      <c r="I185" s="54">
        <f t="shared" si="29"/>
        <v>3023.2256297542754</v>
      </c>
      <c r="J185" s="54"/>
      <c r="K185" s="54"/>
      <c r="L185" s="56">
        <f t="shared" si="30"/>
        <v>0.46922536918030794</v>
      </c>
      <c r="M185" s="54">
        <f t="shared" si="31"/>
        <v>601225.33756575536</v>
      </c>
    </row>
    <row r="186" spans="1:13" x14ac:dyDescent="0.3">
      <c r="A186" s="54"/>
      <c r="B186" s="41">
        <f t="shared" si="19"/>
        <v>175</v>
      </c>
      <c r="C186" s="52">
        <f t="shared" si="26"/>
        <v>601225.33756575536</v>
      </c>
      <c r="E186" s="54">
        <f t="shared" si="27"/>
        <v>-6443.0140148550854</v>
      </c>
      <c r="F186" s="54"/>
      <c r="G186" s="54">
        <f t="shared" si="28"/>
        <v>3436.8873270263139</v>
      </c>
      <c r="H186" s="54"/>
      <c r="I186" s="54">
        <f t="shared" si="29"/>
        <v>3006.1266878287715</v>
      </c>
      <c r="J186" s="54"/>
      <c r="K186" s="54"/>
      <c r="L186" s="56">
        <f t="shared" si="30"/>
        <v>0.46657149602620951</v>
      </c>
      <c r="M186" s="54">
        <f t="shared" si="31"/>
        <v>597788.45023872901</v>
      </c>
    </row>
    <row r="187" spans="1:13" x14ac:dyDescent="0.3">
      <c r="A187" s="54"/>
      <c r="B187" s="41">
        <f t="shared" si="19"/>
        <v>176</v>
      </c>
      <c r="C187" s="52">
        <f t="shared" si="26"/>
        <v>597788.45023872901</v>
      </c>
      <c r="E187" s="54">
        <f t="shared" si="27"/>
        <v>-6443.0140148550854</v>
      </c>
      <c r="F187" s="54"/>
      <c r="G187" s="54">
        <f t="shared" si="28"/>
        <v>3454.0717636614459</v>
      </c>
      <c r="H187" s="54"/>
      <c r="I187" s="54">
        <f t="shared" si="29"/>
        <v>2988.94225119364</v>
      </c>
      <c r="J187" s="54"/>
      <c r="K187" s="54"/>
      <c r="L187" s="56">
        <f t="shared" si="30"/>
        <v>0.46390435350634052</v>
      </c>
      <c r="M187" s="54">
        <f t="shared" si="31"/>
        <v>594334.37847506755</v>
      </c>
    </row>
    <row r="188" spans="1:13" x14ac:dyDescent="0.3">
      <c r="A188" s="54"/>
      <c r="B188" s="41">
        <f t="shared" si="19"/>
        <v>177</v>
      </c>
      <c r="C188" s="52">
        <f t="shared" si="26"/>
        <v>594334.37847506755</v>
      </c>
      <c r="E188" s="54">
        <f t="shared" si="27"/>
        <v>-6443.0140148550854</v>
      </c>
      <c r="F188" s="54"/>
      <c r="G188" s="54">
        <f t="shared" si="28"/>
        <v>3471.342122479753</v>
      </c>
      <c r="H188" s="54"/>
      <c r="I188" s="54">
        <f t="shared" si="29"/>
        <v>2971.6718923753324</v>
      </c>
      <c r="J188" s="54"/>
      <c r="K188" s="54"/>
      <c r="L188" s="56">
        <f t="shared" si="30"/>
        <v>0.46122387527387221</v>
      </c>
      <c r="M188" s="54">
        <f t="shared" si="31"/>
        <v>590863.03635258775</v>
      </c>
    </row>
    <row r="189" spans="1:13" x14ac:dyDescent="0.3">
      <c r="A189" s="54"/>
      <c r="B189" s="41">
        <f t="shared" si="19"/>
        <v>178</v>
      </c>
      <c r="C189" s="52">
        <f t="shared" si="26"/>
        <v>590863.03635258775</v>
      </c>
      <c r="E189" s="54">
        <f t="shared" si="27"/>
        <v>-6443.0140148550854</v>
      </c>
      <c r="F189" s="54"/>
      <c r="G189" s="54">
        <f t="shared" si="28"/>
        <v>3488.6988330921513</v>
      </c>
      <c r="H189" s="54"/>
      <c r="I189" s="54">
        <f t="shared" si="29"/>
        <v>2954.3151817629341</v>
      </c>
      <c r="J189" s="54"/>
      <c r="K189" s="54"/>
      <c r="L189" s="56">
        <f t="shared" si="30"/>
        <v>0.45852999465024163</v>
      </c>
      <c r="M189" s="54">
        <f t="shared" si="31"/>
        <v>587374.33751949563</v>
      </c>
    </row>
    <row r="190" spans="1:13" x14ac:dyDescent="0.3">
      <c r="A190" s="54"/>
      <c r="B190" s="41">
        <f t="shared" si="19"/>
        <v>179</v>
      </c>
      <c r="C190" s="52">
        <f t="shared" si="26"/>
        <v>587374.33751949563</v>
      </c>
      <c r="E190" s="54">
        <f t="shared" si="27"/>
        <v>-6443.0140148550854</v>
      </c>
      <c r="F190" s="54"/>
      <c r="G190" s="54">
        <f t="shared" si="28"/>
        <v>3506.1423272576121</v>
      </c>
      <c r="H190" s="54"/>
      <c r="I190" s="54">
        <f t="shared" si="29"/>
        <v>2936.8716875974737</v>
      </c>
      <c r="J190" s="54"/>
      <c r="K190" s="54"/>
      <c r="L190" s="56">
        <f t="shared" si="30"/>
        <v>0.45582264462349287</v>
      </c>
      <c r="M190" s="54">
        <f t="shared" si="31"/>
        <v>583868.19519223797</v>
      </c>
    </row>
    <row r="191" spans="1:13" x14ac:dyDescent="0.3">
      <c r="A191" s="54"/>
      <c r="B191" s="41">
        <f t="shared" si="19"/>
        <v>180</v>
      </c>
      <c r="C191" s="52">
        <f t="shared" si="26"/>
        <v>583868.19519223797</v>
      </c>
      <c r="E191" s="54">
        <f t="shared" si="27"/>
        <v>-6443.0140148550854</v>
      </c>
      <c r="F191" s="54"/>
      <c r="G191" s="54">
        <f t="shared" si="28"/>
        <v>3523.6730388938995</v>
      </c>
      <c r="H191" s="54"/>
      <c r="I191" s="54">
        <f t="shared" si="29"/>
        <v>2919.3409759611859</v>
      </c>
      <c r="J191" s="54"/>
      <c r="K191" s="54"/>
      <c r="L191" s="56">
        <f t="shared" si="30"/>
        <v>0.45310175784661039</v>
      </c>
      <c r="M191" s="54">
        <f t="shared" si="31"/>
        <v>580344.52215334412</v>
      </c>
    </row>
    <row r="192" spans="1:13" x14ac:dyDescent="0.3">
      <c r="A192" s="54"/>
      <c r="B192" s="41">
        <f t="shared" si="19"/>
        <v>181</v>
      </c>
      <c r="C192" s="52">
        <f t="shared" si="26"/>
        <v>580344.52215334412</v>
      </c>
      <c r="E192" s="54">
        <f t="shared" si="27"/>
        <v>-6443.0140148550854</v>
      </c>
      <c r="F192" s="54"/>
      <c r="G192" s="54">
        <f t="shared" si="28"/>
        <v>3541.2914040883697</v>
      </c>
      <c r="H192" s="54"/>
      <c r="I192" s="54">
        <f t="shared" si="29"/>
        <v>2901.7226107667161</v>
      </c>
      <c r="J192" s="54"/>
      <c r="K192" s="54"/>
      <c r="L192" s="56">
        <f t="shared" si="30"/>
        <v>0.45036726663584342</v>
      </c>
      <c r="M192" s="54">
        <f t="shared" si="31"/>
        <v>576803.23074925574</v>
      </c>
    </row>
    <row r="193" spans="1:13" x14ac:dyDescent="0.3">
      <c r="A193" s="54"/>
      <c r="B193" s="41">
        <f t="shared" si="19"/>
        <v>182</v>
      </c>
      <c r="C193" s="52">
        <f t="shared" si="26"/>
        <v>576803.23074925574</v>
      </c>
      <c r="E193" s="54">
        <f t="shared" si="27"/>
        <v>-6443.0140148550854</v>
      </c>
      <c r="F193" s="54"/>
      <c r="G193" s="54">
        <f t="shared" si="28"/>
        <v>3558.9978611088118</v>
      </c>
      <c r="H193" s="54"/>
      <c r="I193" s="54">
        <f t="shared" si="29"/>
        <v>2884.0161537462745</v>
      </c>
      <c r="J193" s="54"/>
      <c r="K193" s="54"/>
      <c r="L193" s="56">
        <f t="shared" si="30"/>
        <v>0.44761910296902263</v>
      </c>
      <c r="M193" s="54">
        <f t="shared" si="31"/>
        <v>573244.23288814689</v>
      </c>
    </row>
    <row r="194" spans="1:13" x14ac:dyDescent="0.3">
      <c r="A194" s="54"/>
      <c r="B194" s="41">
        <f t="shared" si="19"/>
        <v>183</v>
      </c>
      <c r="C194" s="52">
        <f t="shared" si="26"/>
        <v>573244.23288814689</v>
      </c>
      <c r="E194" s="54">
        <f t="shared" si="27"/>
        <v>-6443.0140148550854</v>
      </c>
      <c r="F194" s="54"/>
      <c r="G194" s="54">
        <f t="shared" si="28"/>
        <v>3576.7928504143556</v>
      </c>
      <c r="H194" s="54"/>
      <c r="I194" s="54">
        <f t="shared" si="29"/>
        <v>2866.2211644407298</v>
      </c>
      <c r="J194" s="54"/>
      <c r="K194" s="54"/>
      <c r="L194" s="56">
        <f t="shared" si="30"/>
        <v>0.44485719848386768</v>
      </c>
      <c r="M194" s="54">
        <f t="shared" si="31"/>
        <v>569667.44003773248</v>
      </c>
    </row>
    <row r="195" spans="1:13" x14ac:dyDescent="0.3">
      <c r="A195" s="54"/>
      <c r="B195" s="41">
        <f t="shared" si="19"/>
        <v>184</v>
      </c>
      <c r="C195" s="52">
        <f t="shared" si="26"/>
        <v>569667.44003773248</v>
      </c>
      <c r="E195" s="54">
        <f t="shared" si="27"/>
        <v>-6443.0140148550854</v>
      </c>
      <c r="F195" s="54"/>
      <c r="G195" s="54">
        <f t="shared" si="28"/>
        <v>3594.6768146664272</v>
      </c>
      <c r="H195" s="54"/>
      <c r="I195" s="54">
        <f t="shared" si="29"/>
        <v>2848.3372001886578</v>
      </c>
      <c r="J195" s="54"/>
      <c r="K195" s="54"/>
      <c r="L195" s="56">
        <f t="shared" si="30"/>
        <v>0.44208148447628698</v>
      </c>
      <c r="M195" s="54">
        <f t="shared" si="31"/>
        <v>566072.76322306599</v>
      </c>
    </row>
    <row r="196" spans="1:13" x14ac:dyDescent="0.3">
      <c r="A196" s="54"/>
      <c r="B196" s="41">
        <f t="shared" si="19"/>
        <v>185</v>
      </c>
      <c r="C196" s="52">
        <f t="shared" si="26"/>
        <v>566072.76322306599</v>
      </c>
      <c r="E196" s="54">
        <f t="shared" si="27"/>
        <v>-6443.0140148550854</v>
      </c>
      <c r="F196" s="54"/>
      <c r="G196" s="54">
        <f t="shared" si="28"/>
        <v>3612.6501987397596</v>
      </c>
      <c r="H196" s="54"/>
      <c r="I196" s="54">
        <f t="shared" si="29"/>
        <v>2830.3638161153267</v>
      </c>
      <c r="J196" s="54"/>
      <c r="K196" s="54"/>
      <c r="L196" s="56">
        <f t="shared" si="30"/>
        <v>0.43929189189866857</v>
      </c>
      <c r="M196" s="54">
        <f t="shared" si="31"/>
        <v>562460.11302432627</v>
      </c>
    </row>
    <row r="197" spans="1:13" x14ac:dyDescent="0.3">
      <c r="A197" s="54"/>
      <c r="B197" s="41">
        <f t="shared" si="19"/>
        <v>186</v>
      </c>
      <c r="C197" s="52">
        <f t="shared" si="26"/>
        <v>562460.11302432627</v>
      </c>
      <c r="E197" s="54">
        <f t="shared" si="27"/>
        <v>-6443.0140148550854</v>
      </c>
      <c r="F197" s="54"/>
      <c r="G197" s="54">
        <f t="shared" si="28"/>
        <v>3630.7134497334582</v>
      </c>
      <c r="H197" s="54"/>
      <c r="I197" s="54">
        <f t="shared" si="29"/>
        <v>2812.3005651216272</v>
      </c>
      <c r="J197" s="54"/>
      <c r="K197" s="54"/>
      <c r="L197" s="56">
        <f t="shared" si="30"/>
        <v>0.43648835135816177</v>
      </c>
      <c r="M197" s="54">
        <f t="shared" si="31"/>
        <v>558829.39957459283</v>
      </c>
    </row>
    <row r="198" spans="1:13" x14ac:dyDescent="0.3">
      <c r="A198" s="54"/>
      <c r="B198" s="41">
        <f t="shared" si="19"/>
        <v>187</v>
      </c>
      <c r="C198" s="52">
        <f t="shared" si="26"/>
        <v>558829.39957459283</v>
      </c>
      <c r="E198" s="54">
        <f t="shared" si="27"/>
        <v>-6443.0140148550854</v>
      </c>
      <c r="F198" s="54"/>
      <c r="G198" s="54">
        <f t="shared" si="28"/>
        <v>3648.8670169821253</v>
      </c>
      <c r="H198" s="54"/>
      <c r="I198" s="54">
        <f t="shared" si="29"/>
        <v>2794.1469978729601</v>
      </c>
      <c r="J198" s="54"/>
      <c r="K198" s="54"/>
      <c r="L198" s="56">
        <f t="shared" si="30"/>
        <v>0.43367079311495266</v>
      </c>
      <c r="M198" s="54">
        <f t="shared" si="31"/>
        <v>555180.53255761066</v>
      </c>
    </row>
    <row r="199" spans="1:13" x14ac:dyDescent="0.3">
      <c r="A199" s="54"/>
      <c r="B199" s="41">
        <f t="shared" si="19"/>
        <v>188</v>
      </c>
      <c r="C199" s="52">
        <f t="shared" si="26"/>
        <v>555180.53255761066</v>
      </c>
      <c r="E199" s="54">
        <f t="shared" si="27"/>
        <v>-6443.0140148550854</v>
      </c>
      <c r="F199" s="54"/>
      <c r="G199" s="54">
        <f t="shared" si="28"/>
        <v>3667.1113520670369</v>
      </c>
      <c r="H199" s="54"/>
      <c r="I199" s="54">
        <f t="shared" si="29"/>
        <v>2775.9026627880494</v>
      </c>
      <c r="J199" s="54"/>
      <c r="K199" s="54"/>
      <c r="L199" s="56">
        <f t="shared" si="30"/>
        <v>0.4308391470805274</v>
      </c>
      <c r="M199" s="54">
        <f t="shared" si="31"/>
        <v>551513.42120554356</v>
      </c>
    </row>
    <row r="200" spans="1:13" x14ac:dyDescent="0.3">
      <c r="A200" s="54"/>
      <c r="B200" s="41">
        <f t="shared" si="19"/>
        <v>189</v>
      </c>
      <c r="C200" s="52">
        <f t="shared" si="26"/>
        <v>551513.42120554356</v>
      </c>
      <c r="E200" s="54">
        <f t="shared" si="27"/>
        <v>-6443.0140148550854</v>
      </c>
      <c r="F200" s="54"/>
      <c r="G200" s="54">
        <f t="shared" si="28"/>
        <v>3685.4469088273718</v>
      </c>
      <c r="H200" s="54"/>
      <c r="I200" s="54">
        <f t="shared" si="29"/>
        <v>2757.5671060277136</v>
      </c>
      <c r="J200" s="54"/>
      <c r="K200" s="54"/>
      <c r="L200" s="56">
        <f t="shared" si="30"/>
        <v>0.42799334281592993</v>
      </c>
      <c r="M200" s="54">
        <f t="shared" si="31"/>
        <v>547827.97429671616</v>
      </c>
    </row>
    <row r="201" spans="1:13" x14ac:dyDescent="0.3">
      <c r="A201" s="54"/>
      <c r="B201" s="41">
        <f t="shared" si="19"/>
        <v>190</v>
      </c>
      <c r="C201" s="52">
        <f t="shared" si="26"/>
        <v>547827.97429671616</v>
      </c>
      <c r="E201" s="54">
        <f t="shared" si="27"/>
        <v>-6443.0140148550854</v>
      </c>
      <c r="F201" s="54"/>
      <c r="G201" s="54">
        <f t="shared" si="28"/>
        <v>3703.8741433715086</v>
      </c>
      <c r="H201" s="54"/>
      <c r="I201" s="54">
        <f t="shared" si="29"/>
        <v>2739.1398714835768</v>
      </c>
      <c r="J201" s="54"/>
      <c r="K201" s="54"/>
      <c r="L201" s="56">
        <f t="shared" si="30"/>
        <v>0.42513330953000961</v>
      </c>
      <c r="M201" s="54">
        <f t="shared" si="31"/>
        <v>544124.10015334468</v>
      </c>
    </row>
    <row r="202" spans="1:13" x14ac:dyDescent="0.3">
      <c r="A202" s="54"/>
      <c r="B202" s="41">
        <f t="shared" si="19"/>
        <v>191</v>
      </c>
      <c r="C202" s="52">
        <f t="shared" si="26"/>
        <v>544124.10015334468</v>
      </c>
      <c r="E202" s="54">
        <f t="shared" si="27"/>
        <v>-6443.0140148550854</v>
      </c>
      <c r="F202" s="54"/>
      <c r="G202" s="54">
        <f t="shared" si="28"/>
        <v>3722.3935140883655</v>
      </c>
      <c r="H202" s="54"/>
      <c r="I202" s="54">
        <f t="shared" si="29"/>
        <v>2720.6205007667199</v>
      </c>
      <c r="J202" s="54"/>
      <c r="K202" s="54"/>
      <c r="L202" s="56">
        <f t="shared" si="30"/>
        <v>0.42225897607765972</v>
      </c>
      <c r="M202" s="54">
        <f t="shared" si="31"/>
        <v>540401.70663925633</v>
      </c>
    </row>
    <row r="203" spans="1:13" x14ac:dyDescent="0.3">
      <c r="A203" s="54"/>
      <c r="B203" s="41">
        <f t="shared" si="19"/>
        <v>192</v>
      </c>
      <c r="C203" s="52">
        <f t="shared" si="26"/>
        <v>540401.70663925633</v>
      </c>
      <c r="E203" s="54">
        <f t="shared" si="27"/>
        <v>-6443.0140148550854</v>
      </c>
      <c r="F203" s="54"/>
      <c r="G203" s="54">
        <f t="shared" si="28"/>
        <v>3741.0054816588072</v>
      </c>
      <c r="H203" s="54"/>
      <c r="I203" s="54">
        <f t="shared" si="29"/>
        <v>2702.0085331962782</v>
      </c>
      <c r="J203" s="54"/>
      <c r="K203" s="54"/>
      <c r="L203" s="56">
        <f t="shared" si="30"/>
        <v>0.41937027095804807</v>
      </c>
      <c r="M203" s="54">
        <f t="shared" si="31"/>
        <v>536660.70115759748</v>
      </c>
    </row>
    <row r="204" spans="1:13" x14ac:dyDescent="0.3">
      <c r="A204" s="54"/>
      <c r="B204" s="41">
        <f t="shared" si="19"/>
        <v>193</v>
      </c>
      <c r="C204" s="52">
        <f t="shared" si="26"/>
        <v>536660.70115759748</v>
      </c>
      <c r="E204" s="54">
        <f t="shared" si="27"/>
        <v>-6443.0140148550854</v>
      </c>
      <c r="F204" s="54"/>
      <c r="G204" s="54">
        <f t="shared" si="28"/>
        <v>3759.7105090671016</v>
      </c>
      <c r="H204" s="54"/>
      <c r="I204" s="54">
        <f t="shared" si="29"/>
        <v>2683.3035057879838</v>
      </c>
      <c r="J204" s="54"/>
      <c r="K204" s="54"/>
      <c r="L204" s="56">
        <f t="shared" si="30"/>
        <v>0.41646712231283822</v>
      </c>
      <c r="M204" s="54">
        <f t="shared" si="31"/>
        <v>532900.99064853042</v>
      </c>
    </row>
    <row r="205" spans="1:13" x14ac:dyDescent="0.3">
      <c r="A205" s="54"/>
      <c r="B205" s="41">
        <f t="shared" si="19"/>
        <v>194</v>
      </c>
      <c r="C205" s="52">
        <f t="shared" si="26"/>
        <v>532900.99064853042</v>
      </c>
      <c r="E205" s="54">
        <f t="shared" si="27"/>
        <v>-6443.0140148550854</v>
      </c>
      <c r="F205" s="54"/>
      <c r="G205" s="54">
        <f t="shared" si="28"/>
        <v>3778.5090616124367</v>
      </c>
      <c r="H205" s="54"/>
      <c r="I205" s="54">
        <f t="shared" si="29"/>
        <v>2664.5049532426488</v>
      </c>
      <c r="J205" s="54"/>
      <c r="K205" s="54"/>
      <c r="L205" s="56">
        <f t="shared" si="30"/>
        <v>0.41354945792440251</v>
      </c>
      <c r="M205" s="54">
        <f t="shared" si="31"/>
        <v>529122.481586918</v>
      </c>
    </row>
    <row r="206" spans="1:13" x14ac:dyDescent="0.3">
      <c r="A206" s="54"/>
      <c r="B206" s="41">
        <f t="shared" si="19"/>
        <v>195</v>
      </c>
      <c r="C206" s="52">
        <f t="shared" si="26"/>
        <v>529122.481586918</v>
      </c>
      <c r="E206" s="54">
        <f t="shared" si="27"/>
        <v>-6443.0140148550854</v>
      </c>
      <c r="F206" s="54"/>
      <c r="G206" s="54">
        <f t="shared" si="28"/>
        <v>3797.4016069204995</v>
      </c>
      <c r="H206" s="54"/>
      <c r="I206" s="54">
        <f t="shared" si="29"/>
        <v>2645.6124079345859</v>
      </c>
      <c r="J206" s="54"/>
      <c r="K206" s="54"/>
      <c r="L206" s="56">
        <f t="shared" si="30"/>
        <v>0.41061720521402439</v>
      </c>
      <c r="M206" s="54">
        <f t="shared" si="31"/>
        <v>525325.07997999748</v>
      </c>
    </row>
    <row r="207" spans="1:13" x14ac:dyDescent="0.3">
      <c r="A207" s="54"/>
      <c r="B207" s="41">
        <f t="shared" ref="B207:B270" si="32">B206+1</f>
        <v>196</v>
      </c>
      <c r="C207" s="52">
        <f t="shared" si="26"/>
        <v>525325.07997999748</v>
      </c>
      <c r="E207" s="54">
        <f t="shared" si="27"/>
        <v>-6443.0140148550854</v>
      </c>
      <c r="F207" s="54"/>
      <c r="G207" s="54">
        <f t="shared" si="28"/>
        <v>3816.3886149551017</v>
      </c>
      <c r="H207" s="54"/>
      <c r="I207" s="54">
        <f t="shared" si="29"/>
        <v>2626.6253998999841</v>
      </c>
      <c r="J207" s="54"/>
      <c r="K207" s="54"/>
      <c r="L207" s="56">
        <f t="shared" si="30"/>
        <v>0.40767029124009463</v>
      </c>
      <c r="M207" s="54">
        <f t="shared" si="31"/>
        <v>521508.69136504235</v>
      </c>
    </row>
    <row r="208" spans="1:13" x14ac:dyDescent="0.3">
      <c r="A208" s="54"/>
      <c r="B208" s="41">
        <f t="shared" si="32"/>
        <v>197</v>
      </c>
      <c r="C208" s="52">
        <f t="shared" si="26"/>
        <v>521508.69136504235</v>
      </c>
      <c r="E208" s="54">
        <f t="shared" si="27"/>
        <v>-6443.0140148550854</v>
      </c>
      <c r="F208" s="54"/>
      <c r="G208" s="54">
        <f t="shared" si="28"/>
        <v>3835.4705580298773</v>
      </c>
      <c r="H208" s="54"/>
      <c r="I208" s="54">
        <f t="shared" si="29"/>
        <v>2607.5434568252081</v>
      </c>
      <c r="J208" s="54"/>
      <c r="K208" s="54"/>
      <c r="L208" s="56">
        <f t="shared" si="30"/>
        <v>0.40470864269629503</v>
      </c>
      <c r="M208" s="54">
        <f t="shared" si="31"/>
        <v>517673.22080701246</v>
      </c>
    </row>
    <row r="209" spans="1:13" x14ac:dyDescent="0.3">
      <c r="A209" s="54"/>
      <c r="B209" s="41">
        <f t="shared" si="32"/>
        <v>198</v>
      </c>
      <c r="C209" s="52">
        <f t="shared" si="26"/>
        <v>517673.22080701246</v>
      </c>
      <c r="E209" s="54">
        <f t="shared" si="27"/>
        <v>-6443.0140148550854</v>
      </c>
      <c r="F209" s="54"/>
      <c r="G209" s="54">
        <f t="shared" si="28"/>
        <v>3854.6479108200269</v>
      </c>
      <c r="H209" s="54"/>
      <c r="I209" s="54">
        <f t="shared" si="29"/>
        <v>2588.3661040350594</v>
      </c>
      <c r="J209" s="54"/>
      <c r="K209" s="54"/>
      <c r="L209" s="56">
        <f t="shared" si="30"/>
        <v>0.40173218590977661</v>
      </c>
      <c r="M209" s="54">
        <f t="shared" si="31"/>
        <v>513818.57289619243</v>
      </c>
    </row>
    <row r="210" spans="1:13" x14ac:dyDescent="0.3">
      <c r="A210" s="54"/>
      <c r="B210" s="41">
        <f t="shared" si="32"/>
        <v>199</v>
      </c>
      <c r="C210" s="52">
        <f t="shared" si="26"/>
        <v>513818.57289619243</v>
      </c>
      <c r="E210" s="54">
        <f t="shared" si="27"/>
        <v>-6443.0140148550854</v>
      </c>
      <c r="F210" s="54"/>
      <c r="G210" s="54">
        <f t="shared" si="28"/>
        <v>3873.9211503741276</v>
      </c>
      <c r="H210" s="54"/>
      <c r="I210" s="54">
        <f t="shared" si="29"/>
        <v>2569.0928644809587</v>
      </c>
      <c r="J210" s="54"/>
      <c r="K210" s="54"/>
      <c r="L210" s="56">
        <f t="shared" si="30"/>
        <v>0.39874084683932542</v>
      </c>
      <c r="M210" s="54">
        <f t="shared" si="31"/>
        <v>509944.65174581832</v>
      </c>
    </row>
    <row r="211" spans="1:13" x14ac:dyDescent="0.3">
      <c r="A211" s="54"/>
      <c r="B211" s="41">
        <f t="shared" si="32"/>
        <v>200</v>
      </c>
      <c r="C211" s="52">
        <f t="shared" si="26"/>
        <v>509944.65174581832</v>
      </c>
      <c r="E211" s="54">
        <f t="shared" si="27"/>
        <v>-6443.0140148550854</v>
      </c>
      <c r="F211" s="54"/>
      <c r="G211" s="54">
        <f t="shared" si="28"/>
        <v>3893.2907561259981</v>
      </c>
      <c r="H211" s="54"/>
      <c r="I211" s="54">
        <f t="shared" si="29"/>
        <v>2549.7232587290878</v>
      </c>
      <c r="J211" s="54"/>
      <c r="K211" s="54"/>
      <c r="L211" s="56">
        <f t="shared" si="30"/>
        <v>0.39573455107352201</v>
      </c>
      <c r="M211" s="54">
        <f t="shared" si="31"/>
        <v>506051.36098969233</v>
      </c>
    </row>
    <row r="212" spans="1:13" x14ac:dyDescent="0.3">
      <c r="A212" s="54"/>
      <c r="B212" s="41">
        <f t="shared" si="32"/>
        <v>201</v>
      </c>
      <c r="C212" s="52">
        <f t="shared" si="26"/>
        <v>506051.36098969233</v>
      </c>
      <c r="E212" s="54">
        <f t="shared" si="27"/>
        <v>-6443.0140148550854</v>
      </c>
      <c r="F212" s="54"/>
      <c r="G212" s="54">
        <f t="shared" si="28"/>
        <v>3912.7572099066274</v>
      </c>
      <c r="H212" s="54"/>
      <c r="I212" s="54">
        <f t="shared" si="29"/>
        <v>2530.256804948458</v>
      </c>
      <c r="J212" s="54"/>
      <c r="K212" s="54"/>
      <c r="L212" s="56">
        <f t="shared" si="30"/>
        <v>0.39271322382888962</v>
      </c>
      <c r="M212" s="54">
        <f t="shared" si="31"/>
        <v>502138.60377978568</v>
      </c>
    </row>
    <row r="213" spans="1:13" x14ac:dyDescent="0.3">
      <c r="A213" s="54"/>
      <c r="B213" s="41">
        <f t="shared" si="32"/>
        <v>202</v>
      </c>
      <c r="C213" s="52">
        <f t="shared" si="26"/>
        <v>502138.60377978568</v>
      </c>
      <c r="E213" s="54">
        <f t="shared" si="27"/>
        <v>-6443.0140148550854</v>
      </c>
      <c r="F213" s="54"/>
      <c r="G213" s="54">
        <f t="shared" si="28"/>
        <v>3932.3209959561609</v>
      </c>
      <c r="H213" s="54"/>
      <c r="I213" s="54">
        <f t="shared" si="29"/>
        <v>2510.6930188989245</v>
      </c>
      <c r="J213" s="54"/>
      <c r="K213" s="54"/>
      <c r="L213" s="56">
        <f t="shared" si="30"/>
        <v>0.38967678994803401</v>
      </c>
      <c r="M213" s="54">
        <f t="shared" si="31"/>
        <v>498206.28278382955</v>
      </c>
    </row>
    <row r="214" spans="1:13" x14ac:dyDescent="0.3">
      <c r="A214" s="54"/>
      <c r="B214" s="41">
        <f t="shared" si="32"/>
        <v>203</v>
      </c>
      <c r="C214" s="52">
        <f t="shared" si="26"/>
        <v>498206.28278382955</v>
      </c>
      <c r="E214" s="54">
        <f t="shared" si="27"/>
        <v>-6443.0140148550854</v>
      </c>
      <c r="F214" s="54"/>
      <c r="G214" s="54">
        <f t="shared" si="28"/>
        <v>3951.9826009359422</v>
      </c>
      <c r="H214" s="54"/>
      <c r="I214" s="54">
        <f t="shared" si="29"/>
        <v>2491.0314139191437</v>
      </c>
      <c r="J214" s="54"/>
      <c r="K214" s="54"/>
      <c r="L214" s="56">
        <f t="shared" si="30"/>
        <v>0.38662517389777418</v>
      </c>
      <c r="M214" s="54">
        <f t="shared" si="31"/>
        <v>494254.30018289358</v>
      </c>
    </row>
    <row r="215" spans="1:13" x14ac:dyDescent="0.3">
      <c r="A215" s="54"/>
      <c r="B215" s="41">
        <f t="shared" si="32"/>
        <v>204</v>
      </c>
      <c r="C215" s="52">
        <f t="shared" si="26"/>
        <v>494254.30018289358</v>
      </c>
      <c r="E215" s="54">
        <f t="shared" si="27"/>
        <v>-6443.0140148550854</v>
      </c>
      <c r="F215" s="54"/>
      <c r="G215" s="54">
        <f t="shared" si="28"/>
        <v>3971.7425139406214</v>
      </c>
      <c r="H215" s="54"/>
      <c r="I215" s="54">
        <f t="shared" si="29"/>
        <v>2471.271500914464</v>
      </c>
      <c r="J215" s="54"/>
      <c r="K215" s="54"/>
      <c r="L215" s="56">
        <f t="shared" si="30"/>
        <v>0.38355829976726308</v>
      </c>
      <c r="M215" s="54">
        <f t="shared" si="31"/>
        <v>490282.55766895297</v>
      </c>
    </row>
    <row r="216" spans="1:13" x14ac:dyDescent="0.3">
      <c r="A216" s="54"/>
      <c r="B216" s="41">
        <f t="shared" si="32"/>
        <v>205</v>
      </c>
      <c r="C216" s="52">
        <f t="shared" si="26"/>
        <v>490282.55766895297</v>
      </c>
      <c r="E216" s="54">
        <f t="shared" si="27"/>
        <v>-6443.0140148550854</v>
      </c>
      <c r="F216" s="54"/>
      <c r="G216" s="54">
        <f t="shared" si="28"/>
        <v>3991.6012265103245</v>
      </c>
      <c r="H216" s="54"/>
      <c r="I216" s="54">
        <f t="shared" si="29"/>
        <v>2451.4127883447613</v>
      </c>
      <c r="J216" s="54"/>
      <c r="K216" s="54"/>
      <c r="L216" s="56">
        <f t="shared" si="30"/>
        <v>0.38047609126609944</v>
      </c>
      <c r="M216" s="54">
        <f t="shared" si="31"/>
        <v>486290.95644244266</v>
      </c>
    </row>
    <row r="217" spans="1:13" x14ac:dyDescent="0.3">
      <c r="A217" s="54"/>
      <c r="B217" s="41">
        <f t="shared" si="32"/>
        <v>206</v>
      </c>
      <c r="C217" s="52">
        <f t="shared" si="26"/>
        <v>486290.95644244266</v>
      </c>
      <c r="E217" s="54">
        <f t="shared" si="27"/>
        <v>-6443.0140148550854</v>
      </c>
      <c r="F217" s="54"/>
      <c r="G217" s="54">
        <f t="shared" si="28"/>
        <v>4011.5592326428759</v>
      </c>
      <c r="H217" s="54"/>
      <c r="I217" s="54">
        <f t="shared" si="29"/>
        <v>2431.4547822122095</v>
      </c>
      <c r="J217" s="54"/>
      <c r="K217" s="54"/>
      <c r="L217" s="56">
        <f t="shared" si="30"/>
        <v>0.37737847172242989</v>
      </c>
      <c r="M217" s="54">
        <f t="shared" si="31"/>
        <v>482279.39720979979</v>
      </c>
    </row>
    <row r="218" spans="1:13" x14ac:dyDescent="0.3">
      <c r="A218" s="54"/>
      <c r="B218" s="41">
        <f t="shared" si="32"/>
        <v>207</v>
      </c>
      <c r="C218" s="52">
        <f t="shared" si="26"/>
        <v>482279.39720979979</v>
      </c>
      <c r="E218" s="54">
        <f t="shared" si="27"/>
        <v>-6443.0140148550854</v>
      </c>
      <c r="F218" s="54"/>
      <c r="G218" s="54">
        <f t="shared" si="28"/>
        <v>4031.6170288060903</v>
      </c>
      <c r="H218" s="54"/>
      <c r="I218" s="54">
        <f t="shared" si="29"/>
        <v>2411.3969860489951</v>
      </c>
      <c r="J218" s="54"/>
      <c r="K218" s="54"/>
      <c r="L218" s="56">
        <f t="shared" si="30"/>
        <v>0.37426536408104205</v>
      </c>
      <c r="M218" s="54">
        <f t="shared" si="31"/>
        <v>478247.78018099372</v>
      </c>
    </row>
    <row r="219" spans="1:13" x14ac:dyDescent="0.3">
      <c r="A219" s="54"/>
      <c r="B219" s="41">
        <f t="shared" si="32"/>
        <v>208</v>
      </c>
      <c r="C219" s="52">
        <f t="shared" si="26"/>
        <v>478247.78018099372</v>
      </c>
      <c r="E219" s="54">
        <f t="shared" si="27"/>
        <v>-6443.0140148550854</v>
      </c>
      <c r="F219" s="54"/>
      <c r="G219" s="54">
        <f t="shared" si="28"/>
        <v>4051.7751139501211</v>
      </c>
      <c r="H219" s="54"/>
      <c r="I219" s="54">
        <f t="shared" si="29"/>
        <v>2391.2389009049648</v>
      </c>
      <c r="J219" s="54"/>
      <c r="K219" s="54"/>
      <c r="L219" s="56">
        <f t="shared" si="30"/>
        <v>0.3711366909014473</v>
      </c>
      <c r="M219" s="54">
        <f t="shared" si="31"/>
        <v>474196.00506704359</v>
      </c>
    </row>
    <row r="220" spans="1:13" x14ac:dyDescent="0.3">
      <c r="A220" s="54"/>
      <c r="B220" s="41">
        <f t="shared" si="32"/>
        <v>209</v>
      </c>
      <c r="C220" s="52">
        <f t="shared" si="26"/>
        <v>474196.00506704359</v>
      </c>
      <c r="E220" s="54">
        <f t="shared" si="27"/>
        <v>-6443.0140148550854</v>
      </c>
      <c r="F220" s="54"/>
      <c r="G220" s="54">
        <f t="shared" si="28"/>
        <v>4072.0339895198717</v>
      </c>
      <c r="H220" s="54"/>
      <c r="I220" s="54">
        <f t="shared" si="29"/>
        <v>2370.9800253352141</v>
      </c>
      <c r="J220" s="54"/>
      <c r="K220" s="54"/>
      <c r="L220" s="56">
        <f t="shared" si="30"/>
        <v>0.3679923743559545</v>
      </c>
      <c r="M220" s="54">
        <f t="shared" si="31"/>
        <v>470123.97107752372</v>
      </c>
    </row>
    <row r="221" spans="1:13" x14ac:dyDescent="0.3">
      <c r="A221" s="54"/>
      <c r="B221" s="41">
        <f t="shared" si="32"/>
        <v>210</v>
      </c>
      <c r="C221" s="52">
        <f t="shared" ref="C221:C284" si="33">IF(B221&gt;$G$5,0,M220)</f>
        <v>470123.97107752372</v>
      </c>
      <c r="E221" s="54">
        <f t="shared" ref="E221:E284" si="34">IF(B221&gt;$G$5,0,PMT($E$7,$G$5,$E$4))</f>
        <v>-6443.0140148550854</v>
      </c>
      <c r="F221" s="54"/>
      <c r="G221" s="54">
        <f t="shared" ref="G221:G284" si="35">IF(B221&lt;$G$5+1,-PPMT($E$7,B221,$G$5,$E$4),0)</f>
        <v>4092.3941594674711</v>
      </c>
      <c r="H221" s="54"/>
      <c r="I221" s="54">
        <f t="shared" ref="I221:I284" si="36">-IPMT($E$7,B221,$G$5,$E$4)</f>
        <v>2350.6198553876143</v>
      </c>
      <c r="J221" s="54"/>
      <c r="K221" s="54"/>
      <c r="L221" s="56">
        <f t="shared" ref="L221:L284" si="37">IFERROR(-I221/E221,"NA")</f>
        <v>0.3648323362277342</v>
      </c>
      <c r="M221" s="54">
        <f t="shared" ref="M221:M284" si="38">C221-G221</f>
        <v>466031.57691805623</v>
      </c>
    </row>
    <row r="222" spans="1:13" x14ac:dyDescent="0.3">
      <c r="A222" s="54"/>
      <c r="B222" s="41">
        <f t="shared" si="32"/>
        <v>211</v>
      </c>
      <c r="C222" s="52">
        <f t="shared" si="33"/>
        <v>466031.57691805623</v>
      </c>
      <c r="E222" s="54">
        <f t="shared" si="34"/>
        <v>-6443.0140148550854</v>
      </c>
      <c r="F222" s="54"/>
      <c r="G222" s="54">
        <f t="shared" si="35"/>
        <v>4112.8561302648077</v>
      </c>
      <c r="H222" s="54"/>
      <c r="I222" s="54">
        <f t="shared" si="36"/>
        <v>2330.1578845902773</v>
      </c>
      <c r="J222" s="54"/>
      <c r="K222" s="54"/>
      <c r="L222" s="56">
        <f t="shared" si="37"/>
        <v>0.36165649790887294</v>
      </c>
      <c r="M222" s="54">
        <f t="shared" si="38"/>
        <v>461918.72078779142</v>
      </c>
    </row>
    <row r="223" spans="1:13" x14ac:dyDescent="0.3">
      <c r="A223" s="54"/>
      <c r="B223" s="41">
        <f t="shared" si="32"/>
        <v>212</v>
      </c>
      <c r="C223" s="52">
        <f t="shared" si="33"/>
        <v>461918.72078779142</v>
      </c>
      <c r="E223" s="54">
        <f t="shared" si="34"/>
        <v>-6443.0140148550854</v>
      </c>
      <c r="F223" s="54"/>
      <c r="G223" s="54">
        <f t="shared" si="35"/>
        <v>4133.4204109161319</v>
      </c>
      <c r="H223" s="54"/>
      <c r="I223" s="54">
        <f t="shared" si="36"/>
        <v>2309.593603938953</v>
      </c>
      <c r="J223" s="54"/>
      <c r="K223" s="54"/>
      <c r="L223" s="56">
        <f t="shared" si="37"/>
        <v>0.35846478039841728</v>
      </c>
      <c r="M223" s="54">
        <f t="shared" si="38"/>
        <v>457785.30037687527</v>
      </c>
    </row>
    <row r="224" spans="1:13" x14ac:dyDescent="0.3">
      <c r="A224" s="54"/>
      <c r="B224" s="41">
        <f t="shared" si="32"/>
        <v>213</v>
      </c>
      <c r="C224" s="52">
        <f t="shared" si="33"/>
        <v>457785.30037687527</v>
      </c>
      <c r="E224" s="54">
        <f t="shared" si="34"/>
        <v>-6443.0140148550854</v>
      </c>
      <c r="F224" s="54"/>
      <c r="G224" s="54">
        <f t="shared" si="35"/>
        <v>4154.0875129707129</v>
      </c>
      <c r="H224" s="54"/>
      <c r="I224" s="54">
        <f t="shared" si="36"/>
        <v>2288.9265018843726</v>
      </c>
      <c r="J224" s="54"/>
      <c r="K224" s="54"/>
      <c r="L224" s="56">
        <f t="shared" si="37"/>
        <v>0.35525710430040941</v>
      </c>
      <c r="M224" s="54">
        <f t="shared" si="38"/>
        <v>453631.21286390454</v>
      </c>
    </row>
    <row r="225" spans="1:13" x14ac:dyDescent="0.3">
      <c r="A225" s="54"/>
      <c r="B225" s="41">
        <f t="shared" si="32"/>
        <v>214</v>
      </c>
      <c r="C225" s="52">
        <f t="shared" si="33"/>
        <v>453631.21286390454</v>
      </c>
      <c r="E225" s="54">
        <f t="shared" si="34"/>
        <v>-6443.0140148550854</v>
      </c>
      <c r="F225" s="54"/>
      <c r="G225" s="54">
        <f t="shared" si="35"/>
        <v>4174.8579505355665</v>
      </c>
      <c r="H225" s="54"/>
      <c r="I225" s="54">
        <f t="shared" si="36"/>
        <v>2268.1560643195194</v>
      </c>
      <c r="J225" s="54"/>
      <c r="K225" s="54"/>
      <c r="L225" s="56">
        <f t="shared" si="37"/>
        <v>0.35203338982191151</v>
      </c>
      <c r="M225" s="54">
        <f t="shared" si="38"/>
        <v>449456.354913369</v>
      </c>
    </row>
    <row r="226" spans="1:13" x14ac:dyDescent="0.3">
      <c r="A226" s="54"/>
      <c r="B226" s="41">
        <f t="shared" si="32"/>
        <v>215</v>
      </c>
      <c r="C226" s="52">
        <f t="shared" si="33"/>
        <v>449456.354913369</v>
      </c>
      <c r="E226" s="54">
        <f t="shared" si="34"/>
        <v>-6443.0140148550854</v>
      </c>
      <c r="F226" s="54"/>
      <c r="G226" s="54">
        <f t="shared" si="35"/>
        <v>4195.7322402882446</v>
      </c>
      <c r="H226" s="54"/>
      <c r="I226" s="54">
        <f t="shared" si="36"/>
        <v>2247.2817745668408</v>
      </c>
      <c r="J226" s="54"/>
      <c r="K226" s="54"/>
      <c r="L226" s="56">
        <f t="shared" si="37"/>
        <v>0.34879355677102092</v>
      </c>
      <c r="M226" s="54">
        <f t="shared" si="38"/>
        <v>445260.62267308077</v>
      </c>
    </row>
    <row r="227" spans="1:13" x14ac:dyDescent="0.3">
      <c r="A227" s="54"/>
      <c r="B227" s="41">
        <f t="shared" si="32"/>
        <v>216</v>
      </c>
      <c r="C227" s="52">
        <f t="shared" si="33"/>
        <v>445260.62267308077</v>
      </c>
      <c r="E227" s="54">
        <f t="shared" si="34"/>
        <v>-6443.0140148550854</v>
      </c>
      <c r="F227" s="54"/>
      <c r="G227" s="54">
        <f t="shared" si="35"/>
        <v>4216.710901489686</v>
      </c>
      <c r="H227" s="54"/>
      <c r="I227" s="54">
        <f t="shared" si="36"/>
        <v>2226.3031133653999</v>
      </c>
      <c r="J227" s="54"/>
      <c r="K227" s="54"/>
      <c r="L227" s="56">
        <f t="shared" si="37"/>
        <v>0.34553752455487607</v>
      </c>
      <c r="M227" s="54">
        <f t="shared" si="38"/>
        <v>441043.91177159105</v>
      </c>
    </row>
    <row r="228" spans="1:13" x14ac:dyDescent="0.3">
      <c r="A228" s="54"/>
      <c r="B228" s="41">
        <f t="shared" si="32"/>
        <v>217</v>
      </c>
      <c r="C228" s="52">
        <f t="shared" si="33"/>
        <v>441043.91177159105</v>
      </c>
      <c r="E228" s="54">
        <f t="shared" si="34"/>
        <v>-6443.0140148550854</v>
      </c>
      <c r="F228" s="54"/>
      <c r="G228" s="54">
        <f t="shared" si="35"/>
        <v>4237.7944559971338</v>
      </c>
      <c r="H228" s="54"/>
      <c r="I228" s="54">
        <f t="shared" si="36"/>
        <v>2205.2195588579521</v>
      </c>
      <c r="J228" s="54"/>
      <c r="K228" s="54"/>
      <c r="L228" s="56">
        <f t="shared" si="37"/>
        <v>0.34226521217765055</v>
      </c>
      <c r="M228" s="54">
        <f t="shared" si="38"/>
        <v>436806.11731559393</v>
      </c>
    </row>
    <row r="229" spans="1:13" x14ac:dyDescent="0.3">
      <c r="A229" s="54"/>
      <c r="B229" s="41">
        <f t="shared" si="32"/>
        <v>218</v>
      </c>
      <c r="C229" s="52">
        <f t="shared" si="33"/>
        <v>436806.11731559393</v>
      </c>
      <c r="E229" s="54">
        <f t="shared" si="34"/>
        <v>-6443.0140148550854</v>
      </c>
      <c r="F229" s="54"/>
      <c r="G229" s="54">
        <f t="shared" si="35"/>
        <v>4258.9834282771189</v>
      </c>
      <c r="H229" s="54"/>
      <c r="I229" s="54">
        <f t="shared" si="36"/>
        <v>2184.030586577966</v>
      </c>
      <c r="J229" s="54"/>
      <c r="K229" s="54"/>
      <c r="L229" s="56">
        <f t="shared" si="37"/>
        <v>0.33897653823853874</v>
      </c>
      <c r="M229" s="54">
        <f t="shared" si="38"/>
        <v>432547.1338873168</v>
      </c>
    </row>
    <row r="230" spans="1:13" x14ac:dyDescent="0.3">
      <c r="A230" s="54"/>
      <c r="B230" s="41">
        <f t="shared" si="32"/>
        <v>219</v>
      </c>
      <c r="C230" s="52">
        <f t="shared" si="33"/>
        <v>432547.1338873168</v>
      </c>
      <c r="E230" s="54">
        <f t="shared" si="34"/>
        <v>-6443.0140148550854</v>
      </c>
      <c r="F230" s="54"/>
      <c r="G230" s="54">
        <f t="shared" si="35"/>
        <v>4280.2783454185046</v>
      </c>
      <c r="H230" s="54"/>
      <c r="I230" s="54">
        <f t="shared" si="36"/>
        <v>2162.7356694365799</v>
      </c>
      <c r="J230" s="54"/>
      <c r="K230" s="54"/>
      <c r="L230" s="56">
        <f t="shared" si="37"/>
        <v>0.3356714209297314</v>
      </c>
      <c r="M230" s="54">
        <f t="shared" si="38"/>
        <v>428266.85554189829</v>
      </c>
    </row>
    <row r="231" spans="1:13" x14ac:dyDescent="0.3">
      <c r="A231" s="54"/>
      <c r="B231" s="41">
        <f t="shared" si="32"/>
        <v>220</v>
      </c>
      <c r="C231" s="52">
        <f t="shared" si="33"/>
        <v>428266.85554189829</v>
      </c>
      <c r="E231" s="54">
        <f t="shared" si="34"/>
        <v>-6443.0140148550854</v>
      </c>
      <c r="F231" s="54"/>
      <c r="G231" s="54">
        <f t="shared" si="35"/>
        <v>4301.6797371455978</v>
      </c>
      <c r="H231" s="54"/>
      <c r="I231" s="54">
        <f t="shared" si="36"/>
        <v>2141.3342777094877</v>
      </c>
      <c r="J231" s="54"/>
      <c r="K231" s="54"/>
      <c r="L231" s="56">
        <f t="shared" si="37"/>
        <v>0.33234977803438009</v>
      </c>
      <c r="M231" s="54">
        <f t="shared" si="38"/>
        <v>423965.17580475268</v>
      </c>
    </row>
    <row r="232" spans="1:13" x14ac:dyDescent="0.3">
      <c r="A232" s="54"/>
      <c r="B232" s="41">
        <f t="shared" si="32"/>
        <v>221</v>
      </c>
      <c r="C232" s="52">
        <f t="shared" si="33"/>
        <v>423965.17580475268</v>
      </c>
      <c r="E232" s="54">
        <f t="shared" si="34"/>
        <v>-6443.0140148550854</v>
      </c>
      <c r="F232" s="54"/>
      <c r="G232" s="54">
        <f t="shared" si="35"/>
        <v>4323.1881358313258</v>
      </c>
      <c r="H232" s="54"/>
      <c r="I232" s="54">
        <f t="shared" si="36"/>
        <v>2119.8258790237592</v>
      </c>
      <c r="J232" s="54"/>
      <c r="K232" s="54"/>
      <c r="L232" s="56">
        <f t="shared" si="37"/>
        <v>0.32901152692455188</v>
      </c>
      <c r="M232" s="54">
        <f t="shared" si="38"/>
        <v>419641.98766892136</v>
      </c>
    </row>
    <row r="233" spans="1:13" x14ac:dyDescent="0.3">
      <c r="A233" s="54"/>
      <c r="B233" s="41">
        <f t="shared" si="32"/>
        <v>222</v>
      </c>
      <c r="C233" s="52">
        <f t="shared" si="33"/>
        <v>419641.98766892136</v>
      </c>
      <c r="E233" s="54">
        <f t="shared" si="34"/>
        <v>-6443.0140148550854</v>
      </c>
      <c r="F233" s="54"/>
      <c r="G233" s="54">
        <f t="shared" si="35"/>
        <v>4344.8040765104824</v>
      </c>
      <c r="H233" s="54"/>
      <c r="I233" s="54">
        <f t="shared" si="36"/>
        <v>2098.209938344603</v>
      </c>
      <c r="J233" s="54"/>
      <c r="K233" s="54"/>
      <c r="L233" s="56">
        <f t="shared" si="37"/>
        <v>0.32565658455917473</v>
      </c>
      <c r="M233" s="54">
        <f t="shared" si="38"/>
        <v>415297.18359241087</v>
      </c>
    </row>
    <row r="234" spans="1:13" x14ac:dyDescent="0.3">
      <c r="A234" s="54"/>
      <c r="B234" s="41">
        <f t="shared" si="32"/>
        <v>223</v>
      </c>
      <c r="C234" s="52">
        <f t="shared" si="33"/>
        <v>415297.18359241087</v>
      </c>
      <c r="E234" s="54">
        <f t="shared" si="34"/>
        <v>-6443.0140148550854</v>
      </c>
      <c r="F234" s="54"/>
      <c r="G234" s="54">
        <f t="shared" si="35"/>
        <v>4366.5280968930356</v>
      </c>
      <c r="H234" s="54"/>
      <c r="I234" s="54">
        <f t="shared" si="36"/>
        <v>2076.4859179620507</v>
      </c>
      <c r="J234" s="54"/>
      <c r="K234" s="54"/>
      <c r="L234" s="56">
        <f t="shared" si="37"/>
        <v>0.3222848674819706</v>
      </c>
      <c r="M234" s="54">
        <f t="shared" si="38"/>
        <v>410930.65549551783</v>
      </c>
    </row>
    <row r="235" spans="1:13" x14ac:dyDescent="0.3">
      <c r="A235" s="54"/>
      <c r="B235" s="41">
        <f t="shared" si="32"/>
        <v>224</v>
      </c>
      <c r="C235" s="52">
        <f t="shared" si="33"/>
        <v>410930.65549551783</v>
      </c>
      <c r="E235" s="54">
        <f t="shared" si="34"/>
        <v>-6443.0140148550854</v>
      </c>
      <c r="F235" s="54"/>
      <c r="G235" s="54">
        <f t="shared" si="35"/>
        <v>4388.3607373774994</v>
      </c>
      <c r="H235" s="54"/>
      <c r="I235" s="54">
        <f t="shared" si="36"/>
        <v>2054.6532774775856</v>
      </c>
      <c r="J235" s="54"/>
      <c r="K235" s="54"/>
      <c r="L235" s="56">
        <f t="shared" si="37"/>
        <v>0.31889629181938051</v>
      </c>
      <c r="M235" s="54">
        <f t="shared" si="38"/>
        <v>406542.29475814034</v>
      </c>
    </row>
    <row r="236" spans="1:13" x14ac:dyDescent="0.3">
      <c r="A236" s="54"/>
      <c r="B236" s="41">
        <f t="shared" si="32"/>
        <v>225</v>
      </c>
      <c r="C236" s="52">
        <f t="shared" si="33"/>
        <v>406542.29475814034</v>
      </c>
      <c r="E236" s="54">
        <f t="shared" si="34"/>
        <v>-6443.0140148550854</v>
      </c>
      <c r="F236" s="54"/>
      <c r="G236" s="54">
        <f t="shared" si="35"/>
        <v>4410.3025410643877</v>
      </c>
      <c r="H236" s="54"/>
      <c r="I236" s="54">
        <f t="shared" si="36"/>
        <v>2032.7114737906979</v>
      </c>
      <c r="J236" s="54"/>
      <c r="K236" s="54"/>
      <c r="L236" s="56">
        <f t="shared" si="37"/>
        <v>0.31549077327847735</v>
      </c>
      <c r="M236" s="54">
        <f t="shared" si="38"/>
        <v>402131.99221707595</v>
      </c>
    </row>
    <row r="237" spans="1:13" x14ac:dyDescent="0.3">
      <c r="A237" s="54"/>
      <c r="B237" s="41">
        <f t="shared" si="32"/>
        <v>226</v>
      </c>
      <c r="C237" s="52">
        <f t="shared" si="33"/>
        <v>402131.99221707595</v>
      </c>
      <c r="E237" s="54">
        <f t="shared" si="34"/>
        <v>-6443.0140148550854</v>
      </c>
      <c r="F237" s="54"/>
      <c r="G237" s="54">
        <f t="shared" si="35"/>
        <v>4432.3540537697099</v>
      </c>
      <c r="H237" s="54"/>
      <c r="I237" s="54">
        <f t="shared" si="36"/>
        <v>2010.6599610853759</v>
      </c>
      <c r="J237" s="54"/>
      <c r="K237" s="54"/>
      <c r="L237" s="56">
        <f t="shared" si="37"/>
        <v>0.31206822714486976</v>
      </c>
      <c r="M237" s="54">
        <f t="shared" si="38"/>
        <v>397699.63816330623</v>
      </c>
    </row>
    <row r="238" spans="1:13" x14ac:dyDescent="0.3">
      <c r="A238" s="54"/>
      <c r="B238" s="41">
        <f t="shared" si="32"/>
        <v>227</v>
      </c>
      <c r="C238" s="52">
        <f t="shared" si="33"/>
        <v>397699.63816330623</v>
      </c>
      <c r="E238" s="54">
        <f t="shared" si="34"/>
        <v>-6443.0140148550854</v>
      </c>
      <c r="F238" s="54"/>
      <c r="G238" s="54">
        <f t="shared" si="35"/>
        <v>4454.5158240385581</v>
      </c>
      <c r="H238" s="54"/>
      <c r="I238" s="54">
        <f t="shared" si="36"/>
        <v>1988.4981908165273</v>
      </c>
      <c r="J238" s="54"/>
      <c r="K238" s="54"/>
      <c r="L238" s="56">
        <f t="shared" si="37"/>
        <v>0.3086285682805941</v>
      </c>
      <c r="M238" s="54">
        <f t="shared" si="38"/>
        <v>393245.12233926769</v>
      </c>
    </row>
    <row r="239" spans="1:13" x14ac:dyDescent="0.3">
      <c r="A239" s="54"/>
      <c r="B239" s="41">
        <f t="shared" si="32"/>
        <v>228</v>
      </c>
      <c r="C239" s="52">
        <f t="shared" si="33"/>
        <v>393245.12233926769</v>
      </c>
      <c r="E239" s="54">
        <f t="shared" si="34"/>
        <v>-6443.0140148550854</v>
      </c>
      <c r="F239" s="54"/>
      <c r="G239" s="54">
        <f t="shared" si="35"/>
        <v>4476.788403158751</v>
      </c>
      <c r="H239" s="54"/>
      <c r="I239" s="54">
        <f t="shared" si="36"/>
        <v>1966.2256116963345</v>
      </c>
      <c r="J239" s="54"/>
      <c r="K239" s="54"/>
      <c r="L239" s="56">
        <f t="shared" si="37"/>
        <v>0.30517171112199704</v>
      </c>
      <c r="M239" s="54">
        <f t="shared" si="38"/>
        <v>388768.33393610892</v>
      </c>
    </row>
    <row r="240" spans="1:13" x14ac:dyDescent="0.3">
      <c r="A240" s="54"/>
      <c r="B240" s="41">
        <f t="shared" si="32"/>
        <v>229</v>
      </c>
      <c r="C240" s="52">
        <f t="shared" si="33"/>
        <v>388768.33393610892</v>
      </c>
      <c r="E240" s="54">
        <f t="shared" si="34"/>
        <v>-6443.0140148550854</v>
      </c>
      <c r="F240" s="54"/>
      <c r="G240" s="54">
        <f t="shared" si="35"/>
        <v>4499.1723451745447</v>
      </c>
      <c r="H240" s="54"/>
      <c r="I240" s="54">
        <f t="shared" si="36"/>
        <v>1943.8416696805411</v>
      </c>
      <c r="J240" s="54"/>
      <c r="K240" s="54"/>
      <c r="L240" s="56">
        <f t="shared" si="37"/>
        <v>0.30169756967760708</v>
      </c>
      <c r="M240" s="54">
        <f t="shared" si="38"/>
        <v>384269.16159093438</v>
      </c>
    </row>
    <row r="241" spans="1:13" x14ac:dyDescent="0.3">
      <c r="A241" s="54"/>
      <c r="B241" s="41">
        <f t="shared" si="32"/>
        <v>230</v>
      </c>
      <c r="C241" s="52">
        <f t="shared" si="33"/>
        <v>384269.16159093438</v>
      </c>
      <c r="E241" s="54">
        <f t="shared" si="34"/>
        <v>-6443.0140148550854</v>
      </c>
      <c r="F241" s="54"/>
      <c r="G241" s="54">
        <f t="shared" si="35"/>
        <v>4521.6682069004173</v>
      </c>
      <c r="H241" s="54"/>
      <c r="I241" s="54">
        <f t="shared" si="36"/>
        <v>1921.3458079546685</v>
      </c>
      <c r="J241" s="54"/>
      <c r="K241" s="54"/>
      <c r="L241" s="56">
        <f t="shared" si="37"/>
        <v>0.29820605752599516</v>
      </c>
      <c r="M241" s="54">
        <f t="shared" si="38"/>
        <v>379747.49338403397</v>
      </c>
    </row>
    <row r="242" spans="1:13" x14ac:dyDescent="0.3">
      <c r="A242" s="54"/>
      <c r="B242" s="41">
        <f t="shared" si="32"/>
        <v>231</v>
      </c>
      <c r="C242" s="52">
        <f t="shared" si="33"/>
        <v>379747.49338403397</v>
      </c>
      <c r="E242" s="54">
        <f t="shared" si="34"/>
        <v>-6443.0140148550854</v>
      </c>
      <c r="F242" s="54"/>
      <c r="G242" s="54">
        <f t="shared" si="35"/>
        <v>4544.2765479349191</v>
      </c>
      <c r="H242" s="54"/>
      <c r="I242" s="54">
        <f t="shared" si="36"/>
        <v>1898.7374669201658</v>
      </c>
      <c r="J242" s="54"/>
      <c r="K242" s="54"/>
      <c r="L242" s="56">
        <f t="shared" si="37"/>
        <v>0.29469708781362502</v>
      </c>
      <c r="M242" s="54">
        <f t="shared" si="38"/>
        <v>375203.21683609905</v>
      </c>
    </row>
    <row r="243" spans="1:13" x14ac:dyDescent="0.3">
      <c r="A243" s="54"/>
      <c r="B243" s="41">
        <f t="shared" si="32"/>
        <v>232</v>
      </c>
      <c r="C243" s="52">
        <f t="shared" si="33"/>
        <v>375203.21683609905</v>
      </c>
      <c r="E243" s="54">
        <f t="shared" si="34"/>
        <v>-6443.0140148550854</v>
      </c>
      <c r="F243" s="54"/>
      <c r="G243" s="54">
        <f t="shared" si="35"/>
        <v>4566.9979306745945</v>
      </c>
      <c r="H243" s="54"/>
      <c r="I243" s="54">
        <f t="shared" si="36"/>
        <v>1876.0160841804916</v>
      </c>
      <c r="J243" s="54"/>
      <c r="K243" s="54"/>
      <c r="L243" s="56">
        <f t="shared" si="37"/>
        <v>0.29117057325269319</v>
      </c>
      <c r="M243" s="54">
        <f t="shared" si="38"/>
        <v>370636.21890542447</v>
      </c>
    </row>
    <row r="244" spans="1:13" x14ac:dyDescent="0.3">
      <c r="A244" s="54"/>
      <c r="B244" s="41">
        <f t="shared" si="32"/>
        <v>233</v>
      </c>
      <c r="C244" s="52">
        <f t="shared" si="33"/>
        <v>370636.21890542447</v>
      </c>
      <c r="E244" s="54">
        <f t="shared" si="34"/>
        <v>-6443.0140148550854</v>
      </c>
      <c r="F244" s="54"/>
      <c r="G244" s="54">
        <f t="shared" si="35"/>
        <v>4589.8329203279673</v>
      </c>
      <c r="H244" s="54"/>
      <c r="I244" s="54">
        <f t="shared" si="36"/>
        <v>1853.1810945271186</v>
      </c>
      <c r="J244" s="54"/>
      <c r="K244" s="54"/>
      <c r="L244" s="56">
        <f t="shared" si="37"/>
        <v>0.28762642611895667</v>
      </c>
      <c r="M244" s="54">
        <f t="shared" si="38"/>
        <v>366046.38598509651</v>
      </c>
    </row>
    <row r="245" spans="1:13" x14ac:dyDescent="0.3">
      <c r="A245" s="54"/>
      <c r="B245" s="41">
        <f t="shared" si="32"/>
        <v>234</v>
      </c>
      <c r="C245" s="52">
        <f t="shared" si="33"/>
        <v>366046.38598509651</v>
      </c>
      <c r="E245" s="54">
        <f t="shared" si="34"/>
        <v>-6443.0140148550854</v>
      </c>
      <c r="F245" s="54"/>
      <c r="G245" s="54">
        <f t="shared" si="35"/>
        <v>4612.7820849296068</v>
      </c>
      <c r="H245" s="54"/>
      <c r="I245" s="54">
        <f t="shared" si="36"/>
        <v>1830.2319299254784</v>
      </c>
      <c r="J245" s="54"/>
      <c r="K245" s="54"/>
      <c r="L245" s="56">
        <f t="shared" si="37"/>
        <v>0.2840645582495514</v>
      </c>
      <c r="M245" s="54">
        <f t="shared" si="38"/>
        <v>361433.60390016693</v>
      </c>
    </row>
    <row r="246" spans="1:13" x14ac:dyDescent="0.3">
      <c r="A246" s="54"/>
      <c r="B246" s="41">
        <f t="shared" si="32"/>
        <v>235</v>
      </c>
      <c r="C246" s="52">
        <f t="shared" si="33"/>
        <v>361433.60390016693</v>
      </c>
      <c r="E246" s="54">
        <f t="shared" si="34"/>
        <v>-6443.0140148550854</v>
      </c>
      <c r="F246" s="54"/>
      <c r="G246" s="54">
        <f t="shared" si="35"/>
        <v>4635.8459953542551</v>
      </c>
      <c r="H246" s="54"/>
      <c r="I246" s="54">
        <f t="shared" si="36"/>
        <v>1807.168019500831</v>
      </c>
      <c r="J246" s="54"/>
      <c r="K246" s="54"/>
      <c r="L246" s="56">
        <f t="shared" si="37"/>
        <v>0.28048488104079922</v>
      </c>
      <c r="M246" s="54">
        <f t="shared" si="38"/>
        <v>356797.75790481269</v>
      </c>
    </row>
    <row r="247" spans="1:13" x14ac:dyDescent="0.3">
      <c r="A247" s="54"/>
      <c r="B247" s="41">
        <f t="shared" si="32"/>
        <v>236</v>
      </c>
      <c r="C247" s="52">
        <f t="shared" si="33"/>
        <v>356797.75790481269</v>
      </c>
      <c r="E247" s="54">
        <f t="shared" si="34"/>
        <v>-6443.0140148550854</v>
      </c>
      <c r="F247" s="54"/>
      <c r="G247" s="54">
        <f t="shared" si="35"/>
        <v>4659.0252253310264</v>
      </c>
      <c r="H247" s="54"/>
      <c r="I247" s="54">
        <f t="shared" si="36"/>
        <v>1783.9887895240595</v>
      </c>
      <c r="J247" s="54"/>
      <c r="K247" s="54"/>
      <c r="L247" s="56">
        <f t="shared" si="37"/>
        <v>0.27688730544600321</v>
      </c>
      <c r="M247" s="54">
        <f t="shared" si="38"/>
        <v>352138.73267948168</v>
      </c>
    </row>
    <row r="248" spans="1:13" x14ac:dyDescent="0.3">
      <c r="A248" s="54"/>
      <c r="B248" s="41">
        <f t="shared" si="32"/>
        <v>237</v>
      </c>
      <c r="C248" s="52">
        <f t="shared" si="33"/>
        <v>352138.73267948168</v>
      </c>
      <c r="E248" s="54">
        <f t="shared" si="34"/>
        <v>-6443.0140148550854</v>
      </c>
      <c r="F248" s="54"/>
      <c r="G248" s="54">
        <f t="shared" si="35"/>
        <v>4682.3203514576808</v>
      </c>
      <c r="H248" s="54"/>
      <c r="I248" s="54">
        <f t="shared" si="36"/>
        <v>1760.693663397404</v>
      </c>
      <c r="J248" s="54"/>
      <c r="K248" s="54"/>
      <c r="L248" s="56">
        <f t="shared" si="37"/>
        <v>0.27327174197323317</v>
      </c>
      <c r="M248" s="54">
        <f t="shared" si="38"/>
        <v>347456.41232802399</v>
      </c>
    </row>
    <row r="249" spans="1:13" x14ac:dyDescent="0.3">
      <c r="A249" s="54"/>
      <c r="B249" s="41">
        <f t="shared" si="32"/>
        <v>238</v>
      </c>
      <c r="C249" s="52">
        <f t="shared" si="33"/>
        <v>347456.41232802399</v>
      </c>
      <c r="E249" s="54">
        <f t="shared" si="34"/>
        <v>-6443.0140148550854</v>
      </c>
      <c r="F249" s="54"/>
      <c r="G249" s="54">
        <f t="shared" si="35"/>
        <v>4705.7319532149695</v>
      </c>
      <c r="H249" s="54"/>
      <c r="I249" s="54">
        <f t="shared" si="36"/>
        <v>1737.2820616401157</v>
      </c>
      <c r="J249" s="54"/>
      <c r="K249" s="54"/>
      <c r="L249" s="56">
        <f t="shared" si="37"/>
        <v>0.26963810068309935</v>
      </c>
      <c r="M249" s="54">
        <f t="shared" si="38"/>
        <v>342750.68037480902</v>
      </c>
    </row>
    <row r="250" spans="1:13" x14ac:dyDescent="0.3">
      <c r="A250" s="54"/>
      <c r="B250" s="41">
        <f t="shared" si="32"/>
        <v>239</v>
      </c>
      <c r="C250" s="52">
        <f t="shared" si="33"/>
        <v>342750.68037480902</v>
      </c>
      <c r="E250" s="54">
        <f t="shared" si="34"/>
        <v>-6443.0140148550854</v>
      </c>
      <c r="F250" s="54"/>
      <c r="G250" s="54">
        <f t="shared" si="35"/>
        <v>4729.2606129810447</v>
      </c>
      <c r="H250" s="54"/>
      <c r="I250" s="54">
        <f t="shared" si="36"/>
        <v>1713.7534018740407</v>
      </c>
      <c r="J250" s="54"/>
      <c r="K250" s="54"/>
      <c r="L250" s="56">
        <f t="shared" si="37"/>
        <v>0.26598629118651484</v>
      </c>
      <c r="M250" s="54">
        <f t="shared" si="38"/>
        <v>338021.41976182797</v>
      </c>
    </row>
    <row r="251" spans="1:13" x14ac:dyDescent="0.3">
      <c r="A251" s="54"/>
      <c r="B251" s="41">
        <f t="shared" si="32"/>
        <v>240</v>
      </c>
      <c r="C251" s="52">
        <f t="shared" si="33"/>
        <v>338021.41976182797</v>
      </c>
      <c r="E251" s="54">
        <f t="shared" si="34"/>
        <v>-6443.0140148550854</v>
      </c>
      <c r="F251" s="54"/>
      <c r="G251" s="54">
        <f t="shared" si="35"/>
        <v>4752.9069160459494</v>
      </c>
      <c r="H251" s="54"/>
      <c r="I251" s="54">
        <f t="shared" si="36"/>
        <v>1690.107098809136</v>
      </c>
      <c r="J251" s="54"/>
      <c r="K251" s="54"/>
      <c r="L251" s="56">
        <f t="shared" si="37"/>
        <v>0.26231622264244747</v>
      </c>
      <c r="M251" s="54">
        <f t="shared" si="38"/>
        <v>333268.51284578204</v>
      </c>
    </row>
    <row r="252" spans="1:13" x14ac:dyDescent="0.3">
      <c r="A252" s="54"/>
      <c r="B252" s="41">
        <f t="shared" si="32"/>
        <v>241</v>
      </c>
      <c r="C252" s="52">
        <f t="shared" si="33"/>
        <v>333268.51284578204</v>
      </c>
      <c r="E252" s="54">
        <f t="shared" si="34"/>
        <v>-6443.0140148550854</v>
      </c>
      <c r="F252" s="54"/>
      <c r="G252" s="54">
        <f t="shared" si="35"/>
        <v>4776.6714506261796</v>
      </c>
      <c r="H252" s="54"/>
      <c r="I252" s="54">
        <f t="shared" si="36"/>
        <v>1666.3425642289062</v>
      </c>
      <c r="J252" s="54"/>
      <c r="K252" s="54"/>
      <c r="L252" s="56">
        <f t="shared" si="37"/>
        <v>0.25862780375565969</v>
      </c>
      <c r="M252" s="54">
        <f t="shared" si="38"/>
        <v>328491.84139515588</v>
      </c>
    </row>
    <row r="253" spans="1:13" x14ac:dyDescent="0.3">
      <c r="A253" s="54"/>
      <c r="B253" s="41">
        <f t="shared" si="32"/>
        <v>242</v>
      </c>
      <c r="C253" s="52">
        <f t="shared" si="33"/>
        <v>328491.84139515588</v>
      </c>
      <c r="E253" s="54">
        <f t="shared" si="34"/>
        <v>-6443.0140148550854</v>
      </c>
      <c r="F253" s="54"/>
      <c r="G253" s="54">
        <f t="shared" si="35"/>
        <v>4800.5548078793099</v>
      </c>
      <c r="H253" s="54"/>
      <c r="I253" s="54">
        <f t="shared" si="36"/>
        <v>1642.4592069757753</v>
      </c>
      <c r="J253" s="54"/>
      <c r="K253" s="54"/>
      <c r="L253" s="56">
        <f t="shared" si="37"/>
        <v>0.254920942774438</v>
      </c>
      <c r="M253" s="54">
        <f t="shared" si="38"/>
        <v>323691.28658727655</v>
      </c>
    </row>
    <row r="254" spans="1:13" x14ac:dyDescent="0.3">
      <c r="A254" s="54"/>
      <c r="B254" s="41">
        <f t="shared" si="32"/>
        <v>243</v>
      </c>
      <c r="C254" s="52">
        <f t="shared" si="33"/>
        <v>323691.28658727655</v>
      </c>
      <c r="E254" s="54">
        <f t="shared" si="34"/>
        <v>-6443.0140148550854</v>
      </c>
      <c r="F254" s="54"/>
      <c r="G254" s="54">
        <f t="shared" si="35"/>
        <v>4824.557581918707</v>
      </c>
      <c r="H254" s="54"/>
      <c r="I254" s="54">
        <f t="shared" si="36"/>
        <v>1618.4564329363784</v>
      </c>
      <c r="J254" s="54"/>
      <c r="K254" s="54"/>
      <c r="L254" s="56">
        <f t="shared" si="37"/>
        <v>0.25119554748831013</v>
      </c>
      <c r="M254" s="54">
        <f t="shared" si="38"/>
        <v>318866.72900535783</v>
      </c>
    </row>
    <row r="255" spans="1:13" x14ac:dyDescent="0.3">
      <c r="A255" s="54"/>
      <c r="B255" s="41">
        <f t="shared" si="32"/>
        <v>244</v>
      </c>
      <c r="C255" s="52">
        <f t="shared" si="33"/>
        <v>318866.72900535783</v>
      </c>
      <c r="E255" s="54">
        <f t="shared" si="34"/>
        <v>-6443.0140148550854</v>
      </c>
      <c r="F255" s="54"/>
      <c r="G255" s="54">
        <f t="shared" si="35"/>
        <v>4848.6803698283002</v>
      </c>
      <c r="H255" s="54"/>
      <c r="I255" s="54">
        <f t="shared" si="36"/>
        <v>1594.3336450267848</v>
      </c>
      <c r="J255" s="54"/>
      <c r="K255" s="54"/>
      <c r="L255" s="56">
        <f t="shared" si="37"/>
        <v>0.24745152522575167</v>
      </c>
      <c r="M255" s="54">
        <f t="shared" si="38"/>
        <v>314018.04863552953</v>
      </c>
    </row>
    <row r="256" spans="1:13" x14ac:dyDescent="0.3">
      <c r="A256" s="54"/>
      <c r="B256" s="41">
        <f t="shared" si="32"/>
        <v>245</v>
      </c>
      <c r="C256" s="52">
        <f t="shared" si="33"/>
        <v>314018.04863552953</v>
      </c>
      <c r="E256" s="54">
        <f t="shared" si="34"/>
        <v>-6443.0140148550854</v>
      </c>
      <c r="F256" s="54"/>
      <c r="G256" s="54">
        <f t="shared" si="35"/>
        <v>4872.9237716774423</v>
      </c>
      <c r="H256" s="54"/>
      <c r="I256" s="54">
        <f t="shared" si="36"/>
        <v>1570.0902431776435</v>
      </c>
      <c r="J256" s="54"/>
      <c r="K256" s="54"/>
      <c r="L256" s="56">
        <f t="shared" si="37"/>
        <v>0.24368878285188048</v>
      </c>
      <c r="M256" s="54">
        <f t="shared" si="38"/>
        <v>309145.12486385211</v>
      </c>
    </row>
    <row r="257" spans="1:13" x14ac:dyDescent="0.3">
      <c r="A257" s="54"/>
      <c r="B257" s="41">
        <f t="shared" si="32"/>
        <v>246</v>
      </c>
      <c r="C257" s="52">
        <f t="shared" si="33"/>
        <v>309145.12486385211</v>
      </c>
      <c r="E257" s="54">
        <f t="shared" si="34"/>
        <v>-6443.0140148550854</v>
      </c>
      <c r="F257" s="54"/>
      <c r="G257" s="54">
        <f t="shared" si="35"/>
        <v>4897.2883905358294</v>
      </c>
      <c r="H257" s="54"/>
      <c r="I257" s="54">
        <f t="shared" si="36"/>
        <v>1545.7256243192564</v>
      </c>
      <c r="J257" s="54"/>
      <c r="K257" s="54"/>
      <c r="L257" s="56">
        <f t="shared" si="37"/>
        <v>0.2399072267661399</v>
      </c>
      <c r="M257" s="54">
        <f t="shared" si="38"/>
        <v>304247.8364733163</v>
      </c>
    </row>
    <row r="258" spans="1:13" x14ac:dyDescent="0.3">
      <c r="A258" s="54"/>
      <c r="B258" s="41">
        <f t="shared" si="32"/>
        <v>247</v>
      </c>
      <c r="C258" s="52">
        <f t="shared" si="33"/>
        <v>304247.8364733163</v>
      </c>
      <c r="E258" s="54">
        <f t="shared" si="34"/>
        <v>-6443.0140148550854</v>
      </c>
      <c r="F258" s="54"/>
      <c r="G258" s="54">
        <f t="shared" si="35"/>
        <v>4921.7748324885088</v>
      </c>
      <c r="H258" s="54"/>
      <c r="I258" s="54">
        <f t="shared" si="36"/>
        <v>1521.2391823665771</v>
      </c>
      <c r="J258" s="54"/>
      <c r="K258" s="54"/>
      <c r="L258" s="56">
        <f t="shared" si="37"/>
        <v>0.23610676289997057</v>
      </c>
      <c r="M258" s="54">
        <f t="shared" si="38"/>
        <v>299326.0616408278</v>
      </c>
    </row>
    <row r="259" spans="1:13" x14ac:dyDescent="0.3">
      <c r="A259" s="54"/>
      <c r="B259" s="41">
        <f t="shared" si="32"/>
        <v>248</v>
      </c>
      <c r="C259" s="52">
        <f t="shared" si="33"/>
        <v>299326.0616408278</v>
      </c>
      <c r="E259" s="54">
        <f t="shared" si="34"/>
        <v>-6443.0140148550854</v>
      </c>
      <c r="F259" s="54"/>
      <c r="G259" s="54">
        <f t="shared" si="35"/>
        <v>4946.3837066509504</v>
      </c>
      <c r="H259" s="54"/>
      <c r="I259" s="54">
        <f t="shared" si="36"/>
        <v>1496.6303082041343</v>
      </c>
      <c r="J259" s="54"/>
      <c r="K259" s="54"/>
      <c r="L259" s="56">
        <f t="shared" si="37"/>
        <v>0.23228729671447038</v>
      </c>
      <c r="M259" s="54">
        <f t="shared" si="38"/>
        <v>294379.67793417687</v>
      </c>
    </row>
    <row r="260" spans="1:13" x14ac:dyDescent="0.3">
      <c r="A260" s="54"/>
      <c r="B260" s="41">
        <f t="shared" si="32"/>
        <v>249</v>
      </c>
      <c r="C260" s="52">
        <f t="shared" si="33"/>
        <v>294379.67793417687</v>
      </c>
      <c r="E260" s="54">
        <f t="shared" si="34"/>
        <v>-6443.0140148550854</v>
      </c>
      <c r="F260" s="54"/>
      <c r="G260" s="54">
        <f t="shared" si="35"/>
        <v>4971.1156251842049</v>
      </c>
      <c r="H260" s="54"/>
      <c r="I260" s="54">
        <f t="shared" si="36"/>
        <v>1471.8983896708796</v>
      </c>
      <c r="J260" s="54"/>
      <c r="K260" s="54"/>
      <c r="L260" s="56">
        <f t="shared" si="37"/>
        <v>0.22844873319804274</v>
      </c>
      <c r="M260" s="54">
        <f t="shared" si="38"/>
        <v>289408.56230899267</v>
      </c>
    </row>
    <row r="261" spans="1:13" x14ac:dyDescent="0.3">
      <c r="A261" s="54"/>
      <c r="B261" s="41">
        <f t="shared" si="32"/>
        <v>250</v>
      </c>
      <c r="C261" s="52">
        <f t="shared" si="33"/>
        <v>289408.56230899267</v>
      </c>
      <c r="E261" s="54">
        <f t="shared" si="34"/>
        <v>-6443.0140148550854</v>
      </c>
      <c r="F261" s="54"/>
      <c r="G261" s="54">
        <f t="shared" si="35"/>
        <v>4995.9712033101268</v>
      </c>
      <c r="H261" s="54"/>
      <c r="I261" s="54">
        <f t="shared" si="36"/>
        <v>1447.0428115449588</v>
      </c>
      <c r="J261" s="54"/>
      <c r="K261" s="54"/>
      <c r="L261" s="56">
        <f t="shared" si="37"/>
        <v>0.22459097686403298</v>
      </c>
      <c r="M261" s="54">
        <f t="shared" si="38"/>
        <v>284412.59110568254</v>
      </c>
    </row>
    <row r="262" spans="1:13" x14ac:dyDescent="0.3">
      <c r="A262" s="54"/>
      <c r="B262" s="41">
        <f t="shared" si="32"/>
        <v>251</v>
      </c>
      <c r="C262" s="52">
        <f t="shared" si="33"/>
        <v>284412.59110568254</v>
      </c>
      <c r="E262" s="54">
        <f t="shared" si="34"/>
        <v>-6443.0140148550854</v>
      </c>
      <c r="F262" s="54"/>
      <c r="G262" s="54">
        <f t="shared" si="35"/>
        <v>5020.9510593266768</v>
      </c>
      <c r="H262" s="54"/>
      <c r="I262" s="54">
        <f t="shared" si="36"/>
        <v>1422.0629555284081</v>
      </c>
      <c r="J262" s="54"/>
      <c r="K262" s="54"/>
      <c r="L262" s="56">
        <f t="shared" si="37"/>
        <v>0.22071393174835316</v>
      </c>
      <c r="M262" s="54">
        <f t="shared" si="38"/>
        <v>279391.64004635584</v>
      </c>
    </row>
    <row r="263" spans="1:13" x14ac:dyDescent="0.3">
      <c r="A263" s="54"/>
      <c r="B263" s="41">
        <f t="shared" si="32"/>
        <v>252</v>
      </c>
      <c r="C263" s="52">
        <f t="shared" si="33"/>
        <v>279391.64004635584</v>
      </c>
      <c r="E263" s="54">
        <f t="shared" si="34"/>
        <v>-6443.0140148550854</v>
      </c>
      <c r="F263" s="54"/>
      <c r="G263" s="54">
        <f t="shared" si="35"/>
        <v>5046.0558146233116</v>
      </c>
      <c r="H263" s="54"/>
      <c r="I263" s="54">
        <f t="shared" si="36"/>
        <v>1396.9582002317748</v>
      </c>
      <c r="J263" s="54"/>
      <c r="K263" s="54"/>
      <c r="L263" s="56">
        <f t="shared" si="37"/>
        <v>0.21681750140709491</v>
      </c>
      <c r="M263" s="54">
        <f t="shared" si="38"/>
        <v>274345.58423173253</v>
      </c>
    </row>
    <row r="264" spans="1:13" x14ac:dyDescent="0.3">
      <c r="A264" s="54"/>
      <c r="B264" s="41">
        <f t="shared" si="32"/>
        <v>253</v>
      </c>
      <c r="C264" s="52">
        <f t="shared" si="33"/>
        <v>274345.58423173253</v>
      </c>
      <c r="E264" s="54">
        <f t="shared" si="34"/>
        <v>-6443.0140148550854</v>
      </c>
      <c r="F264" s="54"/>
      <c r="G264" s="54">
        <f t="shared" si="35"/>
        <v>5071.2860936964271</v>
      </c>
      <c r="H264" s="54"/>
      <c r="I264" s="54">
        <f t="shared" si="36"/>
        <v>1371.7279211586583</v>
      </c>
      <c r="J264" s="54"/>
      <c r="K264" s="54"/>
      <c r="L264" s="56">
        <f t="shared" si="37"/>
        <v>0.21290158891413041</v>
      </c>
      <c r="M264" s="54">
        <f t="shared" si="38"/>
        <v>269274.2981380361</v>
      </c>
    </row>
    <row r="265" spans="1:13" x14ac:dyDescent="0.3">
      <c r="A265" s="54"/>
      <c r="B265" s="41">
        <f t="shared" si="32"/>
        <v>254</v>
      </c>
      <c r="C265" s="52">
        <f t="shared" si="33"/>
        <v>269274.2981380361</v>
      </c>
      <c r="E265" s="54">
        <f t="shared" si="34"/>
        <v>-6443.0140148550854</v>
      </c>
      <c r="F265" s="54"/>
      <c r="G265" s="54">
        <f t="shared" si="35"/>
        <v>5096.6425241649094</v>
      </c>
      <c r="H265" s="54"/>
      <c r="I265" s="54">
        <f t="shared" si="36"/>
        <v>1346.3714906901762</v>
      </c>
      <c r="J265" s="54"/>
      <c r="K265" s="54"/>
      <c r="L265" s="56">
        <f t="shared" si="37"/>
        <v>0.20896609685870107</v>
      </c>
      <c r="M265" s="54">
        <f t="shared" si="38"/>
        <v>264177.65561387117</v>
      </c>
    </row>
    <row r="266" spans="1:13" x14ac:dyDescent="0.3">
      <c r="A266" s="54"/>
      <c r="B266" s="41">
        <f t="shared" si="32"/>
        <v>255</v>
      </c>
      <c r="C266" s="52">
        <f t="shared" si="33"/>
        <v>264177.65561387117</v>
      </c>
      <c r="E266" s="54">
        <f t="shared" si="34"/>
        <v>-6443.0140148550854</v>
      </c>
      <c r="F266" s="54"/>
      <c r="G266" s="54">
        <f t="shared" si="35"/>
        <v>5122.1257367857343</v>
      </c>
      <c r="H266" s="54"/>
      <c r="I266" s="54">
        <f t="shared" si="36"/>
        <v>1320.8882780693516</v>
      </c>
      <c r="J266" s="54"/>
      <c r="K266" s="54"/>
      <c r="L266" s="56">
        <f t="shared" si="37"/>
        <v>0.20501092734299456</v>
      </c>
      <c r="M266" s="54">
        <f t="shared" si="38"/>
        <v>259055.52987708544</v>
      </c>
    </row>
    <row r="267" spans="1:13" x14ac:dyDescent="0.3">
      <c r="A267" s="54"/>
      <c r="B267" s="41">
        <f t="shared" si="32"/>
        <v>256</v>
      </c>
      <c r="C267" s="52">
        <f t="shared" si="33"/>
        <v>259055.52987708544</v>
      </c>
      <c r="E267" s="54">
        <f t="shared" si="34"/>
        <v>-6443.0140148550854</v>
      </c>
      <c r="F267" s="54"/>
      <c r="G267" s="54">
        <f t="shared" si="35"/>
        <v>5147.7363654696628</v>
      </c>
      <c r="H267" s="54"/>
      <c r="I267" s="54">
        <f t="shared" si="36"/>
        <v>1295.277649385423</v>
      </c>
      <c r="J267" s="54"/>
      <c r="K267" s="54"/>
      <c r="L267" s="56">
        <f t="shared" si="37"/>
        <v>0.20103598197970957</v>
      </c>
      <c r="M267" s="54">
        <f t="shared" si="38"/>
        <v>253907.79351161578</v>
      </c>
    </row>
    <row r="268" spans="1:13" x14ac:dyDescent="0.3">
      <c r="A268" s="54"/>
      <c r="B268" s="41">
        <f t="shared" si="32"/>
        <v>257</v>
      </c>
      <c r="C268" s="52">
        <f t="shared" si="33"/>
        <v>253907.79351161578</v>
      </c>
      <c r="E268" s="54">
        <f t="shared" si="34"/>
        <v>-6443.0140148550854</v>
      </c>
      <c r="F268" s="54"/>
      <c r="G268" s="54">
        <f t="shared" si="35"/>
        <v>5173.4750472970109</v>
      </c>
      <c r="H268" s="54"/>
      <c r="I268" s="54">
        <f t="shared" si="36"/>
        <v>1269.5389675580745</v>
      </c>
      <c r="J268" s="54"/>
      <c r="K268" s="54"/>
      <c r="L268" s="56">
        <f t="shared" si="37"/>
        <v>0.19704116188960807</v>
      </c>
      <c r="M268" s="54">
        <f t="shared" si="38"/>
        <v>248734.31846431876</v>
      </c>
    </row>
    <row r="269" spans="1:13" x14ac:dyDescent="0.3">
      <c r="A269" s="54"/>
      <c r="B269" s="41">
        <f t="shared" si="32"/>
        <v>258</v>
      </c>
      <c r="C269" s="52">
        <f t="shared" si="33"/>
        <v>248734.31846431876</v>
      </c>
      <c r="E269" s="54">
        <f t="shared" si="34"/>
        <v>-6443.0140148550854</v>
      </c>
      <c r="F269" s="54"/>
      <c r="G269" s="54">
        <f t="shared" si="35"/>
        <v>5199.3424225334957</v>
      </c>
      <c r="H269" s="54"/>
      <c r="I269" s="54">
        <f t="shared" si="36"/>
        <v>1243.6715923215895</v>
      </c>
      <c r="J269" s="54"/>
      <c r="K269" s="54"/>
      <c r="L269" s="56">
        <f t="shared" si="37"/>
        <v>0.19302636769905612</v>
      </c>
      <c r="M269" s="54">
        <f t="shared" si="38"/>
        <v>243534.97604178527</v>
      </c>
    </row>
    <row r="270" spans="1:13" x14ac:dyDescent="0.3">
      <c r="A270" s="54"/>
      <c r="B270" s="41">
        <f t="shared" si="32"/>
        <v>259</v>
      </c>
      <c r="C270" s="52">
        <f t="shared" si="33"/>
        <v>243534.97604178527</v>
      </c>
      <c r="E270" s="54">
        <f t="shared" si="34"/>
        <v>-6443.0140148550854</v>
      </c>
      <c r="F270" s="54"/>
      <c r="G270" s="54">
        <f t="shared" si="35"/>
        <v>5225.339134646164</v>
      </c>
      <c r="H270" s="54"/>
      <c r="I270" s="54">
        <f t="shared" si="36"/>
        <v>1217.6748802089221</v>
      </c>
      <c r="J270" s="54"/>
      <c r="K270" s="54"/>
      <c r="L270" s="56">
        <f t="shared" si="37"/>
        <v>0.1889914995375514</v>
      </c>
      <c r="M270" s="54">
        <f t="shared" si="38"/>
        <v>238309.63690713909</v>
      </c>
    </row>
    <row r="271" spans="1:13" x14ac:dyDescent="0.3">
      <c r="A271" s="54"/>
      <c r="B271" s="41">
        <f t="shared" ref="B271:B311" si="39">B270+1</f>
        <v>260</v>
      </c>
      <c r="C271" s="52">
        <f t="shared" si="33"/>
        <v>238309.63690713909</v>
      </c>
      <c r="E271" s="54">
        <f t="shared" si="34"/>
        <v>-6443.0140148550854</v>
      </c>
      <c r="F271" s="54"/>
      <c r="G271" s="54">
        <f t="shared" si="35"/>
        <v>5251.4658303193946</v>
      </c>
      <c r="H271" s="54"/>
      <c r="I271" s="54">
        <f t="shared" si="36"/>
        <v>1191.5481845356912</v>
      </c>
      <c r="J271" s="54"/>
      <c r="K271" s="54"/>
      <c r="L271" s="56">
        <f t="shared" si="37"/>
        <v>0.18493645703523914</v>
      </c>
      <c r="M271" s="54">
        <f t="shared" si="38"/>
        <v>233058.17107681971</v>
      </c>
    </row>
    <row r="272" spans="1:13" x14ac:dyDescent="0.3">
      <c r="A272" s="54"/>
      <c r="B272" s="41">
        <f t="shared" si="39"/>
        <v>261</v>
      </c>
      <c r="C272" s="52">
        <f t="shared" si="33"/>
        <v>233058.17107681971</v>
      </c>
      <c r="E272" s="54">
        <f t="shared" si="34"/>
        <v>-6443.0140148550854</v>
      </c>
      <c r="F272" s="54"/>
      <c r="G272" s="54">
        <f t="shared" si="35"/>
        <v>5277.723159470991</v>
      </c>
      <c r="H272" s="54"/>
      <c r="I272" s="54">
        <f t="shared" si="36"/>
        <v>1165.2908553840941</v>
      </c>
      <c r="J272" s="54"/>
      <c r="K272" s="54"/>
      <c r="L272" s="56">
        <f t="shared" si="37"/>
        <v>0.18086113932041534</v>
      </c>
      <c r="M272" s="54">
        <f t="shared" si="38"/>
        <v>227780.44791734871</v>
      </c>
    </row>
    <row r="273" spans="1:13" x14ac:dyDescent="0.3">
      <c r="A273" s="54"/>
      <c r="B273" s="41">
        <f t="shared" si="39"/>
        <v>262</v>
      </c>
      <c r="C273" s="52">
        <f t="shared" si="33"/>
        <v>227780.44791734871</v>
      </c>
      <c r="E273" s="54">
        <f t="shared" si="34"/>
        <v>-6443.0140148550854</v>
      </c>
      <c r="F273" s="54"/>
      <c r="G273" s="54">
        <f t="shared" si="35"/>
        <v>5304.1117752683467</v>
      </c>
      <c r="H273" s="54"/>
      <c r="I273" s="54">
        <f t="shared" si="36"/>
        <v>1138.9022395867391</v>
      </c>
      <c r="J273" s="54"/>
      <c r="K273" s="54"/>
      <c r="L273" s="56">
        <f t="shared" si="37"/>
        <v>0.17676544501701741</v>
      </c>
      <c r="M273" s="54">
        <f t="shared" si="38"/>
        <v>222476.33614208037</v>
      </c>
    </row>
    <row r="274" spans="1:13" x14ac:dyDescent="0.3">
      <c r="A274" s="54"/>
      <c r="B274" s="41">
        <f t="shared" si="39"/>
        <v>263</v>
      </c>
      <c r="C274" s="52">
        <f t="shared" si="33"/>
        <v>222476.33614208037</v>
      </c>
      <c r="E274" s="54">
        <f t="shared" si="34"/>
        <v>-6443.0140148550854</v>
      </c>
      <c r="F274" s="54"/>
      <c r="G274" s="54">
        <f t="shared" si="35"/>
        <v>5330.6323341446887</v>
      </c>
      <c r="H274" s="54"/>
      <c r="I274" s="54">
        <f t="shared" si="36"/>
        <v>1112.3816807103974</v>
      </c>
      <c r="J274" s="54"/>
      <c r="K274" s="54"/>
      <c r="L274" s="56">
        <f t="shared" si="37"/>
        <v>0.1726492722421025</v>
      </c>
      <c r="M274" s="54">
        <f t="shared" si="38"/>
        <v>217145.70380793567</v>
      </c>
    </row>
    <row r="275" spans="1:13" x14ac:dyDescent="0.3">
      <c r="A275" s="54"/>
      <c r="B275" s="41">
        <f t="shared" si="39"/>
        <v>264</v>
      </c>
      <c r="C275" s="52">
        <f t="shared" si="33"/>
        <v>217145.70380793567</v>
      </c>
      <c r="E275" s="54">
        <f t="shared" si="34"/>
        <v>-6443.0140148550854</v>
      </c>
      <c r="F275" s="54"/>
      <c r="G275" s="54">
        <f t="shared" si="35"/>
        <v>5357.2854958154121</v>
      </c>
      <c r="H275" s="54"/>
      <c r="I275" s="54">
        <f t="shared" si="36"/>
        <v>1085.728519039674</v>
      </c>
      <c r="J275" s="54"/>
      <c r="K275" s="54"/>
      <c r="L275" s="56">
        <f t="shared" si="37"/>
        <v>0.16851251860331301</v>
      </c>
      <c r="M275" s="54">
        <f t="shared" si="38"/>
        <v>211788.41831212025</v>
      </c>
    </row>
    <row r="276" spans="1:13" x14ac:dyDescent="0.3">
      <c r="A276" s="54"/>
      <c r="B276" s="41">
        <f t="shared" si="39"/>
        <v>265</v>
      </c>
      <c r="C276" s="52">
        <f t="shared" si="33"/>
        <v>211788.41831212025</v>
      </c>
      <c r="E276" s="54">
        <f t="shared" si="34"/>
        <v>-6443.0140148550854</v>
      </c>
      <c r="F276" s="54"/>
      <c r="G276" s="54">
        <f t="shared" si="35"/>
        <v>5384.0719232944894</v>
      </c>
      <c r="H276" s="54"/>
      <c r="I276" s="54">
        <f t="shared" si="36"/>
        <v>1058.942091560597</v>
      </c>
      <c r="J276" s="54"/>
      <c r="K276" s="54"/>
      <c r="L276" s="56">
        <f t="shared" si="37"/>
        <v>0.16435508119632958</v>
      </c>
      <c r="M276" s="54">
        <f t="shared" si="38"/>
        <v>206404.34638882577</v>
      </c>
    </row>
    <row r="277" spans="1:13" x14ac:dyDescent="0.3">
      <c r="A277" s="54"/>
      <c r="B277" s="41">
        <f t="shared" si="39"/>
        <v>266</v>
      </c>
      <c r="C277" s="52">
        <f t="shared" si="33"/>
        <v>206404.34638882577</v>
      </c>
      <c r="E277" s="54">
        <f t="shared" si="34"/>
        <v>-6443.0140148550854</v>
      </c>
      <c r="F277" s="54"/>
      <c r="G277" s="54">
        <f t="shared" si="35"/>
        <v>5410.9922829109619</v>
      </c>
      <c r="H277" s="54"/>
      <c r="I277" s="54">
        <f t="shared" si="36"/>
        <v>1032.0217319441247</v>
      </c>
      <c r="J277" s="54"/>
      <c r="K277" s="54"/>
      <c r="L277" s="56">
        <f t="shared" si="37"/>
        <v>0.16017685660231124</v>
      </c>
      <c r="M277" s="54">
        <f t="shared" si="38"/>
        <v>200993.3541059148</v>
      </c>
    </row>
    <row r="278" spans="1:13" x14ac:dyDescent="0.3">
      <c r="A278" s="54"/>
      <c r="B278" s="41">
        <f t="shared" si="39"/>
        <v>267</v>
      </c>
      <c r="C278" s="52">
        <f t="shared" si="33"/>
        <v>200993.3541059148</v>
      </c>
      <c r="E278" s="54">
        <f t="shared" si="34"/>
        <v>-6443.0140148550854</v>
      </c>
      <c r="F278" s="54"/>
      <c r="G278" s="54">
        <f t="shared" si="35"/>
        <v>5438.0472443255157</v>
      </c>
      <c r="H278" s="54"/>
      <c r="I278" s="54">
        <f t="shared" si="36"/>
        <v>1004.9667705295697</v>
      </c>
      <c r="J278" s="54"/>
      <c r="K278" s="54"/>
      <c r="L278" s="56">
        <f t="shared" si="37"/>
        <v>0.15597774088532276</v>
      </c>
      <c r="M278" s="54">
        <f t="shared" si="38"/>
        <v>195555.30686158928</v>
      </c>
    </row>
    <row r="279" spans="1:13" x14ac:dyDescent="0.3">
      <c r="A279" s="54"/>
      <c r="B279" s="41">
        <f t="shared" si="39"/>
        <v>268</v>
      </c>
      <c r="C279" s="52">
        <f t="shared" si="33"/>
        <v>195555.30686158928</v>
      </c>
      <c r="E279" s="54">
        <f t="shared" si="34"/>
        <v>-6443.0140148550854</v>
      </c>
      <c r="F279" s="54"/>
      <c r="G279" s="54">
        <f t="shared" si="35"/>
        <v>5465.2374805471427</v>
      </c>
      <c r="H279" s="54"/>
      <c r="I279" s="54">
        <f t="shared" si="36"/>
        <v>977.77653430794226</v>
      </c>
      <c r="J279" s="54"/>
      <c r="K279" s="54"/>
      <c r="L279" s="56">
        <f t="shared" si="37"/>
        <v>0.15175762958974942</v>
      </c>
      <c r="M279" s="54">
        <f t="shared" si="38"/>
        <v>190090.06938104215</v>
      </c>
    </row>
    <row r="280" spans="1:13" x14ac:dyDescent="0.3">
      <c r="A280" s="54"/>
      <c r="B280" s="41">
        <f t="shared" si="39"/>
        <v>269</v>
      </c>
      <c r="C280" s="52">
        <f t="shared" si="33"/>
        <v>190090.06938104215</v>
      </c>
      <c r="E280" s="54">
        <f t="shared" si="34"/>
        <v>-6443.0140148550854</v>
      </c>
      <c r="F280" s="54"/>
      <c r="G280" s="54">
        <f t="shared" si="35"/>
        <v>5492.5636679498793</v>
      </c>
      <c r="H280" s="54"/>
      <c r="I280" s="54">
        <f t="shared" si="36"/>
        <v>950.45034690520629</v>
      </c>
      <c r="J280" s="54"/>
      <c r="K280" s="54"/>
      <c r="L280" s="56">
        <f t="shared" si="37"/>
        <v>0.14751641773769811</v>
      </c>
      <c r="M280" s="54">
        <f t="shared" si="38"/>
        <v>184597.50571309228</v>
      </c>
    </row>
    <row r="281" spans="1:13" x14ac:dyDescent="0.3">
      <c r="A281" s="54"/>
      <c r="B281" s="41">
        <f t="shared" si="39"/>
        <v>270</v>
      </c>
      <c r="C281" s="52">
        <f t="shared" si="33"/>
        <v>184597.50571309228</v>
      </c>
      <c r="E281" s="54">
        <f t="shared" si="34"/>
        <v>-6443.0140148550854</v>
      </c>
      <c r="F281" s="54"/>
      <c r="G281" s="54">
        <f t="shared" si="35"/>
        <v>5520.0264862896283</v>
      </c>
      <c r="H281" s="54"/>
      <c r="I281" s="54">
        <f t="shared" si="36"/>
        <v>922.98752856545696</v>
      </c>
      <c r="J281" s="54"/>
      <c r="K281" s="54"/>
      <c r="L281" s="56">
        <f t="shared" si="37"/>
        <v>0.14325399982638662</v>
      </c>
      <c r="M281" s="54">
        <f t="shared" si="38"/>
        <v>179077.47922680265</v>
      </c>
    </row>
    <row r="282" spans="1:13" x14ac:dyDescent="0.3">
      <c r="A282" s="54"/>
      <c r="B282" s="41">
        <f t="shared" si="39"/>
        <v>271</v>
      </c>
      <c r="C282" s="52">
        <f t="shared" si="33"/>
        <v>179077.47922680265</v>
      </c>
      <c r="E282" s="54">
        <f t="shared" si="34"/>
        <v>-6443.0140148550854</v>
      </c>
      <c r="F282" s="54"/>
      <c r="G282" s="54">
        <f t="shared" si="35"/>
        <v>5547.6266187210767</v>
      </c>
      <c r="H282" s="54"/>
      <c r="I282" s="54">
        <f t="shared" si="36"/>
        <v>895.38739613400901</v>
      </c>
      <c r="J282" s="54"/>
      <c r="K282" s="54"/>
      <c r="L282" s="56">
        <f t="shared" si="37"/>
        <v>0.13897026982551858</v>
      </c>
      <c r="M282" s="54">
        <f t="shared" si="38"/>
        <v>173529.85260808156</v>
      </c>
    </row>
    <row r="283" spans="1:13" x14ac:dyDescent="0.3">
      <c r="A283" s="54"/>
      <c r="B283" s="41">
        <f t="shared" si="39"/>
        <v>272</v>
      </c>
      <c r="C283" s="52">
        <f t="shared" si="33"/>
        <v>173529.85260808156</v>
      </c>
      <c r="E283" s="54">
        <f t="shared" si="34"/>
        <v>-6443.0140148550854</v>
      </c>
      <c r="F283" s="54"/>
      <c r="G283" s="54">
        <f t="shared" si="35"/>
        <v>5575.3647518146818</v>
      </c>
      <c r="H283" s="54"/>
      <c r="I283" s="54">
        <f t="shared" si="36"/>
        <v>867.64926304040353</v>
      </c>
      <c r="J283" s="54"/>
      <c r="K283" s="54"/>
      <c r="L283" s="56">
        <f t="shared" si="37"/>
        <v>0.13466512117464616</v>
      </c>
      <c r="M283" s="54">
        <f t="shared" si="38"/>
        <v>167954.48785626687</v>
      </c>
    </row>
    <row r="284" spans="1:13" x14ac:dyDescent="0.3">
      <c r="A284" s="54"/>
      <c r="B284" s="41">
        <f t="shared" si="39"/>
        <v>273</v>
      </c>
      <c r="C284" s="52">
        <f t="shared" si="33"/>
        <v>167954.48785626687</v>
      </c>
      <c r="E284" s="54">
        <f t="shared" si="34"/>
        <v>-6443.0140148550854</v>
      </c>
      <c r="F284" s="54"/>
      <c r="G284" s="54">
        <f t="shared" si="35"/>
        <v>5603.2415755737566</v>
      </c>
      <c r="H284" s="54"/>
      <c r="I284" s="54">
        <f t="shared" si="36"/>
        <v>839.77243928132998</v>
      </c>
      <c r="J284" s="54"/>
      <c r="K284" s="54"/>
      <c r="L284" s="56">
        <f t="shared" si="37"/>
        <v>0.13033844678051937</v>
      </c>
      <c r="M284" s="54">
        <f t="shared" si="38"/>
        <v>162351.24628069313</v>
      </c>
    </row>
    <row r="285" spans="1:13" x14ac:dyDescent="0.3">
      <c r="A285" s="54"/>
      <c r="B285" s="41">
        <f t="shared" si="39"/>
        <v>274</v>
      </c>
      <c r="C285" s="52">
        <f t="shared" ref="C285:C311" si="40">IF(B285&gt;$G$5,0,M284)</f>
        <v>162351.24628069313</v>
      </c>
      <c r="E285" s="54">
        <f t="shared" ref="E285:E311" si="41">IF(B285&gt;$G$5,0,PMT($E$7,$G$5,$E$4))</f>
        <v>-6443.0140148550854</v>
      </c>
      <c r="F285" s="54"/>
      <c r="G285" s="54">
        <f t="shared" ref="G285:G311" si="42">IF(B285&lt;$G$5+1,-PPMT($E$7,B285,$G$5,$E$4),0)</f>
        <v>5631.2577834516242</v>
      </c>
      <c r="H285" s="54"/>
      <c r="I285" s="54">
        <f t="shared" ref="I285:I311" si="43">-IPMT($E$7,B285,$G$5,$E$4)</f>
        <v>811.75623140346113</v>
      </c>
      <c r="J285" s="54"/>
      <c r="K285" s="54"/>
      <c r="L285" s="56">
        <f t="shared" ref="L285:L311" si="44">IFERROR(-I285/E285,"NA")</f>
        <v>0.12599013901442196</v>
      </c>
      <c r="M285" s="54">
        <f t="shared" ref="M285:M311" si="45">C285-G285</f>
        <v>156719.98849724152</v>
      </c>
    </row>
    <row r="286" spans="1:13" x14ac:dyDescent="0.3">
      <c r="A286" s="54"/>
      <c r="B286" s="41">
        <f t="shared" si="39"/>
        <v>275</v>
      </c>
      <c r="C286" s="52">
        <f t="shared" si="40"/>
        <v>156719.98849724152</v>
      </c>
      <c r="E286" s="54">
        <f t="shared" si="41"/>
        <v>-6443.0140148550854</v>
      </c>
      <c r="F286" s="54"/>
      <c r="G286" s="54">
        <f t="shared" si="42"/>
        <v>5659.4140723688824</v>
      </c>
      <c r="H286" s="54"/>
      <c r="I286" s="54">
        <f t="shared" si="43"/>
        <v>783.59994248620296</v>
      </c>
      <c r="J286" s="54"/>
      <c r="K286" s="54"/>
      <c r="L286" s="56">
        <f t="shared" si="44"/>
        <v>0.12162008970949406</v>
      </c>
      <c r="M286" s="54">
        <f t="shared" si="45"/>
        <v>151060.57442487264</v>
      </c>
    </row>
    <row r="287" spans="1:13" x14ac:dyDescent="0.3">
      <c r="A287" s="54"/>
      <c r="B287" s="41">
        <f t="shared" si="39"/>
        <v>276</v>
      </c>
      <c r="C287" s="52">
        <f t="shared" si="40"/>
        <v>151060.57442487264</v>
      </c>
      <c r="E287" s="54">
        <f t="shared" si="41"/>
        <v>-6443.0140148550854</v>
      </c>
      <c r="F287" s="54"/>
      <c r="G287" s="54">
        <f t="shared" si="42"/>
        <v>5687.7111427307273</v>
      </c>
      <c r="H287" s="54"/>
      <c r="I287" s="54">
        <f t="shared" si="43"/>
        <v>755.30287212435871</v>
      </c>
      <c r="J287" s="54"/>
      <c r="K287" s="54"/>
      <c r="L287" s="56">
        <f t="shared" si="44"/>
        <v>0.11722819015804155</v>
      </c>
      <c r="M287" s="54">
        <f t="shared" si="45"/>
        <v>145372.86328214192</v>
      </c>
    </row>
    <row r="288" spans="1:13" x14ac:dyDescent="0.3">
      <c r="A288" s="54"/>
      <c r="B288" s="41">
        <f t="shared" si="39"/>
        <v>277</v>
      </c>
      <c r="C288" s="52">
        <f t="shared" si="40"/>
        <v>145372.86328214192</v>
      </c>
      <c r="E288" s="54">
        <f t="shared" si="41"/>
        <v>-6443.0140148550854</v>
      </c>
      <c r="F288" s="54"/>
      <c r="G288" s="54">
        <f t="shared" si="42"/>
        <v>5716.1496984443802</v>
      </c>
      <c r="H288" s="54"/>
      <c r="I288" s="54">
        <f t="shared" si="43"/>
        <v>726.8643164107051</v>
      </c>
      <c r="J288" s="54"/>
      <c r="K288" s="54"/>
      <c r="L288" s="56">
        <f t="shared" si="44"/>
        <v>0.11281433110883177</v>
      </c>
      <c r="M288" s="54">
        <f t="shared" si="45"/>
        <v>139656.71358369754</v>
      </c>
    </row>
    <row r="289" spans="1:13" x14ac:dyDescent="0.3">
      <c r="A289" s="54"/>
      <c r="B289" s="41">
        <f t="shared" si="39"/>
        <v>278</v>
      </c>
      <c r="C289" s="52">
        <f t="shared" si="40"/>
        <v>139656.71358369754</v>
      </c>
      <c r="E289" s="54">
        <f t="shared" si="41"/>
        <v>-6443.0140148550854</v>
      </c>
      <c r="F289" s="54"/>
      <c r="G289" s="54">
        <f t="shared" si="42"/>
        <v>5744.7304469366027</v>
      </c>
      <c r="H289" s="54"/>
      <c r="I289" s="54">
        <f t="shared" si="43"/>
        <v>698.28356791848319</v>
      </c>
      <c r="J289" s="54"/>
      <c r="K289" s="54"/>
      <c r="L289" s="56">
        <f t="shared" si="44"/>
        <v>0.10837840276437592</v>
      </c>
      <c r="M289" s="54">
        <f t="shared" si="45"/>
        <v>133911.98313676094</v>
      </c>
    </row>
    <row r="290" spans="1:13" x14ac:dyDescent="0.3">
      <c r="A290" s="54"/>
      <c r="B290" s="41">
        <f t="shared" si="39"/>
        <v>279</v>
      </c>
      <c r="C290" s="52">
        <f t="shared" si="40"/>
        <v>133911.98313676094</v>
      </c>
      <c r="E290" s="54">
        <f t="shared" si="41"/>
        <v>-6443.0140148550854</v>
      </c>
      <c r="F290" s="54"/>
      <c r="G290" s="54">
        <f t="shared" si="42"/>
        <v>5773.4540991712847</v>
      </c>
      <c r="H290" s="54"/>
      <c r="I290" s="54">
        <f t="shared" si="43"/>
        <v>669.55991568380023</v>
      </c>
      <c r="J290" s="54"/>
      <c r="K290" s="54"/>
      <c r="L290" s="56">
        <f t="shared" si="44"/>
        <v>0.10392029477819781</v>
      </c>
      <c r="M290" s="54">
        <f t="shared" si="45"/>
        <v>128138.52903758966</v>
      </c>
    </row>
    <row r="291" spans="1:13" x14ac:dyDescent="0.3">
      <c r="A291" s="54"/>
      <c r="B291" s="41">
        <f t="shared" si="39"/>
        <v>280</v>
      </c>
      <c r="C291" s="52">
        <f t="shared" si="40"/>
        <v>128138.52903758966</v>
      </c>
      <c r="E291" s="54">
        <f t="shared" si="41"/>
        <v>-6443.0140148550854</v>
      </c>
      <c r="F291" s="54"/>
      <c r="G291" s="54">
        <f t="shared" si="42"/>
        <v>5802.3213696671419</v>
      </c>
      <c r="H291" s="54"/>
      <c r="I291" s="54">
        <f t="shared" si="43"/>
        <v>640.69264518794375</v>
      </c>
      <c r="J291" s="54"/>
      <c r="K291" s="54"/>
      <c r="L291" s="56">
        <f t="shared" si="44"/>
        <v>9.9439896252088794E-2</v>
      </c>
      <c r="M291" s="54">
        <f t="shared" si="45"/>
        <v>122336.20766792251</v>
      </c>
    </row>
    <row r="292" spans="1:13" x14ac:dyDescent="0.3">
      <c r="A292" s="54"/>
      <c r="B292" s="41">
        <f t="shared" si="39"/>
        <v>281</v>
      </c>
      <c r="C292" s="52">
        <f t="shared" si="40"/>
        <v>122336.20766792251</v>
      </c>
      <c r="E292" s="54">
        <f t="shared" si="41"/>
        <v>-6443.0140148550854</v>
      </c>
      <c r="F292" s="54"/>
      <c r="G292" s="54">
        <f t="shared" si="42"/>
        <v>5831.3329765154785</v>
      </c>
      <c r="H292" s="54"/>
      <c r="I292" s="54">
        <f t="shared" si="43"/>
        <v>611.68103833960799</v>
      </c>
      <c r="J292" s="54"/>
      <c r="K292" s="54"/>
      <c r="L292" s="56">
        <f t="shared" si="44"/>
        <v>9.4937095733349228E-2</v>
      </c>
      <c r="M292" s="54">
        <f t="shared" si="45"/>
        <v>116504.87469140704</v>
      </c>
    </row>
    <row r="293" spans="1:13" x14ac:dyDescent="0.3">
      <c r="A293" s="54"/>
      <c r="B293" s="41">
        <f t="shared" si="39"/>
        <v>282</v>
      </c>
      <c r="C293" s="52">
        <f t="shared" si="40"/>
        <v>116504.87469140704</v>
      </c>
      <c r="E293" s="54">
        <f t="shared" si="41"/>
        <v>-6443.0140148550854</v>
      </c>
      <c r="F293" s="54"/>
      <c r="G293" s="54">
        <f t="shared" si="42"/>
        <v>5860.489641398055</v>
      </c>
      <c r="H293" s="54"/>
      <c r="I293" s="54">
        <f t="shared" si="43"/>
        <v>582.52437345703061</v>
      </c>
      <c r="J293" s="54"/>
      <c r="K293" s="54"/>
      <c r="L293" s="56">
        <f t="shared" si="44"/>
        <v>9.0411781212015971E-2</v>
      </c>
      <c r="M293" s="54">
        <f t="shared" si="45"/>
        <v>110644.38505000898</v>
      </c>
    </row>
    <row r="294" spans="1:13" x14ac:dyDescent="0.3">
      <c r="A294" s="54"/>
      <c r="B294" s="41">
        <f t="shared" si="39"/>
        <v>283</v>
      </c>
      <c r="C294" s="52">
        <f t="shared" si="40"/>
        <v>110644.38505000898</v>
      </c>
      <c r="E294" s="54">
        <f t="shared" si="41"/>
        <v>-6443.0140148550854</v>
      </c>
      <c r="F294" s="54"/>
      <c r="G294" s="54">
        <f t="shared" si="42"/>
        <v>5889.7920896050455</v>
      </c>
      <c r="H294" s="54"/>
      <c r="I294" s="54">
        <f t="shared" si="43"/>
        <v>553.22192525004039</v>
      </c>
      <c r="J294" s="54"/>
      <c r="K294" s="54"/>
      <c r="L294" s="56">
        <f t="shared" si="44"/>
        <v>8.586384011807606E-2</v>
      </c>
      <c r="M294" s="54">
        <f t="shared" si="45"/>
        <v>104754.59296040393</v>
      </c>
    </row>
    <row r="295" spans="1:13" x14ac:dyDescent="0.3">
      <c r="A295" s="54"/>
      <c r="B295" s="41">
        <f t="shared" si="39"/>
        <v>284</v>
      </c>
      <c r="C295" s="52">
        <f t="shared" si="40"/>
        <v>104754.59296040393</v>
      </c>
      <c r="E295" s="54">
        <f t="shared" si="41"/>
        <v>-6443.0140148550854</v>
      </c>
      <c r="F295" s="54"/>
      <c r="G295" s="54">
        <f t="shared" si="42"/>
        <v>5919.2410500530705</v>
      </c>
      <c r="H295" s="54"/>
      <c r="I295" s="54">
        <f t="shared" si="43"/>
        <v>523.77296480201494</v>
      </c>
      <c r="J295" s="54"/>
      <c r="K295" s="54"/>
      <c r="L295" s="56">
        <f t="shared" si="44"/>
        <v>8.1293159318666403E-2</v>
      </c>
      <c r="M295" s="54">
        <f t="shared" si="45"/>
        <v>98835.351910350859</v>
      </c>
    </row>
    <row r="296" spans="1:13" x14ac:dyDescent="0.3">
      <c r="A296" s="54"/>
      <c r="B296" s="41">
        <f t="shared" si="39"/>
        <v>285</v>
      </c>
      <c r="C296" s="52">
        <f t="shared" si="40"/>
        <v>98835.351910350859</v>
      </c>
      <c r="E296" s="54">
        <f t="shared" si="41"/>
        <v>-6443.0140148550854</v>
      </c>
      <c r="F296" s="54"/>
      <c r="G296" s="54">
        <f t="shared" si="42"/>
        <v>5948.837255303336</v>
      </c>
      <c r="H296" s="54"/>
      <c r="I296" s="54">
        <f t="shared" si="43"/>
        <v>494.17675955174974</v>
      </c>
      <c r="J296" s="54"/>
      <c r="K296" s="54"/>
      <c r="L296" s="56">
        <f t="shared" si="44"/>
        <v>7.6699625115259767E-2</v>
      </c>
      <c r="M296" s="54">
        <f t="shared" si="45"/>
        <v>92886.514655047518</v>
      </c>
    </row>
    <row r="297" spans="1:13" x14ac:dyDescent="0.3">
      <c r="A297" s="54"/>
      <c r="B297" s="41">
        <f t="shared" si="39"/>
        <v>286</v>
      </c>
      <c r="C297" s="52">
        <f t="shared" si="40"/>
        <v>92886.514655047518</v>
      </c>
      <c r="E297" s="54">
        <f t="shared" si="41"/>
        <v>-6443.0140148550854</v>
      </c>
      <c r="F297" s="54"/>
      <c r="G297" s="54">
        <f t="shared" si="42"/>
        <v>5978.5814415798523</v>
      </c>
      <c r="H297" s="54"/>
      <c r="I297" s="54">
        <f t="shared" si="43"/>
        <v>464.4325732752331</v>
      </c>
      <c r="J297" s="54"/>
      <c r="K297" s="54"/>
      <c r="L297" s="56">
        <f t="shared" si="44"/>
        <v>7.2083123240836072E-2</v>
      </c>
      <c r="M297" s="54">
        <f t="shared" si="45"/>
        <v>86907.933213467666</v>
      </c>
    </row>
    <row r="298" spans="1:13" x14ac:dyDescent="0.3">
      <c r="A298" s="54"/>
      <c r="B298" s="41">
        <f t="shared" si="39"/>
        <v>287</v>
      </c>
      <c r="C298" s="52">
        <f t="shared" si="40"/>
        <v>86907.933213467666</v>
      </c>
      <c r="E298" s="54">
        <f t="shared" si="41"/>
        <v>-6443.0140148550854</v>
      </c>
      <c r="F298" s="54"/>
      <c r="G298" s="54">
        <f t="shared" si="42"/>
        <v>6008.4743487877513</v>
      </c>
      <c r="H298" s="54"/>
      <c r="I298" s="54">
        <f t="shared" si="43"/>
        <v>434.53966606733377</v>
      </c>
      <c r="J298" s="54"/>
      <c r="K298" s="54"/>
      <c r="L298" s="56">
        <f t="shared" si="44"/>
        <v>6.7443538857040242E-2</v>
      </c>
      <c r="M298" s="54">
        <f t="shared" si="45"/>
        <v>80899.458864679909</v>
      </c>
    </row>
    <row r="299" spans="1:13" x14ac:dyDescent="0.3">
      <c r="A299" s="54"/>
      <c r="B299" s="41">
        <f t="shared" si="39"/>
        <v>288</v>
      </c>
      <c r="C299" s="52">
        <f t="shared" si="40"/>
        <v>80899.458864679909</v>
      </c>
      <c r="E299" s="54">
        <f t="shared" si="41"/>
        <v>-6443.0140148550854</v>
      </c>
      <c r="F299" s="54"/>
      <c r="G299" s="54">
        <f t="shared" si="42"/>
        <v>6038.5167205316902</v>
      </c>
      <c r="H299" s="54"/>
      <c r="I299" s="54">
        <f t="shared" si="43"/>
        <v>404.49729432339507</v>
      </c>
      <c r="J299" s="54"/>
      <c r="K299" s="54"/>
      <c r="L299" s="56">
        <f t="shared" si="44"/>
        <v>6.2780756551325451E-2</v>
      </c>
      <c r="M299" s="54">
        <f t="shared" si="45"/>
        <v>74860.942144148226</v>
      </c>
    </row>
    <row r="300" spans="1:13" x14ac:dyDescent="0.3">
      <c r="A300" s="54"/>
      <c r="B300" s="41">
        <f t="shared" si="39"/>
        <v>289</v>
      </c>
      <c r="C300" s="52">
        <f t="shared" si="40"/>
        <v>74860.942144148226</v>
      </c>
      <c r="E300" s="54">
        <f t="shared" si="41"/>
        <v>-6443.0140148550854</v>
      </c>
      <c r="F300" s="54"/>
      <c r="G300" s="54">
        <f t="shared" si="42"/>
        <v>6068.7093041343487</v>
      </c>
      <c r="H300" s="54"/>
      <c r="I300" s="54">
        <f t="shared" si="43"/>
        <v>374.30471072073658</v>
      </c>
      <c r="J300" s="54"/>
      <c r="K300" s="54"/>
      <c r="L300" s="56">
        <f t="shared" si="44"/>
        <v>5.8094660334082067E-2</v>
      </c>
      <c r="M300" s="54">
        <f t="shared" si="45"/>
        <v>68792.232840013879</v>
      </c>
    </row>
    <row r="301" spans="1:13" x14ac:dyDescent="0.3">
      <c r="A301" s="54"/>
      <c r="B301" s="41">
        <f t="shared" si="39"/>
        <v>290</v>
      </c>
      <c r="C301" s="52">
        <f t="shared" si="40"/>
        <v>68792.232840013879</v>
      </c>
      <c r="E301" s="54">
        <f t="shared" si="41"/>
        <v>-6443.0140148550854</v>
      </c>
      <c r="F301" s="54"/>
      <c r="G301" s="54">
        <f t="shared" si="42"/>
        <v>6099.0528506550208</v>
      </c>
      <c r="H301" s="54"/>
      <c r="I301" s="54">
        <f t="shared" si="43"/>
        <v>343.96116420006484</v>
      </c>
      <c r="J301" s="54"/>
      <c r="K301" s="54"/>
      <c r="L301" s="56">
        <f t="shared" si="44"/>
        <v>5.338513363575248E-2</v>
      </c>
      <c r="M301" s="54">
        <f t="shared" si="45"/>
        <v>62693.179989358861</v>
      </c>
    </row>
    <row r="302" spans="1:13" x14ac:dyDescent="0.3">
      <c r="A302" s="54"/>
      <c r="B302" s="41">
        <f t="shared" si="39"/>
        <v>291</v>
      </c>
      <c r="C302" s="52">
        <f t="shared" si="40"/>
        <v>62693.179989358861</v>
      </c>
      <c r="E302" s="54">
        <f t="shared" si="41"/>
        <v>-6443.0140148550854</v>
      </c>
      <c r="F302" s="54"/>
      <c r="G302" s="54">
        <f t="shared" si="42"/>
        <v>6129.5481149082962</v>
      </c>
      <c r="H302" s="54"/>
      <c r="I302" s="54">
        <f t="shared" si="43"/>
        <v>313.4658999467897</v>
      </c>
      <c r="J302" s="54"/>
      <c r="K302" s="54"/>
      <c r="L302" s="56">
        <f t="shared" si="44"/>
        <v>4.8652059303931239E-2</v>
      </c>
      <c r="M302" s="54">
        <f t="shared" si="45"/>
        <v>56563.631874450562</v>
      </c>
    </row>
    <row r="303" spans="1:13" x14ac:dyDescent="0.3">
      <c r="A303" s="54"/>
      <c r="B303" s="41">
        <f t="shared" si="39"/>
        <v>292</v>
      </c>
      <c r="C303" s="52">
        <f t="shared" si="40"/>
        <v>56563.631874450562</v>
      </c>
      <c r="E303" s="54">
        <f t="shared" si="41"/>
        <v>-6443.0140148550854</v>
      </c>
      <c r="F303" s="54"/>
      <c r="G303" s="54">
        <f t="shared" si="42"/>
        <v>6160.1958554828379</v>
      </c>
      <c r="H303" s="54"/>
      <c r="I303" s="54">
        <f t="shared" si="43"/>
        <v>282.81815937224826</v>
      </c>
      <c r="J303" s="54"/>
      <c r="K303" s="54"/>
      <c r="L303" s="56">
        <f t="shared" si="44"/>
        <v>4.3895319600450899E-2</v>
      </c>
      <c r="M303" s="54">
        <f t="shared" si="45"/>
        <v>50403.436018967725</v>
      </c>
    </row>
    <row r="304" spans="1:13" x14ac:dyDescent="0.3">
      <c r="A304" s="54"/>
      <c r="B304" s="41">
        <f t="shared" si="39"/>
        <v>293</v>
      </c>
      <c r="C304" s="52">
        <f t="shared" si="40"/>
        <v>50403.436018967725</v>
      </c>
      <c r="E304" s="54">
        <f t="shared" si="41"/>
        <v>-6443.0140148550854</v>
      </c>
      <c r="F304" s="54"/>
      <c r="G304" s="54">
        <f t="shared" si="42"/>
        <v>6190.9968347602517</v>
      </c>
      <c r="H304" s="54"/>
      <c r="I304" s="54">
        <f t="shared" si="43"/>
        <v>252.017180094834</v>
      </c>
      <c r="J304" s="54"/>
      <c r="K304" s="54"/>
      <c r="L304" s="56">
        <f t="shared" si="44"/>
        <v>3.9114796198453143E-2</v>
      </c>
      <c r="M304" s="54">
        <f t="shared" si="45"/>
        <v>44212.439184207469</v>
      </c>
    </row>
    <row r="305" spans="1:13" x14ac:dyDescent="0.3">
      <c r="A305" s="54"/>
      <c r="B305" s="41">
        <f t="shared" si="39"/>
        <v>294</v>
      </c>
      <c r="C305" s="52">
        <f t="shared" si="40"/>
        <v>44212.439184207469</v>
      </c>
      <c r="E305" s="54">
        <f t="shared" si="41"/>
        <v>-6443.0140148550854</v>
      </c>
      <c r="F305" s="54"/>
      <c r="G305" s="54">
        <f t="shared" si="42"/>
        <v>6221.9518189340524</v>
      </c>
      <c r="H305" s="54"/>
      <c r="I305" s="54">
        <f t="shared" si="43"/>
        <v>221.06219592103272</v>
      </c>
      <c r="J305" s="54"/>
      <c r="K305" s="54"/>
      <c r="L305" s="56">
        <f t="shared" si="44"/>
        <v>3.4310370179445403E-2</v>
      </c>
      <c r="M305" s="54">
        <f t="shared" si="45"/>
        <v>37990.487365273417</v>
      </c>
    </row>
    <row r="306" spans="1:13" x14ac:dyDescent="0.3">
      <c r="A306" s="54"/>
      <c r="B306" s="41">
        <f t="shared" si="39"/>
        <v>295</v>
      </c>
      <c r="C306" s="52">
        <f t="shared" si="40"/>
        <v>37990.487365273417</v>
      </c>
      <c r="E306" s="54">
        <f t="shared" si="41"/>
        <v>-6443.0140148550854</v>
      </c>
      <c r="F306" s="54"/>
      <c r="G306" s="54">
        <f t="shared" si="42"/>
        <v>6253.0615780287235</v>
      </c>
      <c r="H306" s="54"/>
      <c r="I306" s="54">
        <f t="shared" si="43"/>
        <v>189.95243682636251</v>
      </c>
      <c r="J306" s="54"/>
      <c r="K306" s="54"/>
      <c r="L306" s="56">
        <f t="shared" si="44"/>
        <v>2.9481922030342639E-2</v>
      </c>
      <c r="M306" s="54">
        <f t="shared" si="45"/>
        <v>31737.425787244694</v>
      </c>
    </row>
    <row r="307" spans="1:13" x14ac:dyDescent="0.3">
      <c r="A307" s="54"/>
      <c r="B307" s="41">
        <f t="shared" si="39"/>
        <v>296</v>
      </c>
      <c r="C307" s="52">
        <f t="shared" si="40"/>
        <v>31737.425787244694</v>
      </c>
      <c r="E307" s="54">
        <f t="shared" si="41"/>
        <v>-6443.0140148550854</v>
      </c>
      <c r="F307" s="54"/>
      <c r="G307" s="54">
        <f t="shared" si="42"/>
        <v>6284.3268859188665</v>
      </c>
      <c r="H307" s="54"/>
      <c r="I307" s="54">
        <f t="shared" si="43"/>
        <v>158.68712893621887</v>
      </c>
      <c r="J307" s="54"/>
      <c r="K307" s="54"/>
      <c r="L307" s="56">
        <f t="shared" si="44"/>
        <v>2.4629331640494346E-2</v>
      </c>
      <c r="M307" s="54">
        <f t="shared" si="45"/>
        <v>25453.09890132583</v>
      </c>
    </row>
    <row r="308" spans="1:13" x14ac:dyDescent="0.3">
      <c r="A308" s="54"/>
      <c r="B308" s="41">
        <f t="shared" si="39"/>
        <v>297</v>
      </c>
      <c r="C308" s="52">
        <f t="shared" si="40"/>
        <v>25453.09890132583</v>
      </c>
      <c r="E308" s="54">
        <f t="shared" si="41"/>
        <v>-6443.0140148550854</v>
      </c>
      <c r="F308" s="54"/>
      <c r="G308" s="54">
        <f t="shared" si="42"/>
        <v>6315.7485203484612</v>
      </c>
      <c r="H308" s="54"/>
      <c r="I308" s="54">
        <f t="shared" si="43"/>
        <v>127.26549450662451</v>
      </c>
      <c r="J308" s="54"/>
      <c r="K308" s="54"/>
      <c r="L308" s="56">
        <f t="shared" si="44"/>
        <v>1.9752478298696814E-2</v>
      </c>
      <c r="M308" s="54">
        <f t="shared" si="45"/>
        <v>19137.350380977368</v>
      </c>
    </row>
    <row r="309" spans="1:13" x14ac:dyDescent="0.3">
      <c r="A309" s="54"/>
      <c r="B309" s="41">
        <f t="shared" si="39"/>
        <v>298</v>
      </c>
      <c r="C309" s="52">
        <f t="shared" si="40"/>
        <v>19137.350380977368</v>
      </c>
      <c r="E309" s="54">
        <f t="shared" si="41"/>
        <v>-6443.0140148550854</v>
      </c>
      <c r="F309" s="54"/>
      <c r="G309" s="54">
        <f t="shared" si="42"/>
        <v>6347.3272629502035</v>
      </c>
      <c r="H309" s="54"/>
      <c r="I309" s="54">
        <f t="shared" si="43"/>
        <v>95.6867519048822</v>
      </c>
      <c r="J309" s="54"/>
      <c r="K309" s="54"/>
      <c r="L309" s="56">
        <f t="shared" si="44"/>
        <v>1.4851240690190297E-2</v>
      </c>
      <c r="M309" s="54">
        <f t="shared" si="45"/>
        <v>12790.023118027166</v>
      </c>
    </row>
    <row r="310" spans="1:13" x14ac:dyDescent="0.3">
      <c r="A310" s="54"/>
      <c r="B310" s="41">
        <f t="shared" si="39"/>
        <v>299</v>
      </c>
      <c r="C310" s="52">
        <f t="shared" si="40"/>
        <v>12790.023118027166</v>
      </c>
      <c r="E310" s="54">
        <f t="shared" si="41"/>
        <v>-6443.0140148550854</v>
      </c>
      <c r="F310" s="54"/>
      <c r="G310" s="54">
        <f t="shared" si="42"/>
        <v>6379.0638992649547</v>
      </c>
      <c r="H310" s="54"/>
      <c r="I310" s="54">
        <f t="shared" si="43"/>
        <v>63.950115590131183</v>
      </c>
      <c r="J310" s="54"/>
      <c r="K310" s="54"/>
      <c r="L310" s="56">
        <f t="shared" si="44"/>
        <v>9.9254968936412485E-3</v>
      </c>
      <c r="M310" s="54">
        <f t="shared" si="45"/>
        <v>6410.9592187622111</v>
      </c>
    </row>
    <row r="311" spans="1:13" x14ac:dyDescent="0.3">
      <c r="A311" s="54"/>
      <c r="B311" s="41">
        <f t="shared" si="39"/>
        <v>300</v>
      </c>
      <c r="C311" s="52">
        <f t="shared" si="40"/>
        <v>6410.9592187622111</v>
      </c>
      <c r="E311" s="54">
        <f t="shared" si="41"/>
        <v>-6443.0140148550854</v>
      </c>
      <c r="F311" s="54"/>
      <c r="G311" s="54">
        <f t="shared" si="42"/>
        <v>6410.9592187612798</v>
      </c>
      <c r="H311" s="54"/>
      <c r="I311" s="54">
        <f t="shared" si="43"/>
        <v>32.054796093806402</v>
      </c>
      <c r="J311" s="54"/>
      <c r="K311" s="54"/>
      <c r="L311" s="56">
        <f t="shared" si="44"/>
        <v>4.9751243781094535E-3</v>
      </c>
      <c r="M311" s="54">
        <f t="shared" si="45"/>
        <v>9.3132257461547852E-10</v>
      </c>
    </row>
    <row r="312" spans="1:13" x14ac:dyDescent="0.3">
      <c r="A312" s="54"/>
      <c r="C312" s="52"/>
      <c r="E312" s="54"/>
      <c r="F312" s="54"/>
      <c r="G312" s="54"/>
      <c r="H312" s="54"/>
      <c r="I312" s="54"/>
      <c r="J312" s="54"/>
      <c r="K312" s="54"/>
      <c r="L312" s="56"/>
      <c r="M312" s="54"/>
    </row>
    <row r="313" spans="1:13" x14ac:dyDescent="0.3">
      <c r="A313" s="54"/>
      <c r="C313" s="52"/>
      <c r="E313" s="54"/>
      <c r="F313" s="54"/>
      <c r="G313" s="54"/>
      <c r="H313" s="54"/>
      <c r="I313" s="54"/>
      <c r="J313" s="54"/>
      <c r="K313" s="54"/>
      <c r="L313" s="56"/>
      <c r="M313" s="54"/>
    </row>
    <row r="314" spans="1:13" x14ac:dyDescent="0.3">
      <c r="A314" s="54"/>
      <c r="C314" s="52"/>
      <c r="E314" s="54"/>
      <c r="F314" s="54"/>
      <c r="G314" s="54"/>
      <c r="H314" s="54"/>
      <c r="I314" s="54"/>
      <c r="J314" s="54"/>
      <c r="K314" s="54"/>
      <c r="L314" s="56"/>
      <c r="M314" s="54"/>
    </row>
    <row r="315" spans="1:13" x14ac:dyDescent="0.3">
      <c r="A315" s="54"/>
      <c r="C315" s="52"/>
      <c r="E315" s="54"/>
      <c r="F315" s="54"/>
      <c r="G315" s="54"/>
      <c r="H315" s="54"/>
      <c r="I315" s="54"/>
      <c r="J315" s="54"/>
      <c r="K315" s="54"/>
      <c r="L315" s="56"/>
      <c r="M315" s="54"/>
    </row>
    <row r="316" spans="1:13" x14ac:dyDescent="0.3">
      <c r="A316" s="54"/>
      <c r="C316" s="52"/>
      <c r="E316" s="54"/>
      <c r="F316" s="54"/>
      <c r="G316" s="54"/>
      <c r="H316" s="54"/>
      <c r="I316" s="54"/>
      <c r="J316" s="54"/>
      <c r="K316" s="54"/>
      <c r="L316" s="56"/>
      <c r="M316" s="54"/>
    </row>
    <row r="317" spans="1:13" x14ac:dyDescent="0.3">
      <c r="A317" s="54"/>
      <c r="C317" s="52"/>
      <c r="E317" s="54"/>
      <c r="F317" s="54"/>
      <c r="G317" s="54"/>
      <c r="H317" s="54"/>
      <c r="I317" s="54"/>
      <c r="J317" s="54"/>
      <c r="K317" s="54"/>
      <c r="L317" s="56"/>
      <c r="M317" s="54"/>
    </row>
    <row r="318" spans="1:13" x14ac:dyDescent="0.3">
      <c r="A318" s="54"/>
      <c r="C318" s="52"/>
      <c r="E318" s="54"/>
      <c r="F318" s="54"/>
      <c r="G318" s="54"/>
      <c r="H318" s="54"/>
      <c r="I318" s="54"/>
      <c r="J318" s="54"/>
      <c r="K318" s="54"/>
      <c r="L318" s="56"/>
      <c r="M318" s="54"/>
    </row>
    <row r="319" spans="1:13" x14ac:dyDescent="0.3">
      <c r="A319" s="54"/>
      <c r="C319" s="52"/>
      <c r="E319" s="54"/>
      <c r="F319" s="54"/>
      <c r="G319" s="54"/>
      <c r="H319" s="54"/>
      <c r="I319" s="54"/>
      <c r="J319" s="54"/>
      <c r="K319" s="54"/>
      <c r="L319" s="56"/>
      <c r="M319" s="54"/>
    </row>
    <row r="320" spans="1:13" x14ac:dyDescent="0.3">
      <c r="A320" s="54"/>
      <c r="C320" s="52"/>
      <c r="E320" s="54"/>
      <c r="F320" s="54"/>
      <c r="G320" s="54"/>
      <c r="H320" s="54"/>
      <c r="I320" s="54"/>
      <c r="J320" s="54"/>
      <c r="K320" s="54"/>
      <c r="L320" s="56"/>
      <c r="M320" s="54"/>
    </row>
    <row r="321" spans="1:13" x14ac:dyDescent="0.3">
      <c r="A321" s="54"/>
      <c r="C321" s="52"/>
      <c r="E321" s="54"/>
      <c r="F321" s="54"/>
      <c r="G321" s="54"/>
      <c r="H321" s="54"/>
      <c r="I321" s="54"/>
      <c r="J321" s="54"/>
      <c r="K321" s="54"/>
      <c r="L321" s="56"/>
      <c r="M321" s="54"/>
    </row>
    <row r="322" spans="1:13" x14ac:dyDescent="0.3">
      <c r="A322" s="54"/>
      <c r="C322" s="52"/>
      <c r="E322" s="54"/>
      <c r="F322" s="54"/>
      <c r="G322" s="54"/>
      <c r="H322" s="54"/>
      <c r="I322" s="54"/>
      <c r="J322" s="54"/>
      <c r="K322" s="54"/>
      <c r="L322" s="56"/>
      <c r="M322" s="54"/>
    </row>
    <row r="323" spans="1:13" x14ac:dyDescent="0.3">
      <c r="A323" s="54"/>
      <c r="C323" s="52"/>
      <c r="E323" s="54"/>
      <c r="F323" s="54"/>
      <c r="G323" s="54"/>
      <c r="H323" s="54"/>
      <c r="I323" s="54"/>
      <c r="J323" s="54"/>
      <c r="K323" s="54"/>
      <c r="L323" s="56"/>
      <c r="M323" s="54"/>
    </row>
    <row r="324" spans="1:13" x14ac:dyDescent="0.3">
      <c r="A324" s="54"/>
      <c r="C324" s="52"/>
      <c r="E324" s="54"/>
      <c r="F324" s="54"/>
      <c r="G324" s="54"/>
      <c r="H324" s="54"/>
      <c r="I324" s="54"/>
      <c r="J324" s="54"/>
      <c r="K324" s="54"/>
      <c r="L324" s="56"/>
      <c r="M324" s="54"/>
    </row>
    <row r="325" spans="1:13" x14ac:dyDescent="0.3">
      <c r="A325" s="54"/>
      <c r="C325" s="52"/>
      <c r="E325" s="54"/>
      <c r="F325" s="54"/>
      <c r="G325" s="54"/>
      <c r="H325" s="54"/>
      <c r="I325" s="54"/>
      <c r="J325" s="54"/>
      <c r="K325" s="54"/>
      <c r="L325" s="56"/>
      <c r="M325" s="54"/>
    </row>
    <row r="326" spans="1:13" x14ac:dyDescent="0.3">
      <c r="A326" s="54"/>
      <c r="C326" s="52"/>
      <c r="E326" s="54"/>
      <c r="F326" s="54"/>
      <c r="G326" s="54"/>
      <c r="H326" s="54"/>
      <c r="I326" s="54"/>
      <c r="J326" s="54"/>
      <c r="K326" s="54"/>
      <c r="L326" s="56"/>
      <c r="M326" s="54"/>
    </row>
    <row r="327" spans="1:13" x14ac:dyDescent="0.3">
      <c r="A327" s="54"/>
      <c r="C327" s="52"/>
      <c r="E327" s="54"/>
      <c r="F327" s="54"/>
      <c r="G327" s="54"/>
      <c r="H327" s="54"/>
      <c r="I327" s="54"/>
      <c r="J327" s="54"/>
      <c r="K327" s="54"/>
      <c r="L327" s="56"/>
      <c r="M327" s="54"/>
    </row>
    <row r="328" spans="1:13" x14ac:dyDescent="0.3">
      <c r="A328" s="54"/>
      <c r="C328" s="52"/>
      <c r="E328" s="54"/>
      <c r="F328" s="54"/>
      <c r="G328" s="54"/>
      <c r="H328" s="54"/>
      <c r="I328" s="54"/>
      <c r="J328" s="54"/>
      <c r="K328" s="54"/>
      <c r="L328" s="56"/>
      <c r="M328" s="54"/>
    </row>
    <row r="329" spans="1:13" x14ac:dyDescent="0.3">
      <c r="A329" s="54"/>
      <c r="C329" s="52"/>
      <c r="E329" s="54"/>
      <c r="F329" s="54"/>
      <c r="G329" s="54"/>
      <c r="H329" s="54"/>
      <c r="I329" s="54"/>
      <c r="J329" s="54"/>
      <c r="K329" s="54"/>
      <c r="L329" s="56"/>
      <c r="M329" s="54"/>
    </row>
    <row r="330" spans="1:13" x14ac:dyDescent="0.3">
      <c r="A330" s="54"/>
      <c r="C330" s="52"/>
      <c r="E330" s="54"/>
      <c r="F330" s="54"/>
      <c r="G330" s="54"/>
      <c r="H330" s="54"/>
      <c r="I330" s="54"/>
      <c r="J330" s="54"/>
      <c r="K330" s="54"/>
      <c r="L330" s="56"/>
      <c r="M330" s="54"/>
    </row>
    <row r="331" spans="1:13" x14ac:dyDescent="0.3">
      <c r="A331" s="54"/>
      <c r="C331" s="52"/>
      <c r="E331" s="54"/>
      <c r="F331" s="54"/>
      <c r="G331" s="54"/>
      <c r="H331" s="54"/>
      <c r="I331" s="54"/>
      <c r="J331" s="54"/>
      <c r="K331" s="54"/>
      <c r="L331" s="56"/>
      <c r="M331" s="54"/>
    </row>
    <row r="332" spans="1:13" x14ac:dyDescent="0.3">
      <c r="A332" s="54"/>
      <c r="C332" s="52"/>
      <c r="E332" s="54"/>
      <c r="F332" s="54"/>
      <c r="G332" s="54"/>
      <c r="H332" s="54"/>
      <c r="I332" s="54"/>
      <c r="J332" s="54"/>
      <c r="K332" s="54"/>
      <c r="L332" s="56"/>
      <c r="M332" s="54"/>
    </row>
    <row r="333" spans="1:13" x14ac:dyDescent="0.3">
      <c r="A333" s="54"/>
      <c r="C333" s="52"/>
      <c r="E333" s="54"/>
      <c r="F333" s="54"/>
      <c r="G333" s="54"/>
      <c r="H333" s="54"/>
      <c r="I333" s="54"/>
      <c r="J333" s="54"/>
      <c r="K333" s="54"/>
      <c r="L333" s="56"/>
      <c r="M333" s="54"/>
    </row>
    <row r="334" spans="1:13" x14ac:dyDescent="0.3">
      <c r="A334" s="54"/>
      <c r="C334" s="52"/>
      <c r="E334" s="54"/>
      <c r="F334" s="54"/>
      <c r="G334" s="54"/>
      <c r="H334" s="54"/>
      <c r="I334" s="54"/>
      <c r="J334" s="54"/>
      <c r="K334" s="54"/>
      <c r="L334" s="56"/>
      <c r="M334" s="54"/>
    </row>
    <row r="335" spans="1:13" x14ac:dyDescent="0.3">
      <c r="A335" s="54"/>
      <c r="C335" s="52"/>
      <c r="E335" s="54"/>
      <c r="F335" s="54"/>
      <c r="G335" s="54"/>
      <c r="H335" s="54"/>
      <c r="I335" s="54"/>
      <c r="J335" s="54"/>
      <c r="K335" s="54"/>
      <c r="L335" s="56"/>
      <c r="M335" s="54"/>
    </row>
    <row r="336" spans="1:13" x14ac:dyDescent="0.3">
      <c r="A336" s="54"/>
      <c r="C336" s="52"/>
      <c r="E336" s="54"/>
      <c r="F336" s="54"/>
      <c r="G336" s="54"/>
      <c r="H336" s="54"/>
      <c r="I336" s="54"/>
      <c r="J336" s="54"/>
      <c r="K336" s="54"/>
      <c r="L336" s="56"/>
      <c r="M336" s="54"/>
    </row>
    <row r="337" spans="1:13" x14ac:dyDescent="0.3">
      <c r="A337" s="54"/>
      <c r="C337" s="52"/>
      <c r="E337" s="54"/>
      <c r="F337" s="54"/>
      <c r="G337" s="54"/>
      <c r="H337" s="54"/>
      <c r="I337" s="54"/>
      <c r="J337" s="54"/>
      <c r="K337" s="54"/>
      <c r="L337" s="56"/>
      <c r="M337" s="54"/>
    </row>
    <row r="338" spans="1:13" x14ac:dyDescent="0.3">
      <c r="A338" s="54"/>
      <c r="C338" s="52"/>
      <c r="E338" s="54"/>
      <c r="F338" s="54"/>
      <c r="G338" s="54"/>
      <c r="H338" s="54"/>
      <c r="I338" s="54"/>
      <c r="J338" s="54"/>
      <c r="K338" s="54"/>
      <c r="L338" s="56"/>
      <c r="M338" s="54"/>
    </row>
    <row r="339" spans="1:13" x14ac:dyDescent="0.3">
      <c r="A339" s="54"/>
      <c r="C339" s="52"/>
      <c r="E339" s="54"/>
      <c r="F339" s="54"/>
      <c r="G339" s="54"/>
      <c r="H339" s="54"/>
      <c r="I339" s="54"/>
      <c r="J339" s="54"/>
      <c r="K339" s="54"/>
      <c r="L339" s="56"/>
      <c r="M339" s="54"/>
    </row>
    <row r="340" spans="1:13" x14ac:dyDescent="0.3">
      <c r="A340" s="54"/>
      <c r="C340" s="52"/>
      <c r="E340" s="54"/>
      <c r="F340" s="54"/>
      <c r="G340" s="54"/>
      <c r="H340" s="54"/>
      <c r="I340" s="54"/>
      <c r="J340" s="54"/>
      <c r="K340" s="54"/>
      <c r="L340" s="56"/>
      <c r="M340" s="54"/>
    </row>
    <row r="341" spans="1:13" x14ac:dyDescent="0.3">
      <c r="A341" s="54"/>
      <c r="C341" s="52"/>
      <c r="E341" s="54"/>
      <c r="F341" s="54"/>
      <c r="G341" s="54"/>
      <c r="H341" s="54"/>
      <c r="I341" s="54"/>
      <c r="J341" s="54"/>
      <c r="K341" s="54"/>
      <c r="L341" s="56"/>
      <c r="M341" s="54"/>
    </row>
    <row r="342" spans="1:13" x14ac:dyDescent="0.3">
      <c r="A342" s="54"/>
      <c r="C342" s="52"/>
      <c r="E342" s="54"/>
      <c r="F342" s="54"/>
      <c r="G342" s="54"/>
      <c r="H342" s="54"/>
      <c r="I342" s="54"/>
      <c r="J342" s="54"/>
      <c r="K342" s="54"/>
      <c r="L342" s="56"/>
      <c r="M342" s="54"/>
    </row>
    <row r="343" spans="1:13" x14ac:dyDescent="0.3">
      <c r="A343" s="54"/>
      <c r="C343" s="52"/>
      <c r="E343" s="54"/>
      <c r="F343" s="54"/>
      <c r="G343" s="54"/>
      <c r="H343" s="54"/>
      <c r="I343" s="54"/>
      <c r="J343" s="54"/>
      <c r="K343" s="54"/>
      <c r="L343" s="56"/>
      <c r="M343" s="54"/>
    </row>
    <row r="344" spans="1:13" x14ac:dyDescent="0.3">
      <c r="A344" s="54"/>
      <c r="C344" s="52"/>
      <c r="E344" s="54"/>
      <c r="F344" s="54"/>
      <c r="G344" s="54"/>
      <c r="H344" s="54"/>
      <c r="I344" s="54"/>
      <c r="J344" s="54"/>
      <c r="K344" s="54"/>
      <c r="L344" s="56"/>
      <c r="M344" s="54"/>
    </row>
    <row r="345" spans="1:13" x14ac:dyDescent="0.3">
      <c r="A345" s="54"/>
      <c r="C345" s="52"/>
      <c r="E345" s="54"/>
      <c r="F345" s="54"/>
      <c r="G345" s="54"/>
      <c r="H345" s="54"/>
      <c r="I345" s="54"/>
      <c r="J345" s="54"/>
      <c r="K345" s="54"/>
      <c r="L345" s="56"/>
      <c r="M345" s="54"/>
    </row>
    <row r="346" spans="1:13" x14ac:dyDescent="0.3">
      <c r="A346" s="54"/>
      <c r="C346" s="52"/>
      <c r="E346" s="54"/>
      <c r="F346" s="54"/>
      <c r="G346" s="54"/>
      <c r="H346" s="54"/>
      <c r="I346" s="54"/>
      <c r="J346" s="54"/>
      <c r="K346" s="54"/>
      <c r="L346" s="56"/>
      <c r="M346" s="54"/>
    </row>
    <row r="347" spans="1:13" x14ac:dyDescent="0.3">
      <c r="A347" s="54"/>
      <c r="C347" s="52"/>
      <c r="E347" s="54"/>
      <c r="F347" s="54"/>
      <c r="G347" s="54"/>
      <c r="H347" s="54"/>
      <c r="I347" s="54"/>
      <c r="J347" s="54"/>
      <c r="K347" s="54"/>
      <c r="L347" s="56"/>
      <c r="M347" s="54"/>
    </row>
    <row r="348" spans="1:13" x14ac:dyDescent="0.3">
      <c r="A348" s="54"/>
      <c r="C348" s="52"/>
      <c r="E348" s="54"/>
      <c r="F348" s="54"/>
      <c r="G348" s="54"/>
      <c r="H348" s="54"/>
      <c r="I348" s="54"/>
      <c r="J348" s="54"/>
      <c r="K348" s="54"/>
      <c r="L348" s="56"/>
      <c r="M348" s="54"/>
    </row>
    <row r="349" spans="1:13" x14ac:dyDescent="0.3">
      <c r="A349" s="54"/>
      <c r="C349" s="52"/>
      <c r="E349" s="54"/>
      <c r="F349" s="54"/>
      <c r="G349" s="54"/>
      <c r="H349" s="54"/>
      <c r="I349" s="54"/>
      <c r="J349" s="54"/>
      <c r="K349" s="54"/>
      <c r="L349" s="56"/>
      <c r="M349" s="54"/>
    </row>
    <row r="350" spans="1:13" x14ac:dyDescent="0.3">
      <c r="A350" s="54"/>
      <c r="C350" s="52"/>
      <c r="E350" s="54"/>
      <c r="F350" s="54"/>
      <c r="G350" s="54"/>
      <c r="H350" s="54"/>
      <c r="I350" s="54"/>
      <c r="J350" s="54"/>
      <c r="K350" s="54"/>
      <c r="L350" s="56"/>
      <c r="M350" s="54"/>
    </row>
    <row r="351" spans="1:13" x14ac:dyDescent="0.3">
      <c r="A351" s="54"/>
      <c r="C351" s="52"/>
      <c r="E351" s="54"/>
      <c r="F351" s="54"/>
      <c r="G351" s="54"/>
      <c r="H351" s="54"/>
      <c r="I351" s="54"/>
      <c r="J351" s="54"/>
      <c r="K351" s="54"/>
      <c r="L351" s="56"/>
      <c r="M351" s="54"/>
    </row>
    <row r="352" spans="1:13" x14ac:dyDescent="0.3">
      <c r="A352" s="54"/>
      <c r="C352" s="52"/>
      <c r="E352" s="54"/>
      <c r="F352" s="54"/>
      <c r="G352" s="54"/>
      <c r="H352" s="54"/>
      <c r="I352" s="54"/>
      <c r="J352" s="54"/>
      <c r="K352" s="54"/>
      <c r="L352" s="56"/>
      <c r="M352" s="54"/>
    </row>
    <row r="353" spans="1:13" x14ac:dyDescent="0.3">
      <c r="A353" s="54"/>
      <c r="C353" s="52"/>
      <c r="E353" s="54"/>
      <c r="F353" s="54"/>
      <c r="G353" s="54"/>
      <c r="H353" s="54"/>
      <c r="I353" s="54"/>
      <c r="J353" s="54"/>
      <c r="K353" s="54"/>
      <c r="L353" s="56"/>
      <c r="M353" s="54"/>
    </row>
    <row r="354" spans="1:13" x14ac:dyDescent="0.3">
      <c r="A354" s="54"/>
      <c r="C354" s="52"/>
      <c r="E354" s="54"/>
      <c r="F354" s="54"/>
      <c r="G354" s="54"/>
      <c r="H354" s="54"/>
      <c r="I354" s="54"/>
      <c r="J354" s="54"/>
      <c r="K354" s="54"/>
      <c r="L354" s="56"/>
      <c r="M354" s="54"/>
    </row>
    <row r="355" spans="1:13" x14ac:dyDescent="0.3">
      <c r="A355" s="54"/>
      <c r="C355" s="52"/>
      <c r="E355" s="54"/>
      <c r="F355" s="54"/>
      <c r="G355" s="54"/>
      <c r="H355" s="54"/>
      <c r="I355" s="54"/>
      <c r="J355" s="54"/>
      <c r="K355" s="54"/>
      <c r="L355" s="56"/>
      <c r="M355" s="54"/>
    </row>
    <row r="356" spans="1:13" x14ac:dyDescent="0.3">
      <c r="A356" s="54"/>
      <c r="C356" s="52"/>
      <c r="E356" s="54"/>
      <c r="F356" s="54"/>
      <c r="G356" s="54"/>
      <c r="H356" s="54"/>
      <c r="I356" s="54"/>
      <c r="J356" s="54"/>
      <c r="K356" s="54"/>
      <c r="L356" s="56"/>
      <c r="M356" s="54"/>
    </row>
    <row r="357" spans="1:13" x14ac:dyDescent="0.3">
      <c r="A357" s="54"/>
      <c r="C357" s="52"/>
      <c r="E357" s="54"/>
      <c r="F357" s="54"/>
      <c r="G357" s="54"/>
      <c r="H357" s="54"/>
      <c r="I357" s="54"/>
      <c r="J357" s="54"/>
      <c r="K357" s="54"/>
      <c r="L357" s="56"/>
      <c r="M357" s="54"/>
    </row>
    <row r="358" spans="1:13" x14ac:dyDescent="0.3">
      <c r="A358" s="54"/>
      <c r="C358" s="52"/>
      <c r="E358" s="54"/>
      <c r="F358" s="54"/>
      <c r="G358" s="54"/>
      <c r="H358" s="54"/>
      <c r="I358" s="54"/>
      <c r="J358" s="54"/>
      <c r="K358" s="54"/>
      <c r="L358" s="56"/>
      <c r="M358" s="54"/>
    </row>
    <row r="359" spans="1:13" x14ac:dyDescent="0.3">
      <c r="A359" s="54"/>
      <c r="C359" s="52"/>
      <c r="E359" s="54"/>
      <c r="F359" s="54"/>
      <c r="G359" s="54"/>
      <c r="H359" s="54"/>
      <c r="I359" s="54"/>
      <c r="J359" s="54"/>
      <c r="K359" s="54"/>
      <c r="L359" s="56"/>
      <c r="M359" s="54"/>
    </row>
    <row r="360" spans="1:13" x14ac:dyDescent="0.3">
      <c r="A360" s="54"/>
      <c r="C360" s="52"/>
      <c r="E360" s="54"/>
      <c r="F360" s="54"/>
      <c r="G360" s="54"/>
      <c r="H360" s="54"/>
      <c r="I360" s="54"/>
      <c r="J360" s="54"/>
      <c r="K360" s="54"/>
      <c r="L360" s="56"/>
      <c r="M360" s="54"/>
    </row>
  </sheetData>
  <mergeCells count="3">
    <mergeCell ref="B2:E2"/>
    <mergeCell ref="G4:I4"/>
    <mergeCell ref="G5:I5"/>
  </mergeCells>
  <conditionalFormatting sqref="G9">
    <cfRule type="cellIs" dxfId="14" priority="4" stopIfTrue="1" operator="lessThan">
      <formula>1000000</formula>
    </cfRule>
  </conditionalFormatting>
  <conditionalFormatting sqref="G4:K4">
    <cfRule type="containsText" dxfId="13" priority="1" stopIfTrue="1" operator="containsText" text="Correct">
      <formula>NOT(ISERROR(SEARCH("Correct",G4)))</formula>
    </cfRule>
    <cfRule type="containsText" dxfId="12" priority="2" stopIfTrue="1" operator="containsText" text="OK">
      <formula>NOT(ISERROR(SEARCH("OK",G4)))</formula>
    </cfRule>
    <cfRule type="containsText" dxfId="11" priority="3" stopIfTrue="1" operator="containsText" text="Fix">
      <formula>NOT(ISERROR(SEARCH("Fix",G4)))</formula>
    </cfRule>
  </conditionalFormatting>
  <pageMargins left="0.7" right="0.7" top="0.75" bottom="0.75" header="0.3" footer="0.3"/>
  <pageSetup orientation="portrait" horizontalDpi="4294967292" verticalDpi="4294967292"/>
  <drawing r:id="rId1"/>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371"/>
  <sheetViews>
    <sheetView zoomScaleNormal="100" zoomScalePageLayoutView="150" workbookViewId="0"/>
  </sheetViews>
  <sheetFormatPr defaultColWidth="8.6640625" defaultRowHeight="18.75" x14ac:dyDescent="0.3"/>
  <cols>
    <col min="1" max="1" width="4.88671875" style="8" customWidth="1"/>
    <col min="2" max="2" width="8.6640625" style="41"/>
    <col min="3" max="3" width="17.6640625" style="8" customWidth="1"/>
    <col min="4" max="4" width="2.109375" style="8" customWidth="1"/>
    <col min="5" max="5" width="13.88671875" style="8" customWidth="1"/>
    <col min="6" max="6" width="2.109375" style="8" customWidth="1"/>
    <col min="7" max="7" width="10.88671875" style="8" customWidth="1"/>
    <col min="8" max="8" width="2.109375" style="8" customWidth="1"/>
    <col min="9" max="9" width="9.88671875" style="8" customWidth="1"/>
    <col min="10" max="10" width="10.44140625" style="8" customWidth="1"/>
    <col min="11" max="11" width="10.6640625" style="8" customWidth="1"/>
    <col min="12" max="16384" width="8.6640625" style="8"/>
  </cols>
  <sheetData>
    <row r="1" spans="1:11" x14ac:dyDescent="0.3">
      <c r="B1" s="8"/>
    </row>
    <row r="2" spans="1:11" ht="30" customHeight="1" x14ac:dyDescent="0.35">
      <c r="B2" s="81" t="s">
        <v>133</v>
      </c>
      <c r="C2" s="70"/>
      <c r="D2" s="70"/>
      <c r="E2" s="70"/>
      <c r="F2" s="79"/>
      <c r="G2" s="79"/>
      <c r="H2" s="79"/>
      <c r="I2" s="79"/>
    </row>
    <row r="4" spans="1:11" x14ac:dyDescent="0.3">
      <c r="C4" s="8" t="s">
        <v>84</v>
      </c>
      <c r="E4" s="42">
        <v>1000000</v>
      </c>
      <c r="F4" s="43"/>
      <c r="G4" s="411" t="str">
        <f>IF(E4-ROUND(G9,0)=0,"Repayment Correct", "FIX REPAYMENT")</f>
        <v>Repayment Correct</v>
      </c>
      <c r="H4" s="411"/>
      <c r="I4" s="411"/>
    </row>
    <row r="5" spans="1:11" x14ac:dyDescent="0.3">
      <c r="C5" s="8" t="s">
        <v>85</v>
      </c>
      <c r="E5" s="45">
        <v>25</v>
      </c>
      <c r="F5" s="45"/>
      <c r="G5" s="412">
        <f>E5*12</f>
        <v>300</v>
      </c>
      <c r="H5" s="412"/>
      <c r="I5" s="412"/>
    </row>
    <row r="6" spans="1:11" x14ac:dyDescent="0.3">
      <c r="C6" s="8" t="s">
        <v>86</v>
      </c>
      <c r="E6" s="47">
        <v>0.06</v>
      </c>
      <c r="F6" s="47"/>
    </row>
    <row r="7" spans="1:11" x14ac:dyDescent="0.3">
      <c r="C7" s="8" t="s">
        <v>87</v>
      </c>
      <c r="E7" s="48">
        <f>E6/12</f>
        <v>5.0000000000000001E-3</v>
      </c>
    </row>
    <row r="8" spans="1:11" x14ac:dyDescent="0.3">
      <c r="E8" s="48"/>
    </row>
    <row r="9" spans="1:11" x14ac:dyDescent="0.3">
      <c r="C9" s="49" t="s">
        <v>88</v>
      </c>
      <c r="D9" s="49"/>
      <c r="E9" s="50">
        <f>SUM(E12:E371)</f>
        <v>-2319485.0453478149</v>
      </c>
      <c r="F9" s="49"/>
      <c r="G9" s="51">
        <f>SUM(G12:G371)</f>
        <v>999999.99999999988</v>
      </c>
      <c r="H9" s="49"/>
      <c r="I9" s="51">
        <f>SUM(I12:I371)</f>
        <v>1319485.0453478268</v>
      </c>
    </row>
    <row r="10" spans="1:11" x14ac:dyDescent="0.3">
      <c r="G10" s="52"/>
    </row>
    <row r="11" spans="1:11" s="53" customFormat="1" ht="42.75" customHeight="1" x14ac:dyDescent="0.3">
      <c r="B11" s="53" t="s">
        <v>89</v>
      </c>
      <c r="C11" s="53" t="s">
        <v>90</v>
      </c>
      <c r="E11" s="53" t="s">
        <v>91</v>
      </c>
      <c r="G11" s="53" t="s">
        <v>92</v>
      </c>
      <c r="I11" s="53" t="s">
        <v>93</v>
      </c>
      <c r="J11" s="53" t="s">
        <v>94</v>
      </c>
      <c r="K11" s="53" t="s">
        <v>34</v>
      </c>
    </row>
    <row r="12" spans="1:11" ht="23.25" customHeight="1" x14ac:dyDescent="0.3">
      <c r="A12" s="54"/>
      <c r="B12" s="55">
        <v>1</v>
      </c>
      <c r="C12" s="52">
        <f>E4</f>
        <v>1000000</v>
      </c>
      <c r="E12" s="54">
        <f>PMT($E$7,$G$5,$E$4)</f>
        <v>-6443.0140148550854</v>
      </c>
      <c r="F12" s="54"/>
      <c r="G12" s="54">
        <f>IFERROR(-PPMT($E$7,B12,$G$5,$E$4),0)</f>
        <v>1443.0140148550852</v>
      </c>
      <c r="H12" s="54"/>
      <c r="I12" s="54">
        <f>-E12-G12</f>
        <v>5000</v>
      </c>
      <c r="J12" s="56">
        <f t="shared" ref="J12:J32" si="0">IFERROR(-I12/E12,"NA")</f>
        <v>0.77603432003592476</v>
      </c>
      <c r="K12" s="54">
        <f>C12-G12</f>
        <v>998556.98598514497</v>
      </c>
    </row>
    <row r="13" spans="1:11" x14ac:dyDescent="0.3">
      <c r="A13" s="54"/>
      <c r="B13" s="41">
        <f>B12+1</f>
        <v>2</v>
      </c>
      <c r="C13" s="52">
        <f t="shared" ref="C13:C32" si="1">IF(B13&gt;$G$5,0,K12)</f>
        <v>998556.98598514497</v>
      </c>
      <c r="E13" s="54">
        <f t="shared" ref="E13:E76" si="2">PMT($E$7,$G$5,$E$4)</f>
        <v>-6443.0140148550854</v>
      </c>
      <c r="F13" s="54"/>
      <c r="G13" s="54">
        <f t="shared" ref="G13:G76" si="3">IFERROR(-PPMT($E$7,B13,$G$5,$E$4),0)</f>
        <v>1450.2290849293606</v>
      </c>
      <c r="H13" s="54"/>
      <c r="I13" s="54">
        <f t="shared" ref="I13:I32" si="4">-E13-G13</f>
        <v>4992.784929925725</v>
      </c>
      <c r="J13" s="56">
        <f t="shared" si="0"/>
        <v>0.77491449163610449</v>
      </c>
      <c r="K13" s="54">
        <f t="shared" ref="K13:K32" si="5">C13-G13</f>
        <v>997106.75690021564</v>
      </c>
    </row>
    <row r="14" spans="1:11" x14ac:dyDescent="0.3">
      <c r="A14" s="54"/>
      <c r="B14" s="41">
        <f t="shared" ref="B14:B77" si="6">B13+1</f>
        <v>3</v>
      </c>
      <c r="C14" s="52">
        <f t="shared" si="1"/>
        <v>997106.75690021564</v>
      </c>
      <c r="E14" s="54">
        <f t="shared" si="2"/>
        <v>-6443.0140148550854</v>
      </c>
      <c r="F14" s="54"/>
      <c r="G14" s="54">
        <f t="shared" si="3"/>
        <v>1457.4802303540075</v>
      </c>
      <c r="H14" s="54"/>
      <c r="I14" s="54">
        <f t="shared" si="4"/>
        <v>4985.5337845010781</v>
      </c>
      <c r="J14" s="56">
        <f t="shared" si="0"/>
        <v>0.77378906409428494</v>
      </c>
      <c r="K14" s="54">
        <f t="shared" si="5"/>
        <v>995649.27666986163</v>
      </c>
    </row>
    <row r="15" spans="1:11" x14ac:dyDescent="0.3">
      <c r="A15" s="54"/>
      <c r="B15" s="41">
        <f t="shared" si="6"/>
        <v>4</v>
      </c>
      <c r="C15" s="52">
        <f t="shared" si="1"/>
        <v>995649.27666986163</v>
      </c>
      <c r="E15" s="54">
        <f t="shared" si="2"/>
        <v>-6443.0140148550854</v>
      </c>
      <c r="F15" s="54"/>
      <c r="G15" s="54">
        <f t="shared" si="3"/>
        <v>1464.7676315057772</v>
      </c>
      <c r="H15" s="54"/>
      <c r="I15" s="54">
        <f t="shared" si="4"/>
        <v>4978.2463833493084</v>
      </c>
      <c r="J15" s="56">
        <f t="shared" si="0"/>
        <v>0.77265800941475649</v>
      </c>
      <c r="K15" s="54">
        <f t="shared" si="5"/>
        <v>994184.5090383559</v>
      </c>
    </row>
    <row r="16" spans="1:11" x14ac:dyDescent="0.3">
      <c r="A16" s="54"/>
      <c r="B16" s="41">
        <f t="shared" si="6"/>
        <v>5</v>
      </c>
      <c r="C16" s="52">
        <f t="shared" si="1"/>
        <v>994184.5090383559</v>
      </c>
      <c r="E16" s="54">
        <f t="shared" si="2"/>
        <v>-6443.0140148550854</v>
      </c>
      <c r="F16" s="54"/>
      <c r="G16" s="54">
        <f t="shared" si="3"/>
        <v>1472.0914696633065</v>
      </c>
      <c r="H16" s="54"/>
      <c r="I16" s="54">
        <f t="shared" si="4"/>
        <v>4970.9225451917791</v>
      </c>
      <c r="J16" s="56">
        <f t="shared" si="0"/>
        <v>0.77152129946183023</v>
      </c>
      <c r="K16" s="54">
        <f t="shared" si="5"/>
        <v>992712.41756869259</v>
      </c>
    </row>
    <row r="17" spans="1:11" x14ac:dyDescent="0.3">
      <c r="A17" s="54"/>
      <c r="B17" s="41">
        <f t="shared" si="6"/>
        <v>6</v>
      </c>
      <c r="C17" s="52">
        <f t="shared" si="1"/>
        <v>992712.41756869259</v>
      </c>
      <c r="E17" s="54">
        <f t="shared" si="2"/>
        <v>-6443.0140148550854</v>
      </c>
      <c r="F17" s="54"/>
      <c r="G17" s="54">
        <f t="shared" si="3"/>
        <v>1479.4519270116227</v>
      </c>
      <c r="H17" s="54"/>
      <c r="I17" s="54">
        <f t="shared" si="4"/>
        <v>4963.5620878434629</v>
      </c>
      <c r="J17" s="56">
        <f t="shared" si="0"/>
        <v>0.77037890595913938</v>
      </c>
      <c r="K17" s="54">
        <f t="shared" si="5"/>
        <v>991232.96564168099</v>
      </c>
    </row>
    <row r="18" spans="1:11" x14ac:dyDescent="0.3">
      <c r="A18" s="54"/>
      <c r="B18" s="41">
        <f t="shared" si="6"/>
        <v>7</v>
      </c>
      <c r="C18" s="52">
        <f t="shared" si="1"/>
        <v>991232.96564168099</v>
      </c>
      <c r="E18" s="54">
        <f t="shared" si="2"/>
        <v>-6443.0140148550854</v>
      </c>
      <c r="F18" s="54"/>
      <c r="G18" s="54">
        <f t="shared" si="3"/>
        <v>1486.8491866466811</v>
      </c>
      <c r="H18" s="54"/>
      <c r="I18" s="54">
        <f t="shared" si="4"/>
        <v>4956.1648282084043</v>
      </c>
      <c r="J18" s="56">
        <f t="shared" si="0"/>
        <v>0.769230800488935</v>
      </c>
      <c r="K18" s="54">
        <f t="shared" si="5"/>
        <v>989746.11645503435</v>
      </c>
    </row>
    <row r="19" spans="1:11" x14ac:dyDescent="0.3">
      <c r="A19" s="54"/>
      <c r="B19" s="41">
        <f t="shared" si="6"/>
        <v>8</v>
      </c>
      <c r="C19" s="52">
        <f t="shared" si="1"/>
        <v>989746.11645503435</v>
      </c>
      <c r="E19" s="54">
        <f t="shared" si="2"/>
        <v>-6443.0140148550854</v>
      </c>
      <c r="F19" s="54"/>
      <c r="G19" s="54">
        <f t="shared" si="3"/>
        <v>1494.2834325799145</v>
      </c>
      <c r="H19" s="54"/>
      <c r="I19" s="54">
        <f t="shared" si="4"/>
        <v>4948.7305822751714</v>
      </c>
      <c r="J19" s="56">
        <f t="shared" si="0"/>
        <v>0.7680769544913798</v>
      </c>
      <c r="K19" s="54">
        <f t="shared" si="5"/>
        <v>988251.8330224544</v>
      </c>
    </row>
    <row r="20" spans="1:11" x14ac:dyDescent="0.3">
      <c r="A20" s="54"/>
      <c r="B20" s="41">
        <f t="shared" si="6"/>
        <v>9</v>
      </c>
      <c r="C20" s="52">
        <f t="shared" si="1"/>
        <v>988251.8330224544</v>
      </c>
      <c r="E20" s="54">
        <f t="shared" si="2"/>
        <v>-6443.0140148550854</v>
      </c>
      <c r="F20" s="54"/>
      <c r="G20" s="54">
        <f t="shared" si="3"/>
        <v>1501.7548497428143</v>
      </c>
      <c r="H20" s="54"/>
      <c r="I20" s="54">
        <f t="shared" si="4"/>
        <v>4941.2591651122711</v>
      </c>
      <c r="J20" s="56">
        <f t="shared" si="0"/>
        <v>0.76691733926383654</v>
      </c>
      <c r="K20" s="54">
        <f t="shared" si="5"/>
        <v>986750.07817271154</v>
      </c>
    </row>
    <row r="21" spans="1:11" x14ac:dyDescent="0.3">
      <c r="A21" s="54"/>
      <c r="B21" s="41">
        <f t="shared" si="6"/>
        <v>10</v>
      </c>
      <c r="C21" s="52">
        <f t="shared" si="1"/>
        <v>986750.07817271154</v>
      </c>
      <c r="E21" s="54">
        <f t="shared" si="2"/>
        <v>-6443.0140148550854</v>
      </c>
      <c r="F21" s="54"/>
      <c r="G21" s="54">
        <f t="shared" si="3"/>
        <v>1509.263623991528</v>
      </c>
      <c r="H21" s="54"/>
      <c r="I21" s="54">
        <f t="shared" si="4"/>
        <v>4933.7503908635572</v>
      </c>
      <c r="J21" s="56">
        <f t="shared" si="0"/>
        <v>0.76575192596015573</v>
      </c>
      <c r="K21" s="54">
        <f t="shared" si="5"/>
        <v>985240.81454872002</v>
      </c>
    </row>
    <row r="22" spans="1:11" x14ac:dyDescent="0.3">
      <c r="A22" s="54"/>
      <c r="B22" s="41">
        <f t="shared" si="6"/>
        <v>11</v>
      </c>
      <c r="C22" s="52">
        <f t="shared" si="1"/>
        <v>985240.81454872002</v>
      </c>
      <c r="E22" s="54">
        <f t="shared" si="2"/>
        <v>-6443.0140148550854</v>
      </c>
      <c r="F22" s="54"/>
      <c r="G22" s="54">
        <f t="shared" si="3"/>
        <v>1516.8099421114855</v>
      </c>
      <c r="H22" s="54"/>
      <c r="I22" s="54">
        <f t="shared" si="4"/>
        <v>4926.2040727435997</v>
      </c>
      <c r="J22" s="56">
        <f t="shared" si="0"/>
        <v>0.76458068558995651</v>
      </c>
      <c r="K22" s="54">
        <f t="shared" si="5"/>
        <v>983724.00460660853</v>
      </c>
    </row>
    <row r="23" spans="1:11" x14ac:dyDescent="0.3">
      <c r="A23" s="54"/>
      <c r="B23" s="41">
        <f t="shared" si="6"/>
        <v>12</v>
      </c>
      <c r="C23" s="52">
        <f t="shared" si="1"/>
        <v>983724.00460660853</v>
      </c>
      <c r="E23" s="54">
        <f t="shared" si="2"/>
        <v>-6443.0140148550854</v>
      </c>
      <c r="F23" s="54"/>
      <c r="G23" s="54">
        <f t="shared" si="3"/>
        <v>1524.3939918220431</v>
      </c>
      <c r="H23" s="54"/>
      <c r="I23" s="54">
        <f t="shared" si="4"/>
        <v>4918.6200230330423</v>
      </c>
      <c r="J23" s="56">
        <f t="shared" si="0"/>
        <v>0.76340358901790639</v>
      </c>
      <c r="K23" s="54">
        <f t="shared" si="5"/>
        <v>982199.61061478651</v>
      </c>
    </row>
    <row r="24" spans="1:11" x14ac:dyDescent="0.3">
      <c r="A24" s="54"/>
      <c r="B24" s="41">
        <f t="shared" si="6"/>
        <v>13</v>
      </c>
      <c r="C24" s="52">
        <f t="shared" si="1"/>
        <v>982199.61061478651</v>
      </c>
      <c r="E24" s="54">
        <f t="shared" si="2"/>
        <v>-6443.0140148550854</v>
      </c>
      <c r="F24" s="54"/>
      <c r="G24" s="54">
        <f t="shared" si="3"/>
        <v>1532.0159617811532</v>
      </c>
      <c r="H24" s="54"/>
      <c r="I24" s="54">
        <f t="shared" si="4"/>
        <v>4910.9980530739322</v>
      </c>
      <c r="J24" s="56">
        <f t="shared" si="0"/>
        <v>0.76222060696299587</v>
      </c>
      <c r="K24" s="54">
        <f t="shared" si="5"/>
        <v>980667.59465300536</v>
      </c>
    </row>
    <row r="25" spans="1:11" x14ac:dyDescent="0.3">
      <c r="A25" s="54"/>
      <c r="B25" s="41">
        <f t="shared" si="6"/>
        <v>14</v>
      </c>
      <c r="C25" s="52">
        <f t="shared" si="1"/>
        <v>980667.59465300536</v>
      </c>
      <c r="E25" s="54">
        <f t="shared" si="2"/>
        <v>-6443.0140148550854</v>
      </c>
      <c r="F25" s="54"/>
      <c r="G25" s="54">
        <f t="shared" si="3"/>
        <v>1539.6760415900592</v>
      </c>
      <c r="H25" s="54"/>
      <c r="I25" s="54">
        <f t="shared" si="4"/>
        <v>4903.3379732650264</v>
      </c>
      <c r="J25" s="56">
        <f t="shared" si="0"/>
        <v>0.76103170999781089</v>
      </c>
      <c r="K25" s="54">
        <f t="shared" si="5"/>
        <v>979127.91861141531</v>
      </c>
    </row>
    <row r="26" spans="1:11" x14ac:dyDescent="0.3">
      <c r="A26" s="54"/>
      <c r="B26" s="41">
        <f t="shared" si="6"/>
        <v>15</v>
      </c>
      <c r="C26" s="52">
        <f t="shared" si="1"/>
        <v>979127.91861141531</v>
      </c>
      <c r="E26" s="54">
        <f t="shared" si="2"/>
        <v>-6443.0140148550854</v>
      </c>
      <c r="F26" s="54"/>
      <c r="G26" s="54">
        <f t="shared" si="3"/>
        <v>1547.3744217980095</v>
      </c>
      <c r="H26" s="54"/>
      <c r="I26" s="54">
        <f t="shared" si="4"/>
        <v>4895.6395930570761</v>
      </c>
      <c r="J26" s="56">
        <f t="shared" si="0"/>
        <v>0.75983686854779997</v>
      </c>
      <c r="K26" s="54">
        <f t="shared" si="5"/>
        <v>977580.54418961727</v>
      </c>
    </row>
    <row r="27" spans="1:11" x14ac:dyDescent="0.3">
      <c r="A27" s="54"/>
      <c r="B27" s="41">
        <f t="shared" si="6"/>
        <v>16</v>
      </c>
      <c r="C27" s="52">
        <f t="shared" si="1"/>
        <v>977580.54418961727</v>
      </c>
      <c r="E27" s="54">
        <f t="shared" si="2"/>
        <v>-6443.0140148550854</v>
      </c>
      <c r="F27" s="54"/>
      <c r="G27" s="54">
        <f t="shared" si="3"/>
        <v>1555.1112939069997</v>
      </c>
      <c r="H27" s="54"/>
      <c r="I27" s="54">
        <f t="shared" si="4"/>
        <v>4887.9027209480855</v>
      </c>
      <c r="J27" s="56">
        <f t="shared" si="0"/>
        <v>0.75863605289053881</v>
      </c>
      <c r="K27" s="54">
        <f t="shared" si="5"/>
        <v>976025.43289571023</v>
      </c>
    </row>
    <row r="28" spans="1:11" x14ac:dyDescent="0.3">
      <c r="A28" s="54"/>
      <c r="B28" s="41">
        <f t="shared" si="6"/>
        <v>17</v>
      </c>
      <c r="C28" s="52">
        <f t="shared" si="1"/>
        <v>976025.43289571023</v>
      </c>
      <c r="E28" s="54">
        <f t="shared" si="2"/>
        <v>-6443.0140148550854</v>
      </c>
      <c r="F28" s="54"/>
      <c r="G28" s="54">
        <f t="shared" si="3"/>
        <v>1562.8868503765343</v>
      </c>
      <c r="H28" s="54"/>
      <c r="I28" s="54">
        <f t="shared" si="4"/>
        <v>4880.1271644785511</v>
      </c>
      <c r="J28" s="56">
        <f t="shared" si="0"/>
        <v>0.75742923315499167</v>
      </c>
      <c r="K28" s="54">
        <f t="shared" si="5"/>
        <v>974462.54604533373</v>
      </c>
    </row>
    <row r="29" spans="1:11" x14ac:dyDescent="0.3">
      <c r="A29" s="54"/>
      <c r="B29" s="41">
        <f t="shared" si="6"/>
        <v>18</v>
      </c>
      <c r="C29" s="52">
        <f t="shared" si="1"/>
        <v>974462.54604533373</v>
      </c>
      <c r="E29" s="54">
        <f t="shared" si="2"/>
        <v>-6443.0140148550854</v>
      </c>
      <c r="F29" s="54"/>
      <c r="G29" s="54">
        <f t="shared" si="3"/>
        <v>1570.7012846284174</v>
      </c>
      <c r="H29" s="54"/>
      <c r="I29" s="54">
        <f t="shared" si="4"/>
        <v>4872.3127302266676</v>
      </c>
      <c r="J29" s="56">
        <f t="shared" si="0"/>
        <v>0.75621637932076646</v>
      </c>
      <c r="K29" s="54">
        <f t="shared" si="5"/>
        <v>972891.84476070537</v>
      </c>
    </row>
    <row r="30" spans="1:11" x14ac:dyDescent="0.3">
      <c r="A30" s="54"/>
      <c r="B30" s="41">
        <f t="shared" si="6"/>
        <v>19</v>
      </c>
      <c r="C30" s="52">
        <f t="shared" si="1"/>
        <v>972891.84476070537</v>
      </c>
      <c r="E30" s="54">
        <f t="shared" si="2"/>
        <v>-6443.0140148550854</v>
      </c>
      <c r="F30" s="54"/>
      <c r="G30" s="54">
        <f t="shared" si="3"/>
        <v>1578.5547910515593</v>
      </c>
      <c r="H30" s="54"/>
      <c r="I30" s="54">
        <f t="shared" si="4"/>
        <v>4864.4592238035257</v>
      </c>
      <c r="J30" s="56">
        <f t="shared" si="0"/>
        <v>0.75499746121737032</v>
      </c>
      <c r="K30" s="54">
        <f t="shared" si="5"/>
        <v>971313.28996965382</v>
      </c>
    </row>
    <row r="31" spans="1:11" x14ac:dyDescent="0.3">
      <c r="A31" s="54"/>
      <c r="B31" s="41">
        <f t="shared" si="6"/>
        <v>20</v>
      </c>
      <c r="C31" s="52">
        <f t="shared" si="1"/>
        <v>971313.28996965382</v>
      </c>
      <c r="E31" s="54">
        <f t="shared" si="2"/>
        <v>-6443.0140148550854</v>
      </c>
      <c r="F31" s="54"/>
      <c r="G31" s="54">
        <f t="shared" si="3"/>
        <v>1586.4475650068173</v>
      </c>
      <c r="H31" s="54"/>
      <c r="I31" s="54">
        <f t="shared" si="4"/>
        <v>4856.5664498482683</v>
      </c>
      <c r="J31" s="56">
        <f t="shared" si="0"/>
        <v>0.75377244852345726</v>
      </c>
      <c r="K31" s="54">
        <f t="shared" si="5"/>
        <v>969726.84240464703</v>
      </c>
    </row>
    <row r="32" spans="1:11" x14ac:dyDescent="0.3">
      <c r="A32" s="54"/>
      <c r="B32" s="41">
        <f t="shared" si="6"/>
        <v>21</v>
      </c>
      <c r="C32" s="52">
        <f t="shared" si="1"/>
        <v>969726.84240464703</v>
      </c>
      <c r="E32" s="54">
        <f t="shared" si="2"/>
        <v>-6443.0140148550854</v>
      </c>
      <c r="F32" s="54"/>
      <c r="G32" s="54">
        <f t="shared" si="3"/>
        <v>1594.3798028318511</v>
      </c>
      <c r="H32" s="54"/>
      <c r="I32" s="54">
        <f t="shared" si="4"/>
        <v>4848.6342120232348</v>
      </c>
      <c r="J32" s="56">
        <f t="shared" si="0"/>
        <v>0.75254131076607456</v>
      </c>
      <c r="K32" s="54">
        <f t="shared" si="5"/>
        <v>968132.46260181523</v>
      </c>
    </row>
    <row r="33" spans="1:11" x14ac:dyDescent="0.3">
      <c r="A33" s="54"/>
      <c r="B33" s="41">
        <f t="shared" si="6"/>
        <v>22</v>
      </c>
      <c r="C33" s="52">
        <f t="shared" ref="C33:C96" si="7">IF(B33&gt;$G$5,0,K32)</f>
        <v>968132.46260181523</v>
      </c>
      <c r="E33" s="54">
        <f t="shared" si="2"/>
        <v>-6443.0140148550854</v>
      </c>
      <c r="F33" s="54"/>
      <c r="G33" s="54">
        <f t="shared" si="3"/>
        <v>1602.3517018460102</v>
      </c>
      <c r="H33" s="54"/>
      <c r="I33" s="54">
        <f t="shared" ref="I33:I96" si="8">-E33-G33</f>
        <v>4840.6623130090757</v>
      </c>
      <c r="J33" s="56">
        <f t="shared" ref="J33:J96" si="9">IFERROR(-I33/E33,"NA")</f>
        <v>0.75130401731990504</v>
      </c>
      <c r="K33" s="54">
        <f t="shared" ref="K33:K96" si="10">C33-G33</f>
        <v>966530.11089996924</v>
      </c>
    </row>
    <row r="34" spans="1:11" x14ac:dyDescent="0.3">
      <c r="A34" s="54"/>
      <c r="B34" s="41">
        <f t="shared" si="6"/>
        <v>23</v>
      </c>
      <c r="C34" s="52">
        <f t="shared" si="7"/>
        <v>966530.11089996924</v>
      </c>
      <c r="E34" s="54">
        <f t="shared" si="2"/>
        <v>-6443.0140148550854</v>
      </c>
      <c r="F34" s="54"/>
      <c r="G34" s="54">
        <f t="shared" si="3"/>
        <v>1610.3634603552405</v>
      </c>
      <c r="H34" s="54"/>
      <c r="I34" s="54">
        <f t="shared" si="8"/>
        <v>4832.6505544998454</v>
      </c>
      <c r="J34" s="56">
        <f t="shared" si="9"/>
        <v>0.75006053740650447</v>
      </c>
      <c r="K34" s="54">
        <f t="shared" si="10"/>
        <v>964919.74743961403</v>
      </c>
    </row>
    <row r="35" spans="1:11" x14ac:dyDescent="0.3">
      <c r="A35" s="54"/>
      <c r="B35" s="41">
        <f t="shared" si="6"/>
        <v>24</v>
      </c>
      <c r="C35" s="52">
        <f t="shared" si="7"/>
        <v>964919.74743961403</v>
      </c>
      <c r="E35" s="54">
        <f t="shared" si="2"/>
        <v>-6443.0140148550854</v>
      </c>
      <c r="F35" s="54"/>
      <c r="G35" s="54">
        <f t="shared" si="3"/>
        <v>1618.4152776570168</v>
      </c>
      <c r="H35" s="54"/>
      <c r="I35" s="54">
        <f t="shared" si="8"/>
        <v>4824.5987371980682</v>
      </c>
      <c r="J35" s="56">
        <f t="shared" si="9"/>
        <v>0.74881084009353682</v>
      </c>
      <c r="K35" s="54">
        <f t="shared" si="10"/>
        <v>963301.33216195705</v>
      </c>
    </row>
    <row r="36" spans="1:11" x14ac:dyDescent="0.3">
      <c r="A36" s="54"/>
      <c r="B36" s="41">
        <f t="shared" si="6"/>
        <v>25</v>
      </c>
      <c r="C36" s="52">
        <f t="shared" si="7"/>
        <v>963301.33216195705</v>
      </c>
      <c r="E36" s="54">
        <f t="shared" si="2"/>
        <v>-6443.0140148550854</v>
      </c>
      <c r="F36" s="54"/>
      <c r="G36" s="54">
        <f t="shared" si="3"/>
        <v>1626.5073540453016</v>
      </c>
      <c r="H36" s="54"/>
      <c r="I36" s="54">
        <f t="shared" si="8"/>
        <v>4816.5066608097841</v>
      </c>
      <c r="J36" s="56">
        <f t="shared" si="9"/>
        <v>0.74755489429400468</v>
      </c>
      <c r="K36" s="54">
        <f t="shared" si="10"/>
        <v>961674.82480791176</v>
      </c>
    </row>
    <row r="37" spans="1:11" x14ac:dyDescent="0.3">
      <c r="A37" s="54"/>
      <c r="B37" s="41">
        <f t="shared" si="6"/>
        <v>26</v>
      </c>
      <c r="C37" s="52">
        <f t="shared" si="7"/>
        <v>961674.82480791176</v>
      </c>
      <c r="E37" s="54">
        <f t="shared" si="2"/>
        <v>-6443.0140148550854</v>
      </c>
      <c r="F37" s="54"/>
      <c r="G37" s="54">
        <f t="shared" si="3"/>
        <v>1634.6398908155281</v>
      </c>
      <c r="H37" s="54"/>
      <c r="I37" s="54">
        <f t="shared" si="8"/>
        <v>4808.3741240395575</v>
      </c>
      <c r="J37" s="56">
        <f t="shared" si="9"/>
        <v>0.74629266876547473</v>
      </c>
      <c r="K37" s="54">
        <f t="shared" si="10"/>
        <v>960040.18491709628</v>
      </c>
    </row>
    <row r="38" spans="1:11" x14ac:dyDescent="0.3">
      <c r="A38" s="54"/>
      <c r="B38" s="41">
        <f t="shared" si="6"/>
        <v>27</v>
      </c>
      <c r="C38" s="52">
        <f t="shared" si="7"/>
        <v>960040.18491709628</v>
      </c>
      <c r="E38" s="54">
        <f t="shared" si="2"/>
        <v>-6443.0140148550854</v>
      </c>
      <c r="F38" s="54"/>
      <c r="G38" s="54">
        <f t="shared" si="3"/>
        <v>1642.8130902696057</v>
      </c>
      <c r="H38" s="54"/>
      <c r="I38" s="54">
        <f t="shared" si="8"/>
        <v>4800.2009245854797</v>
      </c>
      <c r="J38" s="56">
        <f t="shared" si="9"/>
        <v>0.74502413210930207</v>
      </c>
      <c r="K38" s="54">
        <f t="shared" si="10"/>
        <v>958397.37182682671</v>
      </c>
    </row>
    <row r="39" spans="1:11" x14ac:dyDescent="0.3">
      <c r="A39" s="54"/>
      <c r="B39" s="41">
        <f t="shared" si="6"/>
        <v>28</v>
      </c>
      <c r="C39" s="52">
        <f t="shared" si="7"/>
        <v>958397.37182682671</v>
      </c>
      <c r="E39" s="54">
        <f t="shared" si="2"/>
        <v>-6443.0140148550854</v>
      </c>
      <c r="F39" s="54"/>
      <c r="G39" s="54">
        <f t="shared" si="3"/>
        <v>1651.0271557209539</v>
      </c>
      <c r="H39" s="54"/>
      <c r="I39" s="54">
        <f t="shared" si="8"/>
        <v>4791.986859134131</v>
      </c>
      <c r="J39" s="56">
        <f t="shared" si="9"/>
        <v>0.74374925276984849</v>
      </c>
      <c r="K39" s="54">
        <f t="shared" si="10"/>
        <v>956746.34467110573</v>
      </c>
    </row>
    <row r="40" spans="1:11" x14ac:dyDescent="0.3">
      <c r="A40" s="54"/>
      <c r="B40" s="41">
        <f t="shared" si="6"/>
        <v>29</v>
      </c>
      <c r="C40" s="52">
        <f t="shared" si="7"/>
        <v>956746.34467110573</v>
      </c>
      <c r="E40" s="54">
        <f t="shared" si="2"/>
        <v>-6443.0140148550854</v>
      </c>
      <c r="F40" s="54"/>
      <c r="G40" s="54">
        <f t="shared" si="3"/>
        <v>1659.2822914995588</v>
      </c>
      <c r="H40" s="54"/>
      <c r="I40" s="54">
        <f t="shared" si="8"/>
        <v>4783.7317233555268</v>
      </c>
      <c r="J40" s="56">
        <f t="shared" si="9"/>
        <v>0.74246799903369776</v>
      </c>
      <c r="K40" s="54">
        <f t="shared" si="10"/>
        <v>955087.06237960618</v>
      </c>
    </row>
    <row r="41" spans="1:11" x14ac:dyDescent="0.3">
      <c r="A41" s="54"/>
      <c r="B41" s="41">
        <f t="shared" si="6"/>
        <v>30</v>
      </c>
      <c r="C41" s="52">
        <f t="shared" si="7"/>
        <v>955087.06237960618</v>
      </c>
      <c r="E41" s="54">
        <f t="shared" si="2"/>
        <v>-6443.0140148550854</v>
      </c>
      <c r="F41" s="54"/>
      <c r="G41" s="54">
        <f t="shared" si="3"/>
        <v>1667.5787029570565</v>
      </c>
      <c r="H41" s="54"/>
      <c r="I41" s="54">
        <f t="shared" si="8"/>
        <v>4775.4353118980289</v>
      </c>
      <c r="J41" s="56">
        <f t="shared" si="9"/>
        <v>0.74118033902886626</v>
      </c>
      <c r="K41" s="54">
        <f t="shared" si="10"/>
        <v>953419.48367664916</v>
      </c>
    </row>
    <row r="42" spans="1:11" x14ac:dyDescent="0.3">
      <c r="A42" s="54"/>
      <c r="B42" s="41">
        <f t="shared" si="6"/>
        <v>31</v>
      </c>
      <c r="C42" s="52">
        <f t="shared" si="7"/>
        <v>953419.48367664916</v>
      </c>
      <c r="E42" s="54">
        <f t="shared" si="2"/>
        <v>-6443.0140148550854</v>
      </c>
      <c r="F42" s="54"/>
      <c r="G42" s="54">
        <f t="shared" si="3"/>
        <v>1675.916596471842</v>
      </c>
      <c r="H42" s="54"/>
      <c r="I42" s="54">
        <f t="shared" si="8"/>
        <v>4767.0974183832432</v>
      </c>
      <c r="J42" s="56">
        <f t="shared" si="9"/>
        <v>0.73988624072401055</v>
      </c>
      <c r="K42" s="54">
        <f t="shared" si="10"/>
        <v>951743.56708017737</v>
      </c>
    </row>
    <row r="43" spans="1:11" x14ac:dyDescent="0.3">
      <c r="A43" s="54"/>
      <c r="B43" s="41">
        <f t="shared" si="6"/>
        <v>32</v>
      </c>
      <c r="C43" s="52">
        <f t="shared" si="7"/>
        <v>951743.56708017737</v>
      </c>
      <c r="E43" s="54">
        <f t="shared" si="2"/>
        <v>-6443.0140148550854</v>
      </c>
      <c r="F43" s="54"/>
      <c r="G43" s="54">
        <f t="shared" si="3"/>
        <v>1684.2961794542009</v>
      </c>
      <c r="H43" s="54"/>
      <c r="I43" s="54">
        <f t="shared" si="8"/>
        <v>4758.7178354008847</v>
      </c>
      <c r="J43" s="56">
        <f t="shared" si="9"/>
        <v>0.73858567192763069</v>
      </c>
      <c r="K43" s="54">
        <f t="shared" si="10"/>
        <v>950059.27090072318</v>
      </c>
    </row>
    <row r="44" spans="1:11" x14ac:dyDescent="0.3">
      <c r="A44" s="54"/>
      <c r="B44" s="41">
        <f t="shared" si="6"/>
        <v>33</v>
      </c>
      <c r="C44" s="52">
        <f t="shared" si="7"/>
        <v>950059.27090072318</v>
      </c>
      <c r="E44" s="54">
        <f t="shared" si="2"/>
        <v>-6443.0140148550854</v>
      </c>
      <c r="F44" s="54"/>
      <c r="G44" s="54">
        <f t="shared" si="3"/>
        <v>1692.7176603514722</v>
      </c>
      <c r="H44" s="54"/>
      <c r="I44" s="54">
        <f t="shared" si="8"/>
        <v>4750.2963545036127</v>
      </c>
      <c r="J44" s="56">
        <f t="shared" si="9"/>
        <v>0.73727860028726866</v>
      </c>
      <c r="K44" s="54">
        <f t="shared" si="10"/>
        <v>948366.55324037175</v>
      </c>
    </row>
    <row r="45" spans="1:11" x14ac:dyDescent="0.3">
      <c r="A45" s="54"/>
      <c r="B45" s="41">
        <f t="shared" si="6"/>
        <v>34</v>
      </c>
      <c r="C45" s="52">
        <f t="shared" si="7"/>
        <v>948366.55324037175</v>
      </c>
      <c r="E45" s="54">
        <f t="shared" si="2"/>
        <v>-6443.0140148550854</v>
      </c>
      <c r="F45" s="54"/>
      <c r="G45" s="54">
        <f t="shared" si="3"/>
        <v>1701.1812486532292</v>
      </c>
      <c r="H45" s="54"/>
      <c r="I45" s="54">
        <f t="shared" si="8"/>
        <v>4741.8327662018564</v>
      </c>
      <c r="J45" s="56">
        <f t="shared" si="9"/>
        <v>0.73596499328870524</v>
      </c>
      <c r="K45" s="54">
        <f t="shared" si="10"/>
        <v>946665.37199171854</v>
      </c>
    </row>
    <row r="46" spans="1:11" x14ac:dyDescent="0.3">
      <c r="A46" s="54"/>
      <c r="B46" s="41">
        <f t="shared" si="6"/>
        <v>35</v>
      </c>
      <c r="C46" s="52">
        <f t="shared" si="7"/>
        <v>946665.37199171854</v>
      </c>
      <c r="E46" s="54">
        <f t="shared" si="2"/>
        <v>-6443.0140148550854</v>
      </c>
      <c r="F46" s="54"/>
      <c r="G46" s="54">
        <f t="shared" si="3"/>
        <v>1709.687154896495</v>
      </c>
      <c r="H46" s="54"/>
      <c r="I46" s="54">
        <f t="shared" si="8"/>
        <v>4733.3268599585899</v>
      </c>
      <c r="J46" s="56">
        <f t="shared" si="9"/>
        <v>0.73464481825514871</v>
      </c>
      <c r="K46" s="54">
        <f t="shared" si="10"/>
        <v>944955.6848368221</v>
      </c>
    </row>
    <row r="47" spans="1:11" x14ac:dyDescent="0.3">
      <c r="A47" s="54"/>
      <c r="B47" s="41">
        <f t="shared" si="6"/>
        <v>36</v>
      </c>
      <c r="C47" s="52">
        <f t="shared" si="7"/>
        <v>944955.6848368221</v>
      </c>
      <c r="E47" s="54">
        <f t="shared" si="2"/>
        <v>-6443.0140148550854</v>
      </c>
      <c r="F47" s="54"/>
      <c r="G47" s="54">
        <f t="shared" si="3"/>
        <v>1718.2355906709781</v>
      </c>
      <c r="H47" s="54"/>
      <c r="I47" s="54">
        <f t="shared" si="8"/>
        <v>4724.7784241841073</v>
      </c>
      <c r="J47" s="56">
        <f t="shared" si="9"/>
        <v>0.73331804234642439</v>
      </c>
      <c r="K47" s="54">
        <f t="shared" si="10"/>
        <v>943237.44924615114</v>
      </c>
    </row>
    <row r="48" spans="1:11" x14ac:dyDescent="0.3">
      <c r="A48" s="54"/>
      <c r="B48" s="41">
        <f t="shared" si="6"/>
        <v>37</v>
      </c>
      <c r="C48" s="52">
        <f t="shared" si="7"/>
        <v>943237.44924615114</v>
      </c>
      <c r="E48" s="54">
        <f t="shared" si="2"/>
        <v>-6443.0140148550854</v>
      </c>
      <c r="F48" s="54"/>
      <c r="G48" s="54">
        <f t="shared" si="3"/>
        <v>1726.8267686243325</v>
      </c>
      <c r="H48" s="54"/>
      <c r="I48" s="54">
        <f t="shared" si="8"/>
        <v>4716.1872462307529</v>
      </c>
      <c r="J48" s="56">
        <f t="shared" si="9"/>
        <v>0.7319846325581566</v>
      </c>
      <c r="K48" s="54">
        <f t="shared" si="10"/>
        <v>941510.62247752678</v>
      </c>
    </row>
    <row r="49" spans="1:11" x14ac:dyDescent="0.3">
      <c r="A49" s="54"/>
      <c r="B49" s="41">
        <f t="shared" si="6"/>
        <v>38</v>
      </c>
      <c r="C49" s="52">
        <f t="shared" si="7"/>
        <v>941510.62247752678</v>
      </c>
      <c r="E49" s="54">
        <f t="shared" si="2"/>
        <v>-6443.0140148550854</v>
      </c>
      <c r="F49" s="54"/>
      <c r="G49" s="54">
        <f t="shared" si="3"/>
        <v>1735.4609024674548</v>
      </c>
      <c r="H49" s="54"/>
      <c r="I49" s="54">
        <f t="shared" si="8"/>
        <v>4707.5531123876308</v>
      </c>
      <c r="J49" s="56">
        <f t="shared" si="9"/>
        <v>0.73064455572094733</v>
      </c>
      <c r="K49" s="54">
        <f t="shared" si="10"/>
        <v>939775.16157505929</v>
      </c>
    </row>
    <row r="50" spans="1:11" x14ac:dyDescent="0.3">
      <c r="A50" s="54"/>
      <c r="B50" s="41">
        <f t="shared" si="6"/>
        <v>39</v>
      </c>
      <c r="C50" s="52">
        <f t="shared" si="7"/>
        <v>939775.16157505929</v>
      </c>
      <c r="E50" s="54">
        <f t="shared" si="2"/>
        <v>-6443.0140148550854</v>
      </c>
      <c r="F50" s="54"/>
      <c r="G50" s="54">
        <f t="shared" si="3"/>
        <v>1744.1382069797917</v>
      </c>
      <c r="H50" s="54"/>
      <c r="I50" s="54">
        <f t="shared" si="8"/>
        <v>4698.8758078752935</v>
      </c>
      <c r="J50" s="56">
        <f t="shared" si="9"/>
        <v>0.72929777849955202</v>
      </c>
      <c r="K50" s="54">
        <f t="shared" si="10"/>
        <v>938031.02336807945</v>
      </c>
    </row>
    <row r="51" spans="1:11" x14ac:dyDescent="0.3">
      <c r="A51" s="54"/>
      <c r="B51" s="41">
        <f t="shared" si="6"/>
        <v>40</v>
      </c>
      <c r="C51" s="52">
        <f t="shared" si="7"/>
        <v>938031.02336807945</v>
      </c>
      <c r="E51" s="54">
        <f t="shared" si="2"/>
        <v>-6443.0140148550854</v>
      </c>
      <c r="F51" s="54"/>
      <c r="G51" s="54">
        <f t="shared" si="3"/>
        <v>1752.858898014691</v>
      </c>
      <c r="H51" s="54"/>
      <c r="I51" s="54">
        <f t="shared" si="8"/>
        <v>4690.1551168403948</v>
      </c>
      <c r="J51" s="56">
        <f t="shared" si="9"/>
        <v>0.72794426739204987</v>
      </c>
      <c r="K51" s="54">
        <f t="shared" si="10"/>
        <v>936278.1644700648</v>
      </c>
    </row>
    <row r="52" spans="1:11" x14ac:dyDescent="0.3">
      <c r="A52" s="54"/>
      <c r="B52" s="41">
        <f t="shared" si="6"/>
        <v>41</v>
      </c>
      <c r="C52" s="52">
        <f t="shared" si="7"/>
        <v>936278.1644700648</v>
      </c>
      <c r="E52" s="54">
        <f t="shared" si="2"/>
        <v>-6443.0140148550854</v>
      </c>
      <c r="F52" s="54"/>
      <c r="G52" s="54">
        <f t="shared" si="3"/>
        <v>1761.6231925047641</v>
      </c>
      <c r="H52" s="54"/>
      <c r="I52" s="54">
        <f t="shared" si="8"/>
        <v>4681.3908223503213</v>
      </c>
      <c r="J52" s="56">
        <f t="shared" si="9"/>
        <v>0.72658398872901009</v>
      </c>
      <c r="K52" s="54">
        <f t="shared" si="10"/>
        <v>934516.54127756006</v>
      </c>
    </row>
    <row r="53" spans="1:11" x14ac:dyDescent="0.3">
      <c r="A53" s="54"/>
      <c r="B53" s="41">
        <f t="shared" si="6"/>
        <v>42</v>
      </c>
      <c r="C53" s="52">
        <f t="shared" si="7"/>
        <v>934516.54127756006</v>
      </c>
      <c r="E53" s="54">
        <f t="shared" si="2"/>
        <v>-6443.0140148550854</v>
      </c>
      <c r="F53" s="54"/>
      <c r="G53" s="54">
        <f t="shared" si="3"/>
        <v>1770.4313084672881</v>
      </c>
      <c r="H53" s="54"/>
      <c r="I53" s="54">
        <f t="shared" si="8"/>
        <v>4672.5827063877969</v>
      </c>
      <c r="J53" s="56">
        <f t="shared" si="9"/>
        <v>0.72521690867265498</v>
      </c>
      <c r="K53" s="54">
        <f t="shared" si="10"/>
        <v>932746.10996909277</v>
      </c>
    </row>
    <row r="54" spans="1:11" x14ac:dyDescent="0.3">
      <c r="A54" s="54"/>
      <c r="B54" s="41">
        <f t="shared" si="6"/>
        <v>43</v>
      </c>
      <c r="C54" s="52">
        <f t="shared" si="7"/>
        <v>932746.10996909277</v>
      </c>
      <c r="E54" s="54">
        <f t="shared" si="2"/>
        <v>-6443.0140148550854</v>
      </c>
      <c r="F54" s="54"/>
      <c r="G54" s="54">
        <f t="shared" si="3"/>
        <v>1779.2834650096245</v>
      </c>
      <c r="H54" s="54"/>
      <c r="I54" s="54">
        <f t="shared" si="8"/>
        <v>4663.7305498454607</v>
      </c>
      <c r="J54" s="56">
        <f t="shared" si="9"/>
        <v>0.7238429932160183</v>
      </c>
      <c r="K54" s="54">
        <f t="shared" si="10"/>
        <v>930966.82650408312</v>
      </c>
    </row>
    <row r="55" spans="1:11" x14ac:dyDescent="0.3">
      <c r="A55" s="54"/>
      <c r="B55" s="41">
        <f t="shared" si="6"/>
        <v>44</v>
      </c>
      <c r="C55" s="52">
        <f t="shared" si="7"/>
        <v>930966.82650408312</v>
      </c>
      <c r="E55" s="54">
        <f t="shared" si="2"/>
        <v>-6443.0140148550854</v>
      </c>
      <c r="F55" s="54"/>
      <c r="G55" s="54">
        <f t="shared" si="3"/>
        <v>1788.1798823346728</v>
      </c>
      <c r="H55" s="54"/>
      <c r="I55" s="54">
        <f t="shared" si="8"/>
        <v>4654.8341325204128</v>
      </c>
      <c r="J55" s="56">
        <f t="shared" si="9"/>
        <v>0.7224622081820985</v>
      </c>
      <c r="K55" s="54">
        <f t="shared" si="10"/>
        <v>929178.64662174846</v>
      </c>
    </row>
    <row r="56" spans="1:11" x14ac:dyDescent="0.3">
      <c r="A56" s="54"/>
      <c r="B56" s="41">
        <f t="shared" si="6"/>
        <v>45</v>
      </c>
      <c r="C56" s="52">
        <f t="shared" si="7"/>
        <v>929178.64662174846</v>
      </c>
      <c r="E56" s="54">
        <f t="shared" si="2"/>
        <v>-6443.0140148550854</v>
      </c>
      <c r="F56" s="54"/>
      <c r="G56" s="54">
        <f t="shared" si="3"/>
        <v>1797.120781746346</v>
      </c>
      <c r="H56" s="54"/>
      <c r="I56" s="54">
        <f t="shared" si="8"/>
        <v>4645.8932331087399</v>
      </c>
      <c r="J56" s="56">
        <f t="shared" si="9"/>
        <v>0.72107451922300903</v>
      </c>
      <c r="K56" s="54">
        <f t="shared" si="10"/>
        <v>927381.52584000211</v>
      </c>
    </row>
    <row r="57" spans="1:11" x14ac:dyDescent="0.3">
      <c r="A57" s="54"/>
      <c r="B57" s="41">
        <f t="shared" si="6"/>
        <v>46</v>
      </c>
      <c r="C57" s="52">
        <f t="shared" si="7"/>
        <v>927381.52584000211</v>
      </c>
      <c r="E57" s="54">
        <f t="shared" si="2"/>
        <v>-6443.0140148550854</v>
      </c>
      <c r="F57" s="54"/>
      <c r="G57" s="54">
        <f t="shared" si="3"/>
        <v>1806.1063856550777</v>
      </c>
      <c r="H57" s="54"/>
      <c r="I57" s="54">
        <f t="shared" si="8"/>
        <v>4636.9076292000082</v>
      </c>
      <c r="J57" s="56">
        <f t="shared" si="9"/>
        <v>0.71967989181912406</v>
      </c>
      <c r="K57" s="54">
        <f t="shared" si="10"/>
        <v>925575.41945434699</v>
      </c>
    </row>
    <row r="58" spans="1:11" x14ac:dyDescent="0.3">
      <c r="A58" s="54"/>
      <c r="B58" s="41">
        <f t="shared" si="6"/>
        <v>47</v>
      </c>
      <c r="C58" s="52">
        <f t="shared" si="7"/>
        <v>925575.41945434699</v>
      </c>
      <c r="E58" s="54">
        <f t="shared" si="2"/>
        <v>-6443.0140148550854</v>
      </c>
      <c r="F58" s="54"/>
      <c r="G58" s="54">
        <f t="shared" si="3"/>
        <v>1815.1369175833531</v>
      </c>
      <c r="H58" s="54"/>
      <c r="I58" s="54">
        <f t="shared" si="8"/>
        <v>4627.8770972717321</v>
      </c>
      <c r="J58" s="56">
        <f t="shared" si="9"/>
        <v>0.71827829127821963</v>
      </c>
      <c r="K58" s="54">
        <f t="shared" si="10"/>
        <v>923760.2825367637</v>
      </c>
    </row>
    <row r="59" spans="1:11" x14ac:dyDescent="0.3">
      <c r="A59" s="54"/>
      <c r="B59" s="41">
        <f t="shared" si="6"/>
        <v>48</v>
      </c>
      <c r="C59" s="52">
        <f t="shared" si="7"/>
        <v>923760.2825367637</v>
      </c>
      <c r="E59" s="54">
        <f t="shared" si="2"/>
        <v>-6443.0140148550854</v>
      </c>
      <c r="F59" s="54"/>
      <c r="G59" s="54">
        <f t="shared" si="3"/>
        <v>1824.2126021712695</v>
      </c>
      <c r="H59" s="54"/>
      <c r="I59" s="54">
        <f t="shared" si="8"/>
        <v>4618.8014126838161</v>
      </c>
      <c r="J59" s="56">
        <f t="shared" si="9"/>
        <v>0.71686968273461082</v>
      </c>
      <c r="K59" s="54">
        <f t="shared" si="10"/>
        <v>921936.06993459247</v>
      </c>
    </row>
    <row r="60" spans="1:11" x14ac:dyDescent="0.3">
      <c r="A60" s="54"/>
      <c r="B60" s="41">
        <f t="shared" si="6"/>
        <v>49</v>
      </c>
      <c r="C60" s="52">
        <f t="shared" si="7"/>
        <v>921936.06993459247</v>
      </c>
      <c r="E60" s="54">
        <f t="shared" si="2"/>
        <v>-6443.0140148550854</v>
      </c>
      <c r="F60" s="54"/>
      <c r="G60" s="54">
        <f t="shared" si="3"/>
        <v>1833.3336651821264</v>
      </c>
      <c r="H60" s="54"/>
      <c r="I60" s="54">
        <f t="shared" si="8"/>
        <v>4609.680349672959</v>
      </c>
      <c r="J60" s="56">
        <f t="shared" si="9"/>
        <v>0.71545403114828376</v>
      </c>
      <c r="K60" s="54">
        <f t="shared" si="10"/>
        <v>920102.73626941035</v>
      </c>
    </row>
    <row r="61" spans="1:11" x14ac:dyDescent="0.3">
      <c r="A61" s="54"/>
      <c r="B61" s="41">
        <f t="shared" si="6"/>
        <v>50</v>
      </c>
      <c r="C61" s="52">
        <f t="shared" si="7"/>
        <v>920102.73626941035</v>
      </c>
      <c r="E61" s="54">
        <f t="shared" si="2"/>
        <v>-6443.0140148550854</v>
      </c>
      <c r="F61" s="54"/>
      <c r="G61" s="54">
        <f t="shared" si="3"/>
        <v>1842.5003335080369</v>
      </c>
      <c r="H61" s="54"/>
      <c r="I61" s="54">
        <f t="shared" si="8"/>
        <v>4600.513681347049</v>
      </c>
      <c r="J61" s="56">
        <f t="shared" si="9"/>
        <v>0.71403130130402526</v>
      </c>
      <c r="K61" s="54">
        <f t="shared" si="10"/>
        <v>918260.23593590234</v>
      </c>
    </row>
    <row r="62" spans="1:11" x14ac:dyDescent="0.3">
      <c r="A62" s="54"/>
      <c r="B62" s="41">
        <f t="shared" si="6"/>
        <v>51</v>
      </c>
      <c r="C62" s="52">
        <f t="shared" si="7"/>
        <v>918260.23593590234</v>
      </c>
      <c r="E62" s="54">
        <f t="shared" si="2"/>
        <v>-6443.0140148550854</v>
      </c>
      <c r="F62" s="54"/>
      <c r="G62" s="54">
        <f t="shared" si="3"/>
        <v>1851.7128351755773</v>
      </c>
      <c r="H62" s="54"/>
      <c r="I62" s="54">
        <f t="shared" si="8"/>
        <v>4591.3011796795081</v>
      </c>
      <c r="J62" s="56">
        <f t="shared" si="9"/>
        <v>0.71260145781054529</v>
      </c>
      <c r="K62" s="54">
        <f t="shared" si="10"/>
        <v>916408.52310072677</v>
      </c>
    </row>
    <row r="63" spans="1:11" x14ac:dyDescent="0.3">
      <c r="A63" s="54"/>
      <c r="B63" s="41">
        <f t="shared" si="6"/>
        <v>52</v>
      </c>
      <c r="C63" s="52">
        <f t="shared" si="7"/>
        <v>916408.52310072677</v>
      </c>
      <c r="E63" s="54">
        <f t="shared" si="2"/>
        <v>-6443.0140148550854</v>
      </c>
      <c r="F63" s="54"/>
      <c r="G63" s="54">
        <f t="shared" si="3"/>
        <v>1860.9713993514547</v>
      </c>
      <c r="H63" s="54"/>
      <c r="I63" s="54">
        <f t="shared" si="8"/>
        <v>4582.0426155036312</v>
      </c>
      <c r="J63" s="56">
        <f t="shared" si="9"/>
        <v>0.71116446509959819</v>
      </c>
      <c r="K63" s="54">
        <f t="shared" si="10"/>
        <v>914547.55170137528</v>
      </c>
    </row>
    <row r="64" spans="1:11" x14ac:dyDescent="0.3">
      <c r="A64" s="54"/>
      <c r="B64" s="41">
        <f t="shared" si="6"/>
        <v>53</v>
      </c>
      <c r="C64" s="52">
        <f t="shared" si="7"/>
        <v>914547.55170137528</v>
      </c>
      <c r="E64" s="54">
        <f t="shared" si="2"/>
        <v>-6443.0140148550854</v>
      </c>
      <c r="F64" s="54"/>
      <c r="G64" s="54">
        <f t="shared" si="3"/>
        <v>1870.2762563482122</v>
      </c>
      <c r="H64" s="54"/>
      <c r="I64" s="54">
        <f t="shared" si="8"/>
        <v>4572.7377585068734</v>
      </c>
      <c r="J64" s="56">
        <f t="shared" si="9"/>
        <v>0.70972028742509607</v>
      </c>
      <c r="K64" s="54">
        <f t="shared" si="10"/>
        <v>912677.27544502704</v>
      </c>
    </row>
    <row r="65" spans="1:11" x14ac:dyDescent="0.3">
      <c r="A65" s="54"/>
      <c r="B65" s="41">
        <f t="shared" si="6"/>
        <v>54</v>
      </c>
      <c r="C65" s="52">
        <f t="shared" si="7"/>
        <v>912677.27544502704</v>
      </c>
      <c r="E65" s="54">
        <f t="shared" si="2"/>
        <v>-6443.0140148550854</v>
      </c>
      <c r="F65" s="54"/>
      <c r="G65" s="54">
        <f t="shared" si="3"/>
        <v>1879.6276376299534</v>
      </c>
      <c r="H65" s="54"/>
      <c r="I65" s="54">
        <f t="shared" si="8"/>
        <v>4563.3863772251316</v>
      </c>
      <c r="J65" s="56">
        <f t="shared" si="9"/>
        <v>0.70826888886222139</v>
      </c>
      <c r="K65" s="54">
        <f t="shared" si="10"/>
        <v>910797.64780739706</v>
      </c>
    </row>
    <row r="66" spans="1:11" x14ac:dyDescent="0.3">
      <c r="A66" s="54"/>
      <c r="B66" s="41">
        <f t="shared" si="6"/>
        <v>55</v>
      </c>
      <c r="C66" s="52">
        <f t="shared" si="7"/>
        <v>910797.64780739706</v>
      </c>
      <c r="E66" s="54">
        <f t="shared" si="2"/>
        <v>-6443.0140148550854</v>
      </c>
      <c r="F66" s="54"/>
      <c r="G66" s="54">
        <f t="shared" si="3"/>
        <v>1889.0257758181033</v>
      </c>
      <c r="H66" s="54"/>
      <c r="I66" s="54">
        <f t="shared" si="8"/>
        <v>4553.9882390369821</v>
      </c>
      <c r="J66" s="56">
        <f t="shared" si="9"/>
        <v>0.70681023330653259</v>
      </c>
      <c r="K66" s="54">
        <f t="shared" si="10"/>
        <v>908908.62203157891</v>
      </c>
    </row>
    <row r="67" spans="1:11" x14ac:dyDescent="0.3">
      <c r="A67" s="54"/>
      <c r="B67" s="41">
        <f t="shared" si="6"/>
        <v>56</v>
      </c>
      <c r="C67" s="52">
        <f t="shared" si="7"/>
        <v>908908.62203157891</v>
      </c>
      <c r="E67" s="54">
        <f t="shared" si="2"/>
        <v>-6443.0140148550854</v>
      </c>
      <c r="F67" s="54"/>
      <c r="G67" s="54">
        <f t="shared" si="3"/>
        <v>1898.4709046971934</v>
      </c>
      <c r="H67" s="54"/>
      <c r="I67" s="54">
        <f t="shared" si="8"/>
        <v>4544.5431101578924</v>
      </c>
      <c r="J67" s="56">
        <f t="shared" si="9"/>
        <v>0.70534428447306541</v>
      </c>
      <c r="K67" s="54">
        <f t="shared" si="10"/>
        <v>907010.15112688171</v>
      </c>
    </row>
    <row r="68" spans="1:11" x14ac:dyDescent="0.3">
      <c r="A68" s="54"/>
      <c r="B68" s="41">
        <f t="shared" si="6"/>
        <v>57</v>
      </c>
      <c r="C68" s="52">
        <f t="shared" si="7"/>
        <v>907010.15112688171</v>
      </c>
      <c r="E68" s="54">
        <f t="shared" si="2"/>
        <v>-6443.0140148550854</v>
      </c>
      <c r="F68" s="54"/>
      <c r="G68" s="54">
        <f t="shared" si="3"/>
        <v>1907.9632592206792</v>
      </c>
      <c r="H68" s="54"/>
      <c r="I68" s="54">
        <f t="shared" si="8"/>
        <v>4535.0507556344064</v>
      </c>
      <c r="J68" s="56">
        <f t="shared" si="9"/>
        <v>0.70387100589543072</v>
      </c>
      <c r="K68" s="54">
        <f t="shared" si="10"/>
        <v>905102.18786766101</v>
      </c>
    </row>
    <row r="69" spans="1:11" x14ac:dyDescent="0.3">
      <c r="A69" s="54"/>
      <c r="B69" s="41">
        <f t="shared" si="6"/>
        <v>58</v>
      </c>
      <c r="C69" s="52">
        <f t="shared" si="7"/>
        <v>905102.18786766101</v>
      </c>
      <c r="E69" s="54">
        <f t="shared" si="2"/>
        <v>-6443.0140148550854</v>
      </c>
      <c r="F69" s="54"/>
      <c r="G69" s="54">
        <f t="shared" si="3"/>
        <v>1917.5030755167829</v>
      </c>
      <c r="H69" s="54"/>
      <c r="I69" s="54">
        <f t="shared" si="8"/>
        <v>4525.5109393383027</v>
      </c>
      <c r="J69" s="56">
        <f t="shared" si="9"/>
        <v>0.70239036092490781</v>
      </c>
      <c r="K69" s="54">
        <f t="shared" si="10"/>
        <v>903184.68479214422</v>
      </c>
    </row>
    <row r="70" spans="1:11" x14ac:dyDescent="0.3">
      <c r="A70" s="54"/>
      <c r="B70" s="41">
        <f t="shared" si="6"/>
        <v>59</v>
      </c>
      <c r="C70" s="52">
        <f t="shared" si="7"/>
        <v>903184.68479214422</v>
      </c>
      <c r="E70" s="54">
        <f t="shared" si="2"/>
        <v>-6443.0140148550854</v>
      </c>
      <c r="F70" s="54"/>
      <c r="G70" s="54">
        <f t="shared" si="3"/>
        <v>1927.0905908943666</v>
      </c>
      <c r="H70" s="54"/>
      <c r="I70" s="54">
        <f t="shared" si="8"/>
        <v>4515.9234239607185</v>
      </c>
      <c r="J70" s="56">
        <f t="shared" si="9"/>
        <v>0.7009023127295323</v>
      </c>
      <c r="K70" s="54">
        <f t="shared" si="10"/>
        <v>901257.59420124989</v>
      </c>
    </row>
    <row r="71" spans="1:11" x14ac:dyDescent="0.3">
      <c r="A71" s="54"/>
      <c r="B71" s="41">
        <f t="shared" si="6"/>
        <v>60</v>
      </c>
      <c r="C71" s="52">
        <f t="shared" si="7"/>
        <v>901257.59420124989</v>
      </c>
      <c r="E71" s="54">
        <f t="shared" si="2"/>
        <v>-6443.0140148550854</v>
      </c>
      <c r="F71" s="54"/>
      <c r="G71" s="54">
        <f t="shared" si="3"/>
        <v>1936.7260438488386</v>
      </c>
      <c r="H71" s="54"/>
      <c r="I71" s="54">
        <f t="shared" si="8"/>
        <v>4506.2879710062471</v>
      </c>
      <c r="J71" s="56">
        <f t="shared" si="9"/>
        <v>0.69940682429318002</v>
      </c>
      <c r="K71" s="54">
        <f t="shared" si="10"/>
        <v>899320.8681574011</v>
      </c>
    </row>
    <row r="72" spans="1:11" x14ac:dyDescent="0.3">
      <c r="A72" s="54"/>
      <c r="B72" s="41">
        <f t="shared" si="6"/>
        <v>61</v>
      </c>
      <c r="C72" s="52">
        <f t="shared" si="7"/>
        <v>899320.8681574011</v>
      </c>
      <c r="E72" s="54">
        <f t="shared" si="2"/>
        <v>-6443.0140148550854</v>
      </c>
      <c r="F72" s="54"/>
      <c r="G72" s="54">
        <f t="shared" si="3"/>
        <v>1946.4096740680829</v>
      </c>
      <c r="H72" s="54"/>
      <c r="I72" s="54">
        <f t="shared" si="8"/>
        <v>4496.604340787002</v>
      </c>
      <c r="J72" s="56">
        <f t="shared" si="9"/>
        <v>0.69790385841464575</v>
      </c>
      <c r="K72" s="54">
        <f t="shared" si="10"/>
        <v>897374.458483333</v>
      </c>
    </row>
    <row r="73" spans="1:11" x14ac:dyDescent="0.3">
      <c r="A73" s="54"/>
      <c r="B73" s="41">
        <f t="shared" si="6"/>
        <v>62</v>
      </c>
      <c r="C73" s="52">
        <f t="shared" si="7"/>
        <v>897374.458483333</v>
      </c>
      <c r="E73" s="54">
        <f t="shared" si="2"/>
        <v>-6443.0140148550854</v>
      </c>
      <c r="F73" s="54"/>
      <c r="G73" s="54">
        <f t="shared" si="3"/>
        <v>1956.1417224384236</v>
      </c>
      <c r="H73" s="54"/>
      <c r="I73" s="54">
        <f t="shared" si="8"/>
        <v>4486.8722924166614</v>
      </c>
      <c r="J73" s="56">
        <f t="shared" si="9"/>
        <v>0.69639337770671894</v>
      </c>
      <c r="K73" s="54">
        <f t="shared" si="10"/>
        <v>895418.31676089461</v>
      </c>
    </row>
    <row r="74" spans="1:11" x14ac:dyDescent="0.3">
      <c r="A74" s="54"/>
      <c r="B74" s="41">
        <f t="shared" si="6"/>
        <v>63</v>
      </c>
      <c r="C74" s="52">
        <f t="shared" si="7"/>
        <v>895418.31676089461</v>
      </c>
      <c r="E74" s="54">
        <f t="shared" si="2"/>
        <v>-6443.0140148550854</v>
      </c>
      <c r="F74" s="54"/>
      <c r="G74" s="54">
        <f t="shared" si="3"/>
        <v>1965.9224310506156</v>
      </c>
      <c r="H74" s="54"/>
      <c r="I74" s="54">
        <f t="shared" si="8"/>
        <v>4477.0915838044693</v>
      </c>
      <c r="J74" s="56">
        <f t="shared" si="9"/>
        <v>0.69487534459525258</v>
      </c>
      <c r="K74" s="54">
        <f t="shared" si="10"/>
        <v>893452.39432984404</v>
      </c>
    </row>
    <row r="75" spans="1:11" x14ac:dyDescent="0.3">
      <c r="A75" s="54"/>
      <c r="B75" s="41">
        <f t="shared" si="6"/>
        <v>64</v>
      </c>
      <c r="C75" s="52">
        <f t="shared" si="7"/>
        <v>893452.39432984404</v>
      </c>
      <c r="E75" s="54">
        <f t="shared" si="2"/>
        <v>-6443.0140148550854</v>
      </c>
      <c r="F75" s="54"/>
      <c r="G75" s="54">
        <f t="shared" si="3"/>
        <v>1975.7520432058686</v>
      </c>
      <c r="H75" s="54"/>
      <c r="I75" s="54">
        <f t="shared" si="8"/>
        <v>4467.2619716492172</v>
      </c>
      <c r="J75" s="56">
        <f t="shared" si="9"/>
        <v>0.69334972131822903</v>
      </c>
      <c r="K75" s="54">
        <f t="shared" si="10"/>
        <v>891476.64228663815</v>
      </c>
    </row>
    <row r="76" spans="1:11" x14ac:dyDescent="0.3">
      <c r="A76" s="54"/>
      <c r="B76" s="41">
        <f t="shared" si="6"/>
        <v>65</v>
      </c>
      <c r="C76" s="52">
        <f t="shared" si="7"/>
        <v>891476.64228663815</v>
      </c>
      <c r="E76" s="54">
        <f t="shared" si="2"/>
        <v>-6443.0140148550854</v>
      </c>
      <c r="F76" s="54"/>
      <c r="G76" s="54">
        <f t="shared" si="3"/>
        <v>1985.630803421898</v>
      </c>
      <c r="H76" s="54"/>
      <c r="I76" s="54">
        <f t="shared" si="8"/>
        <v>4457.3832114331872</v>
      </c>
      <c r="J76" s="56">
        <f t="shared" si="9"/>
        <v>0.69181646992482004</v>
      </c>
      <c r="K76" s="54">
        <f t="shared" si="10"/>
        <v>889491.01148321619</v>
      </c>
    </row>
    <row r="77" spans="1:11" x14ac:dyDescent="0.3">
      <c r="A77" s="54"/>
      <c r="B77" s="41">
        <f t="shared" si="6"/>
        <v>66</v>
      </c>
      <c r="C77" s="52">
        <f t="shared" si="7"/>
        <v>889491.01148321619</v>
      </c>
      <c r="E77" s="54">
        <f t="shared" ref="E77:E140" si="11">PMT($E$7,$G$5,$E$4)</f>
        <v>-6443.0140148550854</v>
      </c>
      <c r="F77" s="54"/>
      <c r="G77" s="54">
        <f t="shared" ref="G77:G140" si="12">IFERROR(-PPMT($E$7,B77,$G$5,$E$4),0)</f>
        <v>1995.5589574390076</v>
      </c>
      <c r="H77" s="54"/>
      <c r="I77" s="54">
        <f t="shared" si="8"/>
        <v>4447.4550574160776</v>
      </c>
      <c r="J77" s="56">
        <f t="shared" si="9"/>
        <v>0.69027555227444415</v>
      </c>
      <c r="K77" s="54">
        <f t="shared" si="10"/>
        <v>887495.45252577716</v>
      </c>
    </row>
    <row r="78" spans="1:11" x14ac:dyDescent="0.3">
      <c r="A78" s="54"/>
      <c r="B78" s="41">
        <f t="shared" ref="B78:B141" si="13">B77+1</f>
        <v>67</v>
      </c>
      <c r="C78" s="52">
        <f t="shared" si="7"/>
        <v>887495.45252577716</v>
      </c>
      <c r="E78" s="54">
        <f t="shared" si="11"/>
        <v>-6443.0140148550854</v>
      </c>
      <c r="F78" s="54"/>
      <c r="G78" s="54">
        <f t="shared" si="12"/>
        <v>2005.5367522262022</v>
      </c>
      <c r="H78" s="54"/>
      <c r="I78" s="54">
        <f t="shared" si="8"/>
        <v>4437.4772626288832</v>
      </c>
      <c r="J78" s="56">
        <f t="shared" si="9"/>
        <v>0.68872693003581642</v>
      </c>
      <c r="K78" s="54">
        <f t="shared" si="10"/>
        <v>885489.91577355098</v>
      </c>
    </row>
    <row r="79" spans="1:11" x14ac:dyDescent="0.3">
      <c r="A79" s="54"/>
      <c r="B79" s="41">
        <f t="shared" si="13"/>
        <v>68</v>
      </c>
      <c r="C79" s="52">
        <f t="shared" si="7"/>
        <v>885489.91577355098</v>
      </c>
      <c r="E79" s="54">
        <f t="shared" si="11"/>
        <v>-6443.0140148550854</v>
      </c>
      <c r="F79" s="54"/>
      <c r="G79" s="54">
        <f t="shared" si="12"/>
        <v>2015.5644359873338</v>
      </c>
      <c r="H79" s="54"/>
      <c r="I79" s="54">
        <f t="shared" si="8"/>
        <v>4427.4495788677514</v>
      </c>
      <c r="J79" s="56">
        <f t="shared" si="9"/>
        <v>0.68717056468599536</v>
      </c>
      <c r="K79" s="54">
        <f t="shared" si="10"/>
        <v>883474.3513375636</v>
      </c>
    </row>
    <row r="80" spans="1:11" x14ac:dyDescent="0.3">
      <c r="A80" s="54"/>
      <c r="B80" s="41">
        <f t="shared" si="13"/>
        <v>69</v>
      </c>
      <c r="C80" s="52">
        <f t="shared" si="7"/>
        <v>883474.3513375636</v>
      </c>
      <c r="E80" s="54">
        <f t="shared" si="11"/>
        <v>-6443.0140148550854</v>
      </c>
      <c r="F80" s="54"/>
      <c r="G80" s="54">
        <f t="shared" si="12"/>
        <v>2025.64225816727</v>
      </c>
      <c r="H80" s="54"/>
      <c r="I80" s="54">
        <f t="shared" si="8"/>
        <v>4417.3717566878149</v>
      </c>
      <c r="J80" s="56">
        <f t="shared" si="9"/>
        <v>0.68560641750942541</v>
      </c>
      <c r="K80" s="54">
        <f t="shared" si="10"/>
        <v>881448.70907939633</v>
      </c>
    </row>
    <row r="81" spans="1:11" x14ac:dyDescent="0.3">
      <c r="A81" s="54"/>
      <c r="B81" s="41">
        <f t="shared" si="13"/>
        <v>70</v>
      </c>
      <c r="C81" s="52">
        <f t="shared" si="7"/>
        <v>881448.70907939633</v>
      </c>
      <c r="E81" s="54">
        <f t="shared" si="11"/>
        <v>-6443.0140148550854</v>
      </c>
      <c r="F81" s="54"/>
      <c r="G81" s="54">
        <f t="shared" si="12"/>
        <v>2035.7704694581064</v>
      </c>
      <c r="H81" s="54"/>
      <c r="I81" s="54">
        <f t="shared" si="8"/>
        <v>4407.2435453969792</v>
      </c>
      <c r="J81" s="56">
        <f t="shared" si="9"/>
        <v>0.68403444959697268</v>
      </c>
      <c r="K81" s="54">
        <f t="shared" si="10"/>
        <v>879412.93860993825</v>
      </c>
    </row>
    <row r="82" spans="1:11" x14ac:dyDescent="0.3">
      <c r="A82" s="54"/>
      <c r="B82" s="41">
        <f t="shared" si="13"/>
        <v>71</v>
      </c>
      <c r="C82" s="52">
        <f t="shared" si="7"/>
        <v>879412.93860993825</v>
      </c>
      <c r="E82" s="54">
        <f t="shared" si="11"/>
        <v>-6443.0140148550854</v>
      </c>
      <c r="F82" s="54"/>
      <c r="G82" s="54">
        <f t="shared" si="12"/>
        <v>2045.9493218053967</v>
      </c>
      <c r="H82" s="54"/>
      <c r="I82" s="54">
        <f t="shared" si="8"/>
        <v>4397.0646930496887</v>
      </c>
      <c r="J82" s="56">
        <f t="shared" si="9"/>
        <v>0.68245462184495753</v>
      </c>
      <c r="K82" s="54">
        <f t="shared" si="10"/>
        <v>877366.98928813287</v>
      </c>
    </row>
    <row r="83" spans="1:11" x14ac:dyDescent="0.3">
      <c r="A83" s="54"/>
      <c r="B83" s="41">
        <f t="shared" si="13"/>
        <v>72</v>
      </c>
      <c r="C83" s="52">
        <f t="shared" si="7"/>
        <v>877366.98928813287</v>
      </c>
      <c r="E83" s="54">
        <f t="shared" si="11"/>
        <v>-6443.0140148550854</v>
      </c>
      <c r="F83" s="54"/>
      <c r="G83" s="54">
        <f t="shared" si="12"/>
        <v>2056.1790684144239</v>
      </c>
      <c r="H83" s="54"/>
      <c r="I83" s="54">
        <f t="shared" si="8"/>
        <v>4386.834946440662</v>
      </c>
      <c r="J83" s="56">
        <f t="shared" si="9"/>
        <v>0.68086689495418229</v>
      </c>
      <c r="K83" s="54">
        <f t="shared" si="10"/>
        <v>875310.81021971849</v>
      </c>
    </row>
    <row r="84" spans="1:11" x14ac:dyDescent="0.3">
      <c r="A84" s="54"/>
      <c r="B84" s="41">
        <f t="shared" si="13"/>
        <v>73</v>
      </c>
      <c r="C84" s="52">
        <f t="shared" si="7"/>
        <v>875310.81021971849</v>
      </c>
      <c r="E84" s="54">
        <f t="shared" si="11"/>
        <v>-6443.0140148550854</v>
      </c>
      <c r="F84" s="54"/>
      <c r="G84" s="54">
        <f t="shared" si="12"/>
        <v>2066.4599637564961</v>
      </c>
      <c r="H84" s="54"/>
      <c r="I84" s="54">
        <f t="shared" si="8"/>
        <v>4376.5540510985893</v>
      </c>
      <c r="J84" s="56">
        <f t="shared" si="9"/>
        <v>0.67927122942895313</v>
      </c>
      <c r="K84" s="54">
        <f t="shared" si="10"/>
        <v>873244.350255962</v>
      </c>
    </row>
    <row r="85" spans="1:11" x14ac:dyDescent="0.3">
      <c r="A85" s="54"/>
      <c r="B85" s="41">
        <f t="shared" si="13"/>
        <v>74</v>
      </c>
      <c r="C85" s="52">
        <f t="shared" si="7"/>
        <v>873244.350255962</v>
      </c>
      <c r="E85" s="54">
        <f t="shared" si="11"/>
        <v>-6443.0140148550854</v>
      </c>
      <c r="F85" s="54"/>
      <c r="G85" s="54">
        <f t="shared" si="12"/>
        <v>2076.7922635752784</v>
      </c>
      <c r="H85" s="54"/>
      <c r="I85" s="54">
        <f t="shared" si="8"/>
        <v>4366.221751279807</v>
      </c>
      <c r="J85" s="56">
        <f t="shared" si="9"/>
        <v>0.67766758557609796</v>
      </c>
      <c r="K85" s="54">
        <f t="shared" si="10"/>
        <v>871167.55799238675</v>
      </c>
    </row>
    <row r="86" spans="1:11" x14ac:dyDescent="0.3">
      <c r="A86" s="54"/>
      <c r="B86" s="41">
        <f t="shared" si="13"/>
        <v>75</v>
      </c>
      <c r="C86" s="52">
        <f t="shared" si="7"/>
        <v>871167.55799238675</v>
      </c>
      <c r="E86" s="54">
        <f t="shared" si="11"/>
        <v>-6443.0140148550854</v>
      </c>
      <c r="F86" s="54"/>
      <c r="G86" s="54">
        <f t="shared" si="12"/>
        <v>2087.176224893155</v>
      </c>
      <c r="H86" s="54"/>
      <c r="I86" s="54">
        <f t="shared" si="8"/>
        <v>4355.83778996193</v>
      </c>
      <c r="J86" s="56">
        <f t="shared" si="9"/>
        <v>0.67605592350397836</v>
      </c>
      <c r="K86" s="54">
        <f t="shared" si="10"/>
        <v>869080.38176749356</v>
      </c>
    </row>
    <row r="87" spans="1:11" x14ac:dyDescent="0.3">
      <c r="A87" s="54"/>
      <c r="B87" s="41">
        <f t="shared" si="13"/>
        <v>76</v>
      </c>
      <c r="C87" s="52">
        <f t="shared" si="7"/>
        <v>869080.38176749356</v>
      </c>
      <c r="E87" s="54">
        <f t="shared" si="11"/>
        <v>-6443.0140148550854</v>
      </c>
      <c r="F87" s="54"/>
      <c r="G87" s="54">
        <f t="shared" si="12"/>
        <v>2097.6121060176206</v>
      </c>
      <c r="H87" s="54"/>
      <c r="I87" s="54">
        <f t="shared" si="8"/>
        <v>4345.4019088374644</v>
      </c>
      <c r="J87" s="56">
        <f t="shared" si="9"/>
        <v>0.67443620312149821</v>
      </c>
      <c r="K87" s="54">
        <f t="shared" si="10"/>
        <v>866982.7696614759</v>
      </c>
    </row>
    <row r="88" spans="1:11" x14ac:dyDescent="0.3">
      <c r="A88" s="54"/>
      <c r="B88" s="41">
        <f t="shared" si="13"/>
        <v>77</v>
      </c>
      <c r="C88" s="52">
        <f t="shared" si="7"/>
        <v>866982.7696614759</v>
      </c>
      <c r="E88" s="54">
        <f t="shared" si="11"/>
        <v>-6443.0140148550854</v>
      </c>
      <c r="F88" s="54"/>
      <c r="G88" s="54">
        <f t="shared" si="12"/>
        <v>2108.1001665477093</v>
      </c>
      <c r="H88" s="54"/>
      <c r="I88" s="54">
        <f t="shared" si="8"/>
        <v>4334.9138483073766</v>
      </c>
      <c r="J88" s="56">
        <f t="shared" si="9"/>
        <v>0.67280838413710575</v>
      </c>
      <c r="K88" s="54">
        <f t="shared" si="10"/>
        <v>864874.66949492821</v>
      </c>
    </row>
    <row r="89" spans="1:11" x14ac:dyDescent="0.3">
      <c r="A89" s="54"/>
      <c r="B89" s="41">
        <f t="shared" si="13"/>
        <v>78</v>
      </c>
      <c r="C89" s="52">
        <f t="shared" si="7"/>
        <v>864874.66949492821</v>
      </c>
      <c r="E89" s="54">
        <f t="shared" si="11"/>
        <v>-6443.0140148550854</v>
      </c>
      <c r="F89" s="54"/>
      <c r="G89" s="54">
        <f t="shared" si="12"/>
        <v>2118.6406673804477</v>
      </c>
      <c r="H89" s="54"/>
      <c r="I89" s="54">
        <f t="shared" si="8"/>
        <v>4324.3733474746377</v>
      </c>
      <c r="J89" s="56">
        <f t="shared" si="9"/>
        <v>0.67117242605779126</v>
      </c>
      <c r="K89" s="54">
        <f t="shared" si="10"/>
        <v>862756.02882754779</v>
      </c>
    </row>
    <row r="90" spans="1:11" x14ac:dyDescent="0.3">
      <c r="A90" s="54"/>
      <c r="B90" s="41">
        <f t="shared" si="13"/>
        <v>79</v>
      </c>
      <c r="C90" s="52">
        <f t="shared" si="7"/>
        <v>862756.02882754779</v>
      </c>
      <c r="E90" s="54">
        <f t="shared" si="11"/>
        <v>-6443.0140148550854</v>
      </c>
      <c r="F90" s="54"/>
      <c r="G90" s="54">
        <f t="shared" si="12"/>
        <v>2129.2338707173499</v>
      </c>
      <c r="H90" s="54"/>
      <c r="I90" s="54">
        <f t="shared" si="8"/>
        <v>4313.780144137736</v>
      </c>
      <c r="J90" s="56">
        <f t="shared" si="9"/>
        <v>0.6695282881880803</v>
      </c>
      <c r="K90" s="54">
        <f t="shared" si="10"/>
        <v>860626.79495683045</v>
      </c>
    </row>
    <row r="91" spans="1:11" x14ac:dyDescent="0.3">
      <c r="A91" s="54"/>
      <c r="B91" s="41">
        <f t="shared" si="13"/>
        <v>80</v>
      </c>
      <c r="C91" s="52">
        <f t="shared" si="7"/>
        <v>860626.79495683045</v>
      </c>
      <c r="E91" s="54">
        <f t="shared" si="11"/>
        <v>-6443.0140148550854</v>
      </c>
      <c r="F91" s="54"/>
      <c r="G91" s="54">
        <f t="shared" si="12"/>
        <v>2139.8800400709365</v>
      </c>
      <c r="H91" s="54"/>
      <c r="I91" s="54">
        <f t="shared" si="8"/>
        <v>4303.1339747841484</v>
      </c>
      <c r="J91" s="56">
        <f t="shared" si="9"/>
        <v>0.66787592962902054</v>
      </c>
      <c r="K91" s="54">
        <f t="shared" si="10"/>
        <v>858486.91491675947</v>
      </c>
    </row>
    <row r="92" spans="1:11" x14ac:dyDescent="0.3">
      <c r="A92" s="54"/>
      <c r="B92" s="41">
        <f t="shared" si="13"/>
        <v>81</v>
      </c>
      <c r="C92" s="52">
        <f t="shared" si="7"/>
        <v>858486.91491675947</v>
      </c>
      <c r="E92" s="54">
        <f t="shared" si="11"/>
        <v>-6443.0140148550854</v>
      </c>
      <c r="F92" s="54"/>
      <c r="G92" s="54">
        <f t="shared" si="12"/>
        <v>2150.5794402712909</v>
      </c>
      <c r="H92" s="54"/>
      <c r="I92" s="54">
        <f t="shared" si="8"/>
        <v>4292.4345745837945</v>
      </c>
      <c r="J92" s="56">
        <f t="shared" si="9"/>
        <v>0.66621530927716577</v>
      </c>
      <c r="K92" s="54">
        <f t="shared" si="10"/>
        <v>856336.33547648822</v>
      </c>
    </row>
    <row r="93" spans="1:11" x14ac:dyDescent="0.3">
      <c r="A93" s="54"/>
      <c r="B93" s="41">
        <f t="shared" si="13"/>
        <v>82</v>
      </c>
      <c r="C93" s="52">
        <f t="shared" si="7"/>
        <v>856336.33547648822</v>
      </c>
      <c r="E93" s="54">
        <f t="shared" si="11"/>
        <v>-6443.0140148550854</v>
      </c>
      <c r="F93" s="54"/>
      <c r="G93" s="54">
        <f t="shared" si="12"/>
        <v>2161.3323374726474</v>
      </c>
      <c r="H93" s="54"/>
      <c r="I93" s="54">
        <f t="shared" si="8"/>
        <v>4281.6816773824376</v>
      </c>
      <c r="J93" s="56">
        <f t="shared" si="9"/>
        <v>0.66454638582355152</v>
      </c>
      <c r="K93" s="54">
        <f t="shared" si="10"/>
        <v>854175.00313901552</v>
      </c>
    </row>
    <row r="94" spans="1:11" x14ac:dyDescent="0.3">
      <c r="A94" s="54"/>
      <c r="B94" s="41">
        <f t="shared" si="13"/>
        <v>83</v>
      </c>
      <c r="C94" s="52">
        <f t="shared" si="7"/>
        <v>854175.00313901552</v>
      </c>
      <c r="E94" s="54">
        <f t="shared" si="11"/>
        <v>-6443.0140148550854</v>
      </c>
      <c r="F94" s="54"/>
      <c r="G94" s="54">
        <f t="shared" si="12"/>
        <v>2172.1389991600108</v>
      </c>
      <c r="H94" s="54"/>
      <c r="I94" s="54">
        <f t="shared" si="8"/>
        <v>4270.8750156950746</v>
      </c>
      <c r="J94" s="56">
        <f t="shared" si="9"/>
        <v>0.66286911775266932</v>
      </c>
      <c r="K94" s="54">
        <f t="shared" si="10"/>
        <v>852002.86413985549</v>
      </c>
    </row>
    <row r="95" spans="1:11" x14ac:dyDescent="0.3">
      <c r="A95" s="54"/>
      <c r="B95" s="41">
        <f t="shared" si="13"/>
        <v>84</v>
      </c>
      <c r="C95" s="52">
        <f t="shared" si="7"/>
        <v>852002.86413985549</v>
      </c>
      <c r="E95" s="54">
        <f t="shared" si="11"/>
        <v>-6443.0140148550854</v>
      </c>
      <c r="F95" s="54"/>
      <c r="G95" s="54">
        <f t="shared" si="12"/>
        <v>2182.9996941558111</v>
      </c>
      <c r="H95" s="54"/>
      <c r="I95" s="54">
        <f t="shared" si="8"/>
        <v>4260.0143206992743</v>
      </c>
      <c r="J95" s="56">
        <f t="shared" si="9"/>
        <v>0.66118346334143263</v>
      </c>
      <c r="K95" s="54">
        <f t="shared" si="10"/>
        <v>849819.86444569973</v>
      </c>
    </row>
    <row r="96" spans="1:11" x14ac:dyDescent="0.3">
      <c r="A96" s="54"/>
      <c r="B96" s="41">
        <f t="shared" si="13"/>
        <v>85</v>
      </c>
      <c r="C96" s="52">
        <f t="shared" si="7"/>
        <v>849819.86444569973</v>
      </c>
      <c r="E96" s="54">
        <f t="shared" si="11"/>
        <v>-6443.0140148550854</v>
      </c>
      <c r="F96" s="54"/>
      <c r="G96" s="54">
        <f t="shared" si="12"/>
        <v>2193.9146926265898</v>
      </c>
      <c r="H96" s="54"/>
      <c r="I96" s="54">
        <f t="shared" si="8"/>
        <v>4249.099322228496</v>
      </c>
      <c r="J96" s="56">
        <f t="shared" si="9"/>
        <v>0.65948938065814</v>
      </c>
      <c r="K96" s="54">
        <f t="shared" si="10"/>
        <v>847625.94975307316</v>
      </c>
    </row>
    <row r="97" spans="1:11" x14ac:dyDescent="0.3">
      <c r="A97" s="54"/>
      <c r="B97" s="41">
        <f t="shared" si="13"/>
        <v>86</v>
      </c>
      <c r="C97" s="52">
        <f t="shared" ref="C97:C160" si="14">IF(B97&gt;$G$5,0,K96)</f>
        <v>847625.94975307316</v>
      </c>
      <c r="E97" s="54">
        <f t="shared" si="11"/>
        <v>-6443.0140148550854</v>
      </c>
      <c r="F97" s="54"/>
      <c r="G97" s="54">
        <f t="shared" si="12"/>
        <v>2204.884266089723</v>
      </c>
      <c r="H97" s="54"/>
      <c r="I97" s="54">
        <f t="shared" ref="I97:I160" si="15">-E97-G97</f>
        <v>4238.1297487653628</v>
      </c>
      <c r="J97" s="56">
        <f t="shared" ref="J97:J160" si="16">IFERROR(-I97/E97,"NA")</f>
        <v>0.65778682756143059</v>
      </c>
      <c r="K97" s="54">
        <f t="shared" ref="K97:K160" si="17">C97-G97</f>
        <v>845421.0654869834</v>
      </c>
    </row>
    <row r="98" spans="1:11" x14ac:dyDescent="0.3">
      <c r="A98" s="54"/>
      <c r="B98" s="41">
        <f t="shared" si="13"/>
        <v>87</v>
      </c>
      <c r="C98" s="52">
        <f t="shared" si="14"/>
        <v>845421.0654869834</v>
      </c>
      <c r="E98" s="54">
        <f t="shared" si="11"/>
        <v>-6443.0140148550854</v>
      </c>
      <c r="F98" s="54"/>
      <c r="G98" s="54">
        <f t="shared" si="12"/>
        <v>2215.9086874201712</v>
      </c>
      <c r="H98" s="54"/>
      <c r="I98" s="54">
        <f t="shared" si="15"/>
        <v>4227.1053274349142</v>
      </c>
      <c r="J98" s="56">
        <f t="shared" si="16"/>
        <v>0.65607576169923776</v>
      </c>
      <c r="K98" s="54">
        <f t="shared" si="17"/>
        <v>843205.15679956321</v>
      </c>
    </row>
    <row r="99" spans="1:11" x14ac:dyDescent="0.3">
      <c r="A99" s="54"/>
      <c r="B99" s="41">
        <f t="shared" si="13"/>
        <v>88</v>
      </c>
      <c r="C99" s="52">
        <f t="shared" si="14"/>
        <v>843205.15679956321</v>
      </c>
      <c r="E99" s="54">
        <f t="shared" si="11"/>
        <v>-6443.0140148550854</v>
      </c>
      <c r="F99" s="54"/>
      <c r="G99" s="54">
        <f t="shared" si="12"/>
        <v>2226.9882308572728</v>
      </c>
      <c r="H99" s="54"/>
      <c r="I99" s="54">
        <f t="shared" si="15"/>
        <v>4216.0257839978131</v>
      </c>
      <c r="J99" s="56">
        <f t="shared" si="16"/>
        <v>0.65435614050773394</v>
      </c>
      <c r="K99" s="54">
        <f t="shared" si="17"/>
        <v>840978.16856870591</v>
      </c>
    </row>
    <row r="100" spans="1:11" x14ac:dyDescent="0.3">
      <c r="A100" s="54"/>
      <c r="B100" s="41">
        <f t="shared" si="13"/>
        <v>89</v>
      </c>
      <c r="C100" s="52">
        <f t="shared" si="14"/>
        <v>840978.16856870591</v>
      </c>
      <c r="E100" s="54">
        <f t="shared" si="11"/>
        <v>-6443.0140148550854</v>
      </c>
      <c r="F100" s="54"/>
      <c r="G100" s="54">
        <f t="shared" si="12"/>
        <v>2238.1231720115584</v>
      </c>
      <c r="H100" s="54"/>
      <c r="I100" s="54">
        <f t="shared" si="15"/>
        <v>4204.890842843527</v>
      </c>
      <c r="J100" s="56">
        <f t="shared" si="16"/>
        <v>0.65262792121027269</v>
      </c>
      <c r="K100" s="54">
        <f t="shared" si="17"/>
        <v>838740.04539669433</v>
      </c>
    </row>
    <row r="101" spans="1:11" x14ac:dyDescent="0.3">
      <c r="A101" s="54"/>
      <c r="B101" s="41">
        <f t="shared" si="13"/>
        <v>90</v>
      </c>
      <c r="C101" s="52">
        <f t="shared" si="14"/>
        <v>838740.04539669433</v>
      </c>
      <c r="E101" s="54">
        <f t="shared" si="11"/>
        <v>-6443.0140148550854</v>
      </c>
      <c r="F101" s="54"/>
      <c r="G101" s="54">
        <f t="shared" si="12"/>
        <v>2249.3137878716166</v>
      </c>
      <c r="H101" s="54"/>
      <c r="I101" s="54">
        <f t="shared" si="15"/>
        <v>4193.7002269834684</v>
      </c>
      <c r="J101" s="56">
        <f t="shared" si="16"/>
        <v>0.65089106081632386</v>
      </c>
      <c r="K101" s="54">
        <f t="shared" si="17"/>
        <v>836490.73160882271</v>
      </c>
    </row>
    <row r="102" spans="1:11" x14ac:dyDescent="0.3">
      <c r="A102" s="54"/>
      <c r="B102" s="41">
        <f t="shared" si="13"/>
        <v>91</v>
      </c>
      <c r="C102" s="52">
        <f t="shared" si="14"/>
        <v>836490.73160882271</v>
      </c>
      <c r="E102" s="54">
        <f t="shared" si="11"/>
        <v>-6443.0140148550854</v>
      </c>
      <c r="F102" s="54"/>
      <c r="G102" s="54">
        <f t="shared" si="12"/>
        <v>2260.5603568109741</v>
      </c>
      <c r="H102" s="54"/>
      <c r="I102" s="54">
        <f t="shared" si="15"/>
        <v>4182.4536580441109</v>
      </c>
      <c r="J102" s="56">
        <f t="shared" si="16"/>
        <v>0.64914551612040561</v>
      </c>
      <c r="K102" s="54">
        <f t="shared" si="17"/>
        <v>834230.17125201179</v>
      </c>
    </row>
    <row r="103" spans="1:11" x14ac:dyDescent="0.3">
      <c r="A103" s="54"/>
      <c r="B103" s="41">
        <f t="shared" si="13"/>
        <v>92</v>
      </c>
      <c r="C103" s="52">
        <f t="shared" si="14"/>
        <v>834230.17125201179</v>
      </c>
      <c r="E103" s="54">
        <f t="shared" si="11"/>
        <v>-6443.0140148550854</v>
      </c>
      <c r="F103" s="54"/>
      <c r="G103" s="54">
        <f t="shared" si="12"/>
        <v>2271.8631585950293</v>
      </c>
      <c r="H103" s="54"/>
      <c r="I103" s="54">
        <f t="shared" si="15"/>
        <v>4171.1508562600557</v>
      </c>
      <c r="J103" s="56">
        <f t="shared" si="16"/>
        <v>0.64739124370100753</v>
      </c>
      <c r="K103" s="54">
        <f t="shared" si="17"/>
        <v>831958.30809341674</v>
      </c>
    </row>
    <row r="104" spans="1:11" x14ac:dyDescent="0.3">
      <c r="A104" s="54"/>
      <c r="B104" s="41">
        <f t="shared" si="13"/>
        <v>93</v>
      </c>
      <c r="C104" s="52">
        <f t="shared" si="14"/>
        <v>831958.30809341674</v>
      </c>
      <c r="E104" s="54">
        <f t="shared" si="11"/>
        <v>-6443.0140148550854</v>
      </c>
      <c r="F104" s="54"/>
      <c r="G104" s="54">
        <f t="shared" si="12"/>
        <v>2283.2224743880047</v>
      </c>
      <c r="H104" s="54"/>
      <c r="I104" s="54">
        <f t="shared" si="15"/>
        <v>4159.7915404670803</v>
      </c>
      <c r="J104" s="56">
        <f t="shared" si="16"/>
        <v>0.64562819991951259</v>
      </c>
      <c r="K104" s="54">
        <f t="shared" si="17"/>
        <v>829675.08561902877</v>
      </c>
    </row>
    <row r="105" spans="1:11" x14ac:dyDescent="0.3">
      <c r="A105" s="54"/>
      <c r="B105" s="41">
        <f t="shared" si="13"/>
        <v>94</v>
      </c>
      <c r="C105" s="52">
        <f t="shared" si="14"/>
        <v>829675.08561902877</v>
      </c>
      <c r="E105" s="54">
        <f t="shared" si="11"/>
        <v>-6443.0140148550854</v>
      </c>
      <c r="F105" s="54"/>
      <c r="G105" s="54">
        <f t="shared" si="12"/>
        <v>2294.6385867599442</v>
      </c>
      <c r="H105" s="54"/>
      <c r="I105" s="54">
        <f t="shared" si="15"/>
        <v>4148.3754280951416</v>
      </c>
      <c r="J105" s="56">
        <f t="shared" si="16"/>
        <v>0.64385634091911037</v>
      </c>
      <c r="K105" s="54">
        <f t="shared" si="17"/>
        <v>827380.44703226886</v>
      </c>
    </row>
    <row r="106" spans="1:11" x14ac:dyDescent="0.3">
      <c r="A106" s="54"/>
      <c r="B106" s="41">
        <f t="shared" si="13"/>
        <v>95</v>
      </c>
      <c r="C106" s="52">
        <f t="shared" si="14"/>
        <v>827380.44703226886</v>
      </c>
      <c r="E106" s="54">
        <f t="shared" si="11"/>
        <v>-6443.0140148550854</v>
      </c>
      <c r="F106" s="54"/>
      <c r="G106" s="54">
        <f t="shared" si="12"/>
        <v>2306.1117796937442</v>
      </c>
      <c r="H106" s="54"/>
      <c r="I106" s="54">
        <f t="shared" si="15"/>
        <v>4136.9022351613412</v>
      </c>
      <c r="J106" s="56">
        <f t="shared" si="16"/>
        <v>0.64207562262370577</v>
      </c>
      <c r="K106" s="54">
        <f t="shared" si="17"/>
        <v>825074.33525257511</v>
      </c>
    </row>
    <row r="107" spans="1:11" x14ac:dyDescent="0.3">
      <c r="A107" s="54"/>
      <c r="B107" s="41">
        <f t="shared" si="13"/>
        <v>96</v>
      </c>
      <c r="C107" s="52">
        <f t="shared" si="14"/>
        <v>825074.33525257511</v>
      </c>
      <c r="E107" s="54">
        <f t="shared" si="11"/>
        <v>-6443.0140148550854</v>
      </c>
      <c r="F107" s="54"/>
      <c r="G107" s="54">
        <f t="shared" si="12"/>
        <v>2317.642338592213</v>
      </c>
      <c r="H107" s="54"/>
      <c r="I107" s="54">
        <f t="shared" si="15"/>
        <v>4125.3716762628719</v>
      </c>
      <c r="J107" s="56">
        <f t="shared" si="16"/>
        <v>0.64028600073682418</v>
      </c>
      <c r="K107" s="54">
        <f t="shared" si="17"/>
        <v>822756.6929139829</v>
      </c>
    </row>
    <row r="108" spans="1:11" x14ac:dyDescent="0.3">
      <c r="A108" s="54"/>
      <c r="B108" s="41">
        <f t="shared" si="13"/>
        <v>97</v>
      </c>
      <c r="C108" s="52">
        <f t="shared" si="14"/>
        <v>822756.6929139829</v>
      </c>
      <c r="E108" s="54">
        <f t="shared" si="11"/>
        <v>-6443.0140148550854</v>
      </c>
      <c r="F108" s="54"/>
      <c r="G108" s="54">
        <f t="shared" si="12"/>
        <v>2329.2305502851741</v>
      </c>
      <c r="H108" s="54"/>
      <c r="I108" s="54">
        <f t="shared" si="15"/>
        <v>4113.7834645699113</v>
      </c>
      <c r="J108" s="56">
        <f t="shared" si="16"/>
        <v>0.6384874307405084</v>
      </c>
      <c r="K108" s="54">
        <f t="shared" si="17"/>
        <v>820427.4623636977</v>
      </c>
    </row>
    <row r="109" spans="1:11" x14ac:dyDescent="0.3">
      <c r="A109" s="54"/>
      <c r="B109" s="41">
        <f t="shared" si="13"/>
        <v>98</v>
      </c>
      <c r="C109" s="52">
        <f t="shared" si="14"/>
        <v>820427.4623636977</v>
      </c>
      <c r="E109" s="54">
        <f t="shared" si="11"/>
        <v>-6443.0140148550854</v>
      </c>
      <c r="F109" s="54"/>
      <c r="G109" s="54">
        <f t="shared" si="12"/>
        <v>2340.8767030365993</v>
      </c>
      <c r="H109" s="54"/>
      <c r="I109" s="54">
        <f t="shared" si="15"/>
        <v>4102.1373118184856</v>
      </c>
      <c r="J109" s="56">
        <f t="shared" si="16"/>
        <v>0.63667986789421094</v>
      </c>
      <c r="K109" s="54">
        <f t="shared" si="17"/>
        <v>818086.58566066111</v>
      </c>
    </row>
    <row r="110" spans="1:11" x14ac:dyDescent="0.3">
      <c r="A110" s="54"/>
      <c r="B110" s="41">
        <f t="shared" si="13"/>
        <v>99</v>
      </c>
      <c r="C110" s="52">
        <f t="shared" si="14"/>
        <v>818086.58566066111</v>
      </c>
      <c r="E110" s="54">
        <f t="shared" si="11"/>
        <v>-6443.0140148550854</v>
      </c>
      <c r="F110" s="54"/>
      <c r="G110" s="54">
        <f t="shared" si="12"/>
        <v>2352.5810865517833</v>
      </c>
      <c r="H110" s="54"/>
      <c r="I110" s="54">
        <f t="shared" si="15"/>
        <v>4090.4329283033021</v>
      </c>
      <c r="J110" s="56">
        <f t="shared" si="16"/>
        <v>0.63486326723368192</v>
      </c>
      <c r="K110" s="54">
        <f t="shared" si="17"/>
        <v>815734.00457410933</v>
      </c>
    </row>
    <row r="111" spans="1:11" x14ac:dyDescent="0.3">
      <c r="A111" s="54"/>
      <c r="B111" s="41">
        <f t="shared" si="13"/>
        <v>100</v>
      </c>
      <c r="C111" s="52">
        <f t="shared" si="14"/>
        <v>815734.00457410933</v>
      </c>
      <c r="E111" s="54">
        <f t="shared" si="11"/>
        <v>-6443.0140148550854</v>
      </c>
      <c r="F111" s="54"/>
      <c r="G111" s="54">
        <f t="shared" si="12"/>
        <v>2364.3439919845418</v>
      </c>
      <c r="H111" s="54"/>
      <c r="I111" s="54">
        <f t="shared" si="15"/>
        <v>4078.6700228705436</v>
      </c>
      <c r="J111" s="56">
        <f t="shared" si="16"/>
        <v>0.6330375835698504</v>
      </c>
      <c r="K111" s="54">
        <f t="shared" si="17"/>
        <v>813369.66058212484</v>
      </c>
    </row>
    <row r="112" spans="1:11" x14ac:dyDescent="0.3">
      <c r="A112" s="54"/>
      <c r="B112" s="41">
        <f t="shared" si="13"/>
        <v>101</v>
      </c>
      <c r="C112" s="52">
        <f t="shared" si="14"/>
        <v>813369.66058212484</v>
      </c>
      <c r="E112" s="54">
        <f t="shared" si="11"/>
        <v>-6443.0140148550854</v>
      </c>
      <c r="F112" s="54"/>
      <c r="G112" s="54">
        <f t="shared" si="12"/>
        <v>2376.1657119444649</v>
      </c>
      <c r="H112" s="54"/>
      <c r="I112" s="54">
        <f t="shared" si="15"/>
        <v>4066.8483029106205</v>
      </c>
      <c r="J112" s="56">
        <f t="shared" si="16"/>
        <v>0.63120277148769965</v>
      </c>
      <c r="K112" s="54">
        <f t="shared" si="17"/>
        <v>810993.49487018038</v>
      </c>
    </row>
    <row r="113" spans="1:11" x14ac:dyDescent="0.3">
      <c r="A113" s="54"/>
      <c r="B113" s="41">
        <f t="shared" si="13"/>
        <v>102</v>
      </c>
      <c r="C113" s="52">
        <f t="shared" si="14"/>
        <v>810993.49487018038</v>
      </c>
      <c r="E113" s="54">
        <f t="shared" si="11"/>
        <v>-6443.0140148550854</v>
      </c>
      <c r="F113" s="54"/>
      <c r="G113" s="54">
        <f t="shared" si="12"/>
        <v>2388.0465405041869</v>
      </c>
      <c r="H113" s="54"/>
      <c r="I113" s="54">
        <f t="shared" si="15"/>
        <v>4054.9674743508986</v>
      </c>
      <c r="J113" s="56">
        <f t="shared" si="16"/>
        <v>0.62935878534513812</v>
      </c>
      <c r="K113" s="54">
        <f t="shared" si="17"/>
        <v>808605.44832967618</v>
      </c>
    </row>
    <row r="114" spans="1:11" x14ac:dyDescent="0.3">
      <c r="A114" s="54"/>
      <c r="B114" s="41">
        <f t="shared" si="13"/>
        <v>103</v>
      </c>
      <c r="C114" s="52">
        <f t="shared" si="14"/>
        <v>808605.44832967618</v>
      </c>
      <c r="E114" s="54">
        <f t="shared" si="11"/>
        <v>-6443.0140148550854</v>
      </c>
      <c r="F114" s="54"/>
      <c r="G114" s="54">
        <f t="shared" si="12"/>
        <v>2399.9867732067078</v>
      </c>
      <c r="H114" s="54"/>
      <c r="I114" s="54">
        <f t="shared" si="15"/>
        <v>4043.0272416483776</v>
      </c>
      <c r="J114" s="56">
        <f t="shared" si="16"/>
        <v>0.6275055792718639</v>
      </c>
      <c r="K114" s="54">
        <f t="shared" si="17"/>
        <v>806205.46155646944</v>
      </c>
    </row>
    <row r="115" spans="1:11" x14ac:dyDescent="0.3">
      <c r="A115" s="54"/>
      <c r="B115" s="41">
        <f t="shared" si="13"/>
        <v>104</v>
      </c>
      <c r="C115" s="52">
        <f t="shared" si="14"/>
        <v>806205.46155646944</v>
      </c>
      <c r="E115" s="54">
        <f t="shared" si="11"/>
        <v>-6443.0140148550854</v>
      </c>
      <c r="F115" s="54"/>
      <c r="G115" s="54">
        <f t="shared" si="12"/>
        <v>2411.986707072741</v>
      </c>
      <c r="H115" s="54"/>
      <c r="I115" s="54">
        <f t="shared" si="15"/>
        <v>4031.0273077823445</v>
      </c>
      <c r="J115" s="56">
        <f t="shared" si="16"/>
        <v>0.62564310716822324</v>
      </c>
      <c r="K115" s="54">
        <f t="shared" si="17"/>
        <v>803793.47484939673</v>
      </c>
    </row>
    <row r="116" spans="1:11" x14ac:dyDescent="0.3">
      <c r="A116" s="54"/>
      <c r="B116" s="41">
        <f t="shared" si="13"/>
        <v>105</v>
      </c>
      <c r="C116" s="52">
        <f t="shared" si="14"/>
        <v>803793.47484939673</v>
      </c>
      <c r="E116" s="54">
        <f t="shared" si="11"/>
        <v>-6443.0140148550854</v>
      </c>
      <c r="F116" s="54"/>
      <c r="G116" s="54">
        <f t="shared" si="12"/>
        <v>2424.0466406081055</v>
      </c>
      <c r="H116" s="54"/>
      <c r="I116" s="54">
        <f t="shared" si="15"/>
        <v>4018.9673742469799</v>
      </c>
      <c r="J116" s="56">
        <f t="shared" si="16"/>
        <v>0.62377132270406421</v>
      </c>
      <c r="K116" s="54">
        <f t="shared" si="17"/>
        <v>801369.42820878862</v>
      </c>
    </row>
    <row r="117" spans="1:11" x14ac:dyDescent="0.3">
      <c r="A117" s="54"/>
      <c r="B117" s="41">
        <f t="shared" si="13"/>
        <v>106</v>
      </c>
      <c r="C117" s="52">
        <f t="shared" si="14"/>
        <v>801369.42820878862</v>
      </c>
      <c r="E117" s="54">
        <f t="shared" si="11"/>
        <v>-6443.0140148550854</v>
      </c>
      <c r="F117" s="54"/>
      <c r="G117" s="54">
        <f t="shared" si="12"/>
        <v>2436.1668738111457</v>
      </c>
      <c r="H117" s="54"/>
      <c r="I117" s="54">
        <f t="shared" si="15"/>
        <v>4006.8471410439397</v>
      </c>
      <c r="J117" s="56">
        <f t="shared" si="16"/>
        <v>0.62189017931758461</v>
      </c>
      <c r="K117" s="54">
        <f t="shared" si="17"/>
        <v>798933.26133497746</v>
      </c>
    </row>
    <row r="118" spans="1:11" x14ac:dyDescent="0.3">
      <c r="A118" s="54"/>
      <c r="B118" s="41">
        <f t="shared" si="13"/>
        <v>107</v>
      </c>
      <c r="C118" s="52">
        <f t="shared" si="14"/>
        <v>798933.26133497746</v>
      </c>
      <c r="E118" s="54">
        <f t="shared" si="11"/>
        <v>-6443.0140148550854</v>
      </c>
      <c r="F118" s="54"/>
      <c r="G118" s="54">
        <f t="shared" si="12"/>
        <v>2448.3477081802012</v>
      </c>
      <c r="H118" s="54"/>
      <c r="I118" s="54">
        <f t="shared" si="15"/>
        <v>3994.6663066748843</v>
      </c>
      <c r="J118" s="56">
        <f t="shared" si="16"/>
        <v>0.61999963021417259</v>
      </c>
      <c r="K118" s="54">
        <f t="shared" si="17"/>
        <v>796484.91362679726</v>
      </c>
    </row>
    <row r="119" spans="1:11" x14ac:dyDescent="0.3">
      <c r="A119" s="54"/>
      <c r="B119" s="41">
        <f t="shared" si="13"/>
        <v>108</v>
      </c>
      <c r="C119" s="52">
        <f t="shared" si="14"/>
        <v>796484.91362679726</v>
      </c>
      <c r="E119" s="54">
        <f t="shared" si="11"/>
        <v>-6443.0140148550854</v>
      </c>
      <c r="F119" s="54"/>
      <c r="G119" s="54">
        <f t="shared" si="12"/>
        <v>2460.5894467211024</v>
      </c>
      <c r="H119" s="54"/>
      <c r="I119" s="54">
        <f t="shared" si="15"/>
        <v>3982.424568133983</v>
      </c>
      <c r="J119" s="56">
        <f t="shared" si="16"/>
        <v>0.61809962836524335</v>
      </c>
      <c r="K119" s="54">
        <f t="shared" si="17"/>
        <v>794024.32418007613</v>
      </c>
    </row>
    <row r="120" spans="1:11" x14ac:dyDescent="0.3">
      <c r="A120" s="54"/>
      <c r="B120" s="41">
        <f t="shared" si="13"/>
        <v>109</v>
      </c>
      <c r="C120" s="52">
        <f t="shared" si="14"/>
        <v>794024.32418007613</v>
      </c>
      <c r="E120" s="54">
        <f t="shared" si="11"/>
        <v>-6443.0140148550854</v>
      </c>
      <c r="F120" s="54"/>
      <c r="G120" s="54">
        <f t="shared" si="12"/>
        <v>2472.892393954708</v>
      </c>
      <c r="H120" s="54"/>
      <c r="I120" s="54">
        <f t="shared" si="15"/>
        <v>3970.1216209003774</v>
      </c>
      <c r="J120" s="56">
        <f t="shared" si="16"/>
        <v>0.61619012650706961</v>
      </c>
      <c r="K120" s="54">
        <f t="shared" si="17"/>
        <v>791551.43178612145</v>
      </c>
    </row>
    <row r="121" spans="1:11" x14ac:dyDescent="0.3">
      <c r="A121" s="54"/>
      <c r="B121" s="41">
        <f t="shared" si="13"/>
        <v>110</v>
      </c>
      <c r="C121" s="52">
        <f t="shared" si="14"/>
        <v>791551.43178612145</v>
      </c>
      <c r="E121" s="54">
        <f t="shared" si="11"/>
        <v>-6443.0140148550854</v>
      </c>
      <c r="F121" s="54"/>
      <c r="G121" s="54">
        <f t="shared" si="12"/>
        <v>2485.256855924481</v>
      </c>
      <c r="H121" s="54"/>
      <c r="I121" s="54">
        <f t="shared" si="15"/>
        <v>3957.7571589306044</v>
      </c>
      <c r="J121" s="56">
        <f t="shared" si="16"/>
        <v>0.61427107713960505</v>
      </c>
      <c r="K121" s="54">
        <f t="shared" si="17"/>
        <v>789066.17493019695</v>
      </c>
    </row>
    <row r="122" spans="1:11" x14ac:dyDescent="0.3">
      <c r="A122" s="54"/>
      <c r="B122" s="41">
        <f t="shared" si="13"/>
        <v>111</v>
      </c>
      <c r="C122" s="52">
        <f t="shared" si="14"/>
        <v>789066.17493019695</v>
      </c>
      <c r="E122" s="54">
        <f t="shared" si="11"/>
        <v>-6443.0140148550854</v>
      </c>
      <c r="F122" s="54"/>
      <c r="G122" s="54">
        <f t="shared" si="12"/>
        <v>2497.6831402041034</v>
      </c>
      <c r="H122" s="54"/>
      <c r="I122" s="54">
        <f t="shared" si="15"/>
        <v>3945.330874650982</v>
      </c>
      <c r="J122" s="56">
        <f t="shared" si="16"/>
        <v>0.61234243252530307</v>
      </c>
      <c r="K122" s="54">
        <f t="shared" si="17"/>
        <v>786568.4917899929</v>
      </c>
    </row>
    <row r="123" spans="1:11" x14ac:dyDescent="0.3">
      <c r="A123" s="54"/>
      <c r="B123" s="41">
        <f t="shared" si="13"/>
        <v>112</v>
      </c>
      <c r="C123" s="52">
        <f t="shared" si="14"/>
        <v>786568.4917899929</v>
      </c>
      <c r="E123" s="54">
        <f t="shared" si="11"/>
        <v>-6443.0140148550854</v>
      </c>
      <c r="F123" s="54"/>
      <c r="G123" s="54">
        <f t="shared" si="12"/>
        <v>2510.171555905124</v>
      </c>
      <c r="H123" s="54"/>
      <c r="I123" s="54">
        <f t="shared" si="15"/>
        <v>3932.8424589499614</v>
      </c>
      <c r="J123" s="56">
        <f t="shared" si="16"/>
        <v>0.61040414468792958</v>
      </c>
      <c r="K123" s="54">
        <f t="shared" si="17"/>
        <v>784058.32023408776</v>
      </c>
    </row>
    <row r="124" spans="1:11" x14ac:dyDescent="0.3">
      <c r="A124" s="54"/>
      <c r="B124" s="41">
        <f t="shared" si="13"/>
        <v>113</v>
      </c>
      <c r="C124" s="52">
        <f t="shared" si="14"/>
        <v>784058.32023408776</v>
      </c>
      <c r="E124" s="54">
        <f t="shared" si="11"/>
        <v>-6443.0140148550854</v>
      </c>
      <c r="F124" s="54"/>
      <c r="G124" s="54">
        <f t="shared" si="12"/>
        <v>2522.7224136846498</v>
      </c>
      <c r="H124" s="54"/>
      <c r="I124" s="54">
        <f t="shared" si="15"/>
        <v>3920.2916011704356</v>
      </c>
      <c r="J124" s="56">
        <f t="shared" si="16"/>
        <v>0.60845616541136915</v>
      </c>
      <c r="K124" s="54">
        <f t="shared" si="17"/>
        <v>781535.59782040305</v>
      </c>
    </row>
    <row r="125" spans="1:11" x14ac:dyDescent="0.3">
      <c r="A125" s="54"/>
      <c r="B125" s="41">
        <f t="shared" si="13"/>
        <v>114</v>
      </c>
      <c r="C125" s="52">
        <f t="shared" si="14"/>
        <v>781535.59782040305</v>
      </c>
      <c r="E125" s="54">
        <f t="shared" si="11"/>
        <v>-6443.0140148550854</v>
      </c>
      <c r="F125" s="54"/>
      <c r="G125" s="54">
        <f t="shared" si="12"/>
        <v>2535.3360257530735</v>
      </c>
      <c r="H125" s="54"/>
      <c r="I125" s="54">
        <f t="shared" si="15"/>
        <v>3907.6779891020119</v>
      </c>
      <c r="J125" s="56">
        <f t="shared" si="16"/>
        <v>0.60649844623842597</v>
      </c>
      <c r="K125" s="54">
        <f t="shared" si="17"/>
        <v>779000.26179465</v>
      </c>
    </row>
    <row r="126" spans="1:11" x14ac:dyDescent="0.3">
      <c r="A126" s="54"/>
      <c r="B126" s="41">
        <f t="shared" si="13"/>
        <v>115</v>
      </c>
      <c r="C126" s="52">
        <f t="shared" si="14"/>
        <v>779000.26179465</v>
      </c>
      <c r="E126" s="54">
        <f t="shared" si="11"/>
        <v>-6443.0140148550854</v>
      </c>
      <c r="F126" s="54"/>
      <c r="G126" s="54">
        <f t="shared" si="12"/>
        <v>2548.0127058818384</v>
      </c>
      <c r="H126" s="54"/>
      <c r="I126" s="54">
        <f t="shared" si="15"/>
        <v>3895.001308973247</v>
      </c>
      <c r="J126" s="56">
        <f t="shared" si="16"/>
        <v>0.60453093846961814</v>
      </c>
      <c r="K126" s="54">
        <f t="shared" si="17"/>
        <v>776452.24908876815</v>
      </c>
    </row>
    <row r="127" spans="1:11" x14ac:dyDescent="0.3">
      <c r="A127" s="54"/>
      <c r="B127" s="41">
        <f t="shared" si="13"/>
        <v>116</v>
      </c>
      <c r="C127" s="52">
        <f t="shared" si="14"/>
        <v>776452.24908876815</v>
      </c>
      <c r="E127" s="54">
        <f t="shared" si="11"/>
        <v>-6443.0140148550854</v>
      </c>
      <c r="F127" s="54"/>
      <c r="G127" s="54">
        <f t="shared" si="12"/>
        <v>2560.7527694112478</v>
      </c>
      <c r="H127" s="54"/>
      <c r="I127" s="54">
        <f t="shared" si="15"/>
        <v>3882.2612454438377</v>
      </c>
      <c r="J127" s="56">
        <f t="shared" si="16"/>
        <v>0.60255359316196622</v>
      </c>
      <c r="K127" s="54">
        <f t="shared" si="17"/>
        <v>773891.49631935696</v>
      </c>
    </row>
    <row r="128" spans="1:11" x14ac:dyDescent="0.3">
      <c r="A128" s="54"/>
      <c r="B128" s="41">
        <f t="shared" si="13"/>
        <v>117</v>
      </c>
      <c r="C128" s="52">
        <f t="shared" si="14"/>
        <v>773891.49631935696</v>
      </c>
      <c r="E128" s="54">
        <f t="shared" si="11"/>
        <v>-6443.0140148550854</v>
      </c>
      <c r="F128" s="54"/>
      <c r="G128" s="54">
        <f t="shared" si="12"/>
        <v>2573.5565332583042</v>
      </c>
      <c r="H128" s="54"/>
      <c r="I128" s="54">
        <f t="shared" si="15"/>
        <v>3869.4574815967812</v>
      </c>
      <c r="J128" s="56">
        <f t="shared" si="16"/>
        <v>0.60056636112777606</v>
      </c>
      <c r="K128" s="54">
        <f t="shared" si="17"/>
        <v>771317.93978609866</v>
      </c>
    </row>
    <row r="129" spans="1:11" x14ac:dyDescent="0.3">
      <c r="A129" s="54"/>
      <c r="B129" s="41">
        <f t="shared" si="13"/>
        <v>118</v>
      </c>
      <c r="C129" s="52">
        <f t="shared" si="14"/>
        <v>771317.93978609866</v>
      </c>
      <c r="E129" s="54">
        <f t="shared" si="11"/>
        <v>-6443.0140148550854</v>
      </c>
      <c r="F129" s="54"/>
      <c r="G129" s="54">
        <f t="shared" si="12"/>
        <v>2586.4243159245957</v>
      </c>
      <c r="H129" s="54"/>
      <c r="I129" s="54">
        <f t="shared" si="15"/>
        <v>3856.5896989304897</v>
      </c>
      <c r="J129" s="56">
        <f t="shared" si="16"/>
        <v>0.59856919293341493</v>
      </c>
      <c r="K129" s="54">
        <f t="shared" si="17"/>
        <v>768731.51547017402</v>
      </c>
    </row>
    <row r="130" spans="1:11" x14ac:dyDescent="0.3">
      <c r="A130" s="54"/>
      <c r="B130" s="41">
        <f t="shared" si="13"/>
        <v>119</v>
      </c>
      <c r="C130" s="52">
        <f t="shared" si="14"/>
        <v>768731.51547017402</v>
      </c>
      <c r="E130" s="54">
        <f t="shared" si="11"/>
        <v>-6443.0140148550854</v>
      </c>
      <c r="F130" s="54"/>
      <c r="G130" s="54">
        <f t="shared" si="12"/>
        <v>2599.3564375042188</v>
      </c>
      <c r="H130" s="54"/>
      <c r="I130" s="54">
        <f t="shared" si="15"/>
        <v>3843.6575773508666</v>
      </c>
      <c r="J130" s="56">
        <f t="shared" si="16"/>
        <v>0.5965620388980819</v>
      </c>
      <c r="K130" s="54">
        <f t="shared" si="17"/>
        <v>766132.15903266985</v>
      </c>
    </row>
    <row r="131" spans="1:11" x14ac:dyDescent="0.3">
      <c r="A131" s="54"/>
      <c r="B131" s="41">
        <f t="shared" si="13"/>
        <v>120</v>
      </c>
      <c r="C131" s="52">
        <f t="shared" si="14"/>
        <v>766132.15903266985</v>
      </c>
      <c r="E131" s="54">
        <f t="shared" si="11"/>
        <v>-6443.0140148550854</v>
      </c>
      <c r="F131" s="54"/>
      <c r="G131" s="54">
        <f t="shared" si="12"/>
        <v>2612.3532196917399</v>
      </c>
      <c r="H131" s="54"/>
      <c r="I131" s="54">
        <f t="shared" si="15"/>
        <v>3830.6607951633455</v>
      </c>
      <c r="J131" s="56">
        <f t="shared" si="16"/>
        <v>0.59454484909257233</v>
      </c>
      <c r="K131" s="54">
        <f t="shared" si="17"/>
        <v>763519.80581297807</v>
      </c>
    </row>
    <row r="132" spans="1:11" x14ac:dyDescent="0.3">
      <c r="A132" s="54"/>
      <c r="B132" s="41">
        <f t="shared" si="13"/>
        <v>121</v>
      </c>
      <c r="C132" s="52">
        <f t="shared" si="14"/>
        <v>763519.80581297807</v>
      </c>
      <c r="E132" s="54">
        <f t="shared" si="11"/>
        <v>-6443.0140148550854</v>
      </c>
      <c r="F132" s="54"/>
      <c r="G132" s="54">
        <f t="shared" si="12"/>
        <v>2625.414985790198</v>
      </c>
      <c r="H132" s="54"/>
      <c r="I132" s="54">
        <f t="shared" si="15"/>
        <v>3817.5990290648874</v>
      </c>
      <c r="J132" s="56">
        <f t="shared" si="16"/>
        <v>0.59251757333803534</v>
      </c>
      <c r="K132" s="54">
        <f t="shared" si="17"/>
        <v>760894.39082718792</v>
      </c>
    </row>
    <row r="133" spans="1:11" x14ac:dyDescent="0.3">
      <c r="A133" s="54"/>
      <c r="B133" s="41">
        <f t="shared" si="13"/>
        <v>122</v>
      </c>
      <c r="C133" s="52">
        <f t="shared" si="14"/>
        <v>760894.39082718792</v>
      </c>
      <c r="E133" s="54">
        <f t="shared" si="11"/>
        <v>-6443.0140148550854</v>
      </c>
      <c r="F133" s="54"/>
      <c r="G133" s="54">
        <f t="shared" si="12"/>
        <v>2638.5420607191495</v>
      </c>
      <c r="H133" s="54"/>
      <c r="I133" s="54">
        <f t="shared" si="15"/>
        <v>3804.4719541359359</v>
      </c>
      <c r="J133" s="56">
        <f t="shared" si="16"/>
        <v>0.59048016120472546</v>
      </c>
      <c r="K133" s="54">
        <f t="shared" si="17"/>
        <v>758255.84876646881</v>
      </c>
    </row>
    <row r="134" spans="1:11" x14ac:dyDescent="0.3">
      <c r="A134" s="54"/>
      <c r="B134" s="41">
        <f t="shared" si="13"/>
        <v>123</v>
      </c>
      <c r="C134" s="52">
        <f t="shared" si="14"/>
        <v>758255.84876646881</v>
      </c>
      <c r="E134" s="54">
        <f t="shared" si="11"/>
        <v>-6443.0140148550854</v>
      </c>
      <c r="F134" s="54"/>
      <c r="G134" s="54">
        <f t="shared" si="12"/>
        <v>2651.734771022745</v>
      </c>
      <c r="H134" s="54"/>
      <c r="I134" s="54">
        <f t="shared" si="15"/>
        <v>3791.2792438323404</v>
      </c>
      <c r="J134" s="56">
        <f t="shared" si="16"/>
        <v>0.58843256201074912</v>
      </c>
      <c r="K134" s="54">
        <f t="shared" si="17"/>
        <v>755604.11399544613</v>
      </c>
    </row>
    <row r="135" spans="1:11" x14ac:dyDescent="0.3">
      <c r="A135" s="54"/>
      <c r="B135" s="41">
        <f t="shared" si="13"/>
        <v>124</v>
      </c>
      <c r="C135" s="52">
        <f t="shared" si="14"/>
        <v>755604.11399544613</v>
      </c>
      <c r="E135" s="54">
        <f t="shared" si="11"/>
        <v>-6443.0140148550854</v>
      </c>
      <c r="F135" s="54"/>
      <c r="G135" s="54">
        <f t="shared" si="12"/>
        <v>2664.993444877859</v>
      </c>
      <c r="H135" s="54"/>
      <c r="I135" s="54">
        <f t="shared" si="15"/>
        <v>3778.0205699772264</v>
      </c>
      <c r="J135" s="56">
        <f t="shared" si="16"/>
        <v>0.58637472482080277</v>
      </c>
      <c r="K135" s="54">
        <f t="shared" si="17"/>
        <v>752939.12055056822</v>
      </c>
    </row>
    <row r="136" spans="1:11" x14ac:dyDescent="0.3">
      <c r="A136" s="54"/>
      <c r="B136" s="41">
        <f t="shared" si="13"/>
        <v>125</v>
      </c>
      <c r="C136" s="52">
        <f t="shared" si="14"/>
        <v>752939.12055056822</v>
      </c>
      <c r="E136" s="54">
        <f t="shared" si="11"/>
        <v>-6443.0140148550854</v>
      </c>
      <c r="F136" s="54"/>
      <c r="G136" s="54">
        <f t="shared" si="12"/>
        <v>2678.3184121022477</v>
      </c>
      <c r="H136" s="54"/>
      <c r="I136" s="54">
        <f t="shared" si="15"/>
        <v>3764.6956027528377</v>
      </c>
      <c r="J136" s="56">
        <f t="shared" si="16"/>
        <v>0.58430659844490684</v>
      </c>
      <c r="K136" s="54">
        <f t="shared" si="17"/>
        <v>750260.80213846592</v>
      </c>
    </row>
    <row r="137" spans="1:11" x14ac:dyDescent="0.3">
      <c r="A137" s="54"/>
      <c r="B137" s="41">
        <f t="shared" si="13"/>
        <v>126</v>
      </c>
      <c r="C137" s="52">
        <f t="shared" si="14"/>
        <v>750260.80213846592</v>
      </c>
      <c r="E137" s="54">
        <f t="shared" si="11"/>
        <v>-6443.0140148550854</v>
      </c>
      <c r="F137" s="54"/>
      <c r="G137" s="54">
        <f t="shared" si="12"/>
        <v>2691.7100041627596</v>
      </c>
      <c r="H137" s="54"/>
      <c r="I137" s="54">
        <f t="shared" si="15"/>
        <v>3751.3040106923258</v>
      </c>
      <c r="J137" s="56">
        <f t="shared" si="16"/>
        <v>0.58222813143713137</v>
      </c>
      <c r="K137" s="54">
        <f t="shared" si="17"/>
        <v>747569.09213430318</v>
      </c>
    </row>
    <row r="138" spans="1:11" x14ac:dyDescent="0.3">
      <c r="A138" s="54"/>
      <c r="B138" s="41">
        <f t="shared" si="13"/>
        <v>127</v>
      </c>
      <c r="C138" s="52">
        <f t="shared" si="14"/>
        <v>747569.09213430318</v>
      </c>
      <c r="E138" s="54">
        <f t="shared" si="11"/>
        <v>-6443.0140148550854</v>
      </c>
      <c r="F138" s="54"/>
      <c r="G138" s="54">
        <f t="shared" si="12"/>
        <v>2705.1685541835732</v>
      </c>
      <c r="H138" s="54"/>
      <c r="I138" s="54">
        <f t="shared" si="15"/>
        <v>3737.8454606715122</v>
      </c>
      <c r="J138" s="56">
        <f t="shared" si="16"/>
        <v>0.58013927209431704</v>
      </c>
      <c r="K138" s="54">
        <f t="shared" si="17"/>
        <v>744863.92358011962</v>
      </c>
    </row>
    <row r="139" spans="1:11" x14ac:dyDescent="0.3">
      <c r="A139" s="54"/>
      <c r="B139" s="41">
        <f t="shared" si="13"/>
        <v>128</v>
      </c>
      <c r="C139" s="52">
        <f t="shared" si="14"/>
        <v>744863.92358011962</v>
      </c>
      <c r="E139" s="54">
        <f t="shared" si="11"/>
        <v>-6443.0140148550854</v>
      </c>
      <c r="F139" s="54"/>
      <c r="G139" s="54">
        <f t="shared" si="12"/>
        <v>2718.6943969544909</v>
      </c>
      <c r="H139" s="54"/>
      <c r="I139" s="54">
        <f t="shared" si="15"/>
        <v>3724.3196179005945</v>
      </c>
      <c r="J139" s="56">
        <f t="shared" si="16"/>
        <v>0.57803996845478867</v>
      </c>
      <c r="K139" s="54">
        <f t="shared" si="17"/>
        <v>742145.22918316512</v>
      </c>
    </row>
    <row r="140" spans="1:11" x14ac:dyDescent="0.3">
      <c r="A140" s="54"/>
      <c r="B140" s="41">
        <f t="shared" si="13"/>
        <v>129</v>
      </c>
      <c r="C140" s="52">
        <f t="shared" si="14"/>
        <v>742145.22918316512</v>
      </c>
      <c r="E140" s="54">
        <f t="shared" si="11"/>
        <v>-6443.0140148550854</v>
      </c>
      <c r="F140" s="54"/>
      <c r="G140" s="54">
        <f t="shared" si="12"/>
        <v>2732.2878689392637</v>
      </c>
      <c r="H140" s="54"/>
      <c r="I140" s="54">
        <f t="shared" si="15"/>
        <v>3710.7261459158217</v>
      </c>
      <c r="J140" s="56">
        <f t="shared" si="16"/>
        <v>0.57593016829706245</v>
      </c>
      <c r="K140" s="54">
        <f t="shared" si="17"/>
        <v>739412.9413142259</v>
      </c>
    </row>
    <row r="141" spans="1:11" x14ac:dyDescent="0.3">
      <c r="A141" s="54"/>
      <c r="B141" s="41">
        <f t="shared" si="13"/>
        <v>130</v>
      </c>
      <c r="C141" s="52">
        <f t="shared" si="14"/>
        <v>739412.9413142259</v>
      </c>
      <c r="E141" s="54">
        <f t="shared" ref="E141:E204" si="18">PMT($E$7,$G$5,$E$4)</f>
        <v>-6443.0140148550854</v>
      </c>
      <c r="F141" s="54"/>
      <c r="G141" s="54">
        <f t="shared" ref="G141:G204" si="19">IFERROR(-PPMT($E$7,B141,$G$5,$E$4),0)</f>
        <v>2745.9493082839599</v>
      </c>
      <c r="H141" s="54"/>
      <c r="I141" s="54">
        <f t="shared" si="15"/>
        <v>3697.0647065711255</v>
      </c>
      <c r="J141" s="56">
        <f t="shared" si="16"/>
        <v>0.57380981913854778</v>
      </c>
      <c r="K141" s="54">
        <f t="shared" si="17"/>
        <v>736666.99200594192</v>
      </c>
    </row>
    <row r="142" spans="1:11" x14ac:dyDescent="0.3">
      <c r="A142" s="54"/>
      <c r="B142" s="41">
        <f t="shared" ref="B142:B205" si="20">B141+1</f>
        <v>131</v>
      </c>
      <c r="C142" s="52">
        <f t="shared" si="14"/>
        <v>736666.99200594192</v>
      </c>
      <c r="E142" s="54">
        <f t="shared" si="18"/>
        <v>-6443.0140148550854</v>
      </c>
      <c r="F142" s="54"/>
      <c r="G142" s="54">
        <f t="shared" si="19"/>
        <v>2759.6790548253798</v>
      </c>
      <c r="H142" s="54"/>
      <c r="I142" s="54">
        <f t="shared" si="15"/>
        <v>3683.3349600297056</v>
      </c>
      <c r="J142" s="56">
        <f t="shared" si="16"/>
        <v>0.57167886823424052</v>
      </c>
      <c r="K142" s="54">
        <f t="shared" si="17"/>
        <v>733907.31295111659</v>
      </c>
    </row>
    <row r="143" spans="1:11" x14ac:dyDescent="0.3">
      <c r="A143" s="54"/>
      <c r="B143" s="41">
        <f t="shared" si="20"/>
        <v>132</v>
      </c>
      <c r="C143" s="52">
        <f t="shared" si="14"/>
        <v>733907.31295111659</v>
      </c>
      <c r="E143" s="54">
        <f t="shared" si="18"/>
        <v>-6443.0140148550854</v>
      </c>
      <c r="F143" s="54"/>
      <c r="G143" s="54">
        <f t="shared" si="19"/>
        <v>2773.4774500995068</v>
      </c>
      <c r="H143" s="54"/>
      <c r="I143" s="54">
        <f t="shared" si="15"/>
        <v>3669.5365647555786</v>
      </c>
      <c r="J143" s="56">
        <f t="shared" si="16"/>
        <v>0.56953726257541171</v>
      </c>
      <c r="K143" s="54">
        <f t="shared" si="17"/>
        <v>731133.83550101705</v>
      </c>
    </row>
    <row r="144" spans="1:11" x14ac:dyDescent="0.3">
      <c r="A144" s="54"/>
      <c r="B144" s="41">
        <f t="shared" si="20"/>
        <v>133</v>
      </c>
      <c r="C144" s="52">
        <f t="shared" si="14"/>
        <v>731133.83550101705</v>
      </c>
      <c r="E144" s="54">
        <f t="shared" si="18"/>
        <v>-6443.0140148550854</v>
      </c>
      <c r="F144" s="54"/>
      <c r="G144" s="54">
        <f t="shared" si="19"/>
        <v>2787.3448373500037</v>
      </c>
      <c r="H144" s="54"/>
      <c r="I144" s="54">
        <f t="shared" si="15"/>
        <v>3655.6691775050817</v>
      </c>
      <c r="J144" s="56">
        <f t="shared" si="16"/>
        <v>0.56738494888828894</v>
      </c>
      <c r="K144" s="54">
        <f t="shared" si="17"/>
        <v>728346.49066366709</v>
      </c>
    </row>
    <row r="145" spans="1:11" x14ac:dyDescent="0.3">
      <c r="A145" s="54"/>
      <c r="B145" s="41">
        <f t="shared" si="20"/>
        <v>134</v>
      </c>
      <c r="C145" s="52">
        <f t="shared" si="14"/>
        <v>728346.49066366709</v>
      </c>
      <c r="E145" s="54">
        <f t="shared" si="18"/>
        <v>-6443.0140148550854</v>
      </c>
      <c r="F145" s="54"/>
      <c r="G145" s="54">
        <f t="shared" si="19"/>
        <v>2801.281561536754</v>
      </c>
      <c r="H145" s="54"/>
      <c r="I145" s="54">
        <f t="shared" si="15"/>
        <v>3641.7324533183314</v>
      </c>
      <c r="J145" s="56">
        <f t="shared" si="16"/>
        <v>0.56522187363273035</v>
      </c>
      <c r="K145" s="54">
        <f t="shared" si="17"/>
        <v>725545.20910213038</v>
      </c>
    </row>
    <row r="146" spans="1:11" x14ac:dyDescent="0.3">
      <c r="A146" s="54"/>
      <c r="B146" s="41">
        <f t="shared" si="20"/>
        <v>135</v>
      </c>
      <c r="C146" s="52">
        <f t="shared" si="14"/>
        <v>725545.20910213038</v>
      </c>
      <c r="E146" s="54">
        <f t="shared" si="18"/>
        <v>-6443.0140148550854</v>
      </c>
      <c r="F146" s="54"/>
      <c r="G146" s="54">
        <f t="shared" si="19"/>
        <v>2815.2879693444374</v>
      </c>
      <c r="H146" s="54"/>
      <c r="I146" s="54">
        <f t="shared" si="15"/>
        <v>3627.726045510648</v>
      </c>
      <c r="J146" s="56">
        <f t="shared" si="16"/>
        <v>0.56304798300089398</v>
      </c>
      <c r="K146" s="54">
        <f t="shared" si="17"/>
        <v>722729.92113278597</v>
      </c>
    </row>
    <row r="147" spans="1:11" x14ac:dyDescent="0.3">
      <c r="A147" s="54"/>
      <c r="B147" s="41">
        <f t="shared" si="20"/>
        <v>136</v>
      </c>
      <c r="C147" s="52">
        <f t="shared" si="14"/>
        <v>722729.92113278597</v>
      </c>
      <c r="E147" s="54">
        <f t="shared" si="18"/>
        <v>-6443.0140148550854</v>
      </c>
      <c r="F147" s="54"/>
      <c r="G147" s="54">
        <f t="shared" si="19"/>
        <v>2829.3644091911601</v>
      </c>
      <c r="H147" s="54"/>
      <c r="I147" s="54">
        <f t="shared" si="15"/>
        <v>3613.6496056639253</v>
      </c>
      <c r="J147" s="56">
        <f t="shared" si="16"/>
        <v>0.56086322291589841</v>
      </c>
      <c r="K147" s="54">
        <f t="shared" si="17"/>
        <v>719900.55672359478</v>
      </c>
    </row>
    <row r="148" spans="1:11" x14ac:dyDescent="0.3">
      <c r="A148" s="54"/>
      <c r="B148" s="41">
        <f t="shared" si="20"/>
        <v>137</v>
      </c>
      <c r="C148" s="52">
        <f t="shared" si="14"/>
        <v>719900.55672359478</v>
      </c>
      <c r="E148" s="54">
        <f t="shared" si="18"/>
        <v>-6443.0140148550854</v>
      </c>
      <c r="F148" s="54"/>
      <c r="G148" s="54">
        <f t="shared" si="19"/>
        <v>2843.5112312371161</v>
      </c>
      <c r="H148" s="54"/>
      <c r="I148" s="54">
        <f t="shared" si="15"/>
        <v>3599.5027836179693</v>
      </c>
      <c r="J148" s="56">
        <f t="shared" si="16"/>
        <v>0.55866753903047783</v>
      </c>
      <c r="K148" s="54">
        <f t="shared" si="17"/>
        <v>717057.04549235769</v>
      </c>
    </row>
    <row r="149" spans="1:11" x14ac:dyDescent="0.3">
      <c r="A149" s="54"/>
      <c r="B149" s="41">
        <f t="shared" si="20"/>
        <v>138</v>
      </c>
      <c r="C149" s="52">
        <f t="shared" si="14"/>
        <v>717057.04549235769</v>
      </c>
      <c r="E149" s="54">
        <f t="shared" si="18"/>
        <v>-6443.0140148550854</v>
      </c>
      <c r="F149" s="54"/>
      <c r="G149" s="54">
        <f t="shared" si="19"/>
        <v>2857.728787393301</v>
      </c>
      <c r="H149" s="54"/>
      <c r="I149" s="54">
        <f t="shared" si="15"/>
        <v>3585.2852274617844</v>
      </c>
      <c r="J149" s="56">
        <f t="shared" si="16"/>
        <v>0.55646087672563038</v>
      </c>
      <c r="K149" s="54">
        <f t="shared" si="17"/>
        <v>714199.31670496438</v>
      </c>
    </row>
    <row r="150" spans="1:11" x14ac:dyDescent="0.3">
      <c r="A150" s="54"/>
      <c r="B150" s="41">
        <f t="shared" si="20"/>
        <v>139</v>
      </c>
      <c r="C150" s="52">
        <f t="shared" si="14"/>
        <v>714199.31670496438</v>
      </c>
      <c r="E150" s="54">
        <f t="shared" si="18"/>
        <v>-6443.0140148550854</v>
      </c>
      <c r="F150" s="54"/>
      <c r="G150" s="54">
        <f t="shared" si="19"/>
        <v>2872.0174313302678</v>
      </c>
      <c r="H150" s="54"/>
      <c r="I150" s="54">
        <f t="shared" si="15"/>
        <v>3570.9965835248177</v>
      </c>
      <c r="J150" s="56">
        <f t="shared" si="16"/>
        <v>0.55424318110925852</v>
      </c>
      <c r="K150" s="54">
        <f t="shared" si="17"/>
        <v>711327.2992736341</v>
      </c>
    </row>
    <row r="151" spans="1:11" x14ac:dyDescent="0.3">
      <c r="A151" s="54"/>
      <c r="B151" s="41">
        <f t="shared" si="20"/>
        <v>140</v>
      </c>
      <c r="C151" s="52">
        <f t="shared" si="14"/>
        <v>711327.2992736341</v>
      </c>
      <c r="E151" s="54">
        <f t="shared" si="18"/>
        <v>-6443.0140148550854</v>
      </c>
      <c r="F151" s="54"/>
      <c r="G151" s="54">
        <f t="shared" si="19"/>
        <v>2886.3775184869191</v>
      </c>
      <c r="H151" s="54"/>
      <c r="I151" s="54">
        <f t="shared" si="15"/>
        <v>3556.6364963681663</v>
      </c>
      <c r="J151" s="56">
        <f t="shared" si="16"/>
        <v>0.5520143970148047</v>
      </c>
      <c r="K151" s="54">
        <f t="shared" si="17"/>
        <v>708440.92175514717</v>
      </c>
    </row>
    <row r="152" spans="1:11" x14ac:dyDescent="0.3">
      <c r="A152" s="54"/>
      <c r="B152" s="41">
        <f t="shared" si="20"/>
        <v>141</v>
      </c>
      <c r="C152" s="52">
        <f t="shared" si="14"/>
        <v>708440.92175514717</v>
      </c>
      <c r="E152" s="54">
        <f t="shared" si="18"/>
        <v>-6443.0140148550854</v>
      </c>
      <c r="F152" s="54"/>
      <c r="G152" s="54">
        <f t="shared" si="19"/>
        <v>2900.8094060793537</v>
      </c>
      <c r="H152" s="54"/>
      <c r="I152" s="54">
        <f t="shared" si="15"/>
        <v>3542.2046087757317</v>
      </c>
      <c r="J152" s="56">
        <f t="shared" si="16"/>
        <v>0.54977446899987881</v>
      </c>
      <c r="K152" s="54">
        <f t="shared" si="17"/>
        <v>705540.11234906781</v>
      </c>
    </row>
    <row r="153" spans="1:11" x14ac:dyDescent="0.3">
      <c r="A153" s="54"/>
      <c r="B153" s="41">
        <f t="shared" si="20"/>
        <v>142</v>
      </c>
      <c r="C153" s="52">
        <f t="shared" si="14"/>
        <v>705540.11234906781</v>
      </c>
      <c r="E153" s="54">
        <f t="shared" si="18"/>
        <v>-6443.0140148550854</v>
      </c>
      <c r="F153" s="54"/>
      <c r="G153" s="54">
        <f t="shared" si="19"/>
        <v>2915.3134531097512</v>
      </c>
      <c r="H153" s="54"/>
      <c r="I153" s="54">
        <f t="shared" si="15"/>
        <v>3527.7005617453342</v>
      </c>
      <c r="J153" s="56">
        <f t="shared" si="16"/>
        <v>0.54752334134487801</v>
      </c>
      <c r="K153" s="54">
        <f t="shared" si="17"/>
        <v>702624.79889595811</v>
      </c>
    </row>
    <row r="154" spans="1:11" x14ac:dyDescent="0.3">
      <c r="A154" s="54"/>
      <c r="B154" s="41">
        <f t="shared" si="20"/>
        <v>143</v>
      </c>
      <c r="C154" s="52">
        <f t="shared" si="14"/>
        <v>702624.79889595811</v>
      </c>
      <c r="E154" s="54">
        <f t="shared" si="18"/>
        <v>-6443.0140148550854</v>
      </c>
      <c r="F154" s="54"/>
      <c r="G154" s="54">
        <f t="shared" si="19"/>
        <v>2929.8900203752996</v>
      </c>
      <c r="H154" s="54"/>
      <c r="I154" s="54">
        <f t="shared" si="15"/>
        <v>3513.1239944797858</v>
      </c>
      <c r="J154" s="56">
        <f t="shared" si="16"/>
        <v>0.54526095805160246</v>
      </c>
      <c r="K154" s="54">
        <f t="shared" si="17"/>
        <v>699694.90887558286</v>
      </c>
    </row>
    <row r="155" spans="1:11" x14ac:dyDescent="0.3">
      <c r="A155" s="54"/>
      <c r="B155" s="41">
        <f t="shared" si="20"/>
        <v>144</v>
      </c>
      <c r="C155" s="52">
        <f t="shared" si="14"/>
        <v>699694.90887558286</v>
      </c>
      <c r="E155" s="54">
        <f t="shared" si="18"/>
        <v>-6443.0140148550854</v>
      </c>
      <c r="F155" s="54"/>
      <c r="G155" s="54">
        <f t="shared" si="19"/>
        <v>2944.5394704771757</v>
      </c>
      <c r="H155" s="54"/>
      <c r="I155" s="54">
        <f t="shared" si="15"/>
        <v>3498.4745443779098</v>
      </c>
      <c r="J155" s="56">
        <f t="shared" si="16"/>
        <v>0.54298726284186061</v>
      </c>
      <c r="K155" s="54">
        <f t="shared" si="17"/>
        <v>696750.36940510571</v>
      </c>
    </row>
    <row r="156" spans="1:11" x14ac:dyDescent="0.3">
      <c r="A156" s="54"/>
      <c r="B156" s="41">
        <f t="shared" si="20"/>
        <v>145</v>
      </c>
      <c r="C156" s="52">
        <f t="shared" si="14"/>
        <v>696750.36940510571</v>
      </c>
      <c r="E156" s="54">
        <f t="shared" si="18"/>
        <v>-6443.0140148550854</v>
      </c>
      <c r="F156" s="54"/>
      <c r="G156" s="54">
        <f t="shared" si="19"/>
        <v>2959.2621678295613</v>
      </c>
      <c r="H156" s="54"/>
      <c r="I156" s="54">
        <f t="shared" si="15"/>
        <v>3483.7518470255241</v>
      </c>
      <c r="J156" s="56">
        <f t="shared" si="16"/>
        <v>0.54070219915606987</v>
      </c>
      <c r="K156" s="54">
        <f t="shared" si="17"/>
        <v>693791.10723727616</v>
      </c>
    </row>
    <row r="157" spans="1:11" x14ac:dyDescent="0.3">
      <c r="A157" s="54"/>
      <c r="B157" s="41">
        <f t="shared" si="20"/>
        <v>146</v>
      </c>
      <c r="C157" s="52">
        <f t="shared" si="14"/>
        <v>693791.10723727616</v>
      </c>
      <c r="E157" s="54">
        <f t="shared" si="18"/>
        <v>-6443.0140148550854</v>
      </c>
      <c r="F157" s="54"/>
      <c r="G157" s="54">
        <f t="shared" si="19"/>
        <v>2974.0584786687095</v>
      </c>
      <c r="H157" s="54"/>
      <c r="I157" s="54">
        <f t="shared" si="15"/>
        <v>3468.9555361863759</v>
      </c>
      <c r="J157" s="56">
        <f t="shared" si="16"/>
        <v>0.53840571015185024</v>
      </c>
      <c r="K157" s="54">
        <f t="shared" si="17"/>
        <v>690817.04875860747</v>
      </c>
    </row>
    <row r="158" spans="1:11" x14ac:dyDescent="0.3">
      <c r="A158" s="54"/>
      <c r="B158" s="41">
        <f t="shared" si="20"/>
        <v>147</v>
      </c>
      <c r="C158" s="52">
        <f t="shared" si="14"/>
        <v>690817.04875860747</v>
      </c>
      <c r="E158" s="54">
        <f t="shared" si="18"/>
        <v>-6443.0140148550854</v>
      </c>
      <c r="F158" s="54"/>
      <c r="G158" s="54">
        <f t="shared" si="19"/>
        <v>2988.9287710620533</v>
      </c>
      <c r="H158" s="54"/>
      <c r="I158" s="54">
        <f t="shared" si="15"/>
        <v>3454.0852437930321</v>
      </c>
      <c r="J158" s="56">
        <f t="shared" si="16"/>
        <v>0.53609773870260946</v>
      </c>
      <c r="K158" s="54">
        <f t="shared" si="17"/>
        <v>687828.11998754542</v>
      </c>
    </row>
    <row r="159" spans="1:11" x14ac:dyDescent="0.3">
      <c r="A159" s="54"/>
      <c r="B159" s="41">
        <f t="shared" si="20"/>
        <v>148</v>
      </c>
      <c r="C159" s="52">
        <f t="shared" si="14"/>
        <v>687828.11998754542</v>
      </c>
      <c r="E159" s="54">
        <f t="shared" si="18"/>
        <v>-6443.0140148550854</v>
      </c>
      <c r="F159" s="54"/>
      <c r="G159" s="54">
        <f t="shared" si="19"/>
        <v>3003.8734149173638</v>
      </c>
      <c r="H159" s="54"/>
      <c r="I159" s="54">
        <f t="shared" si="15"/>
        <v>3439.1405999377216</v>
      </c>
      <c r="J159" s="56">
        <f t="shared" si="16"/>
        <v>0.53377822739612246</v>
      </c>
      <c r="K159" s="54">
        <f t="shared" si="17"/>
        <v>684824.24657262804</v>
      </c>
    </row>
    <row r="160" spans="1:11" x14ac:dyDescent="0.3">
      <c r="A160" s="54"/>
      <c r="B160" s="41">
        <f t="shared" si="20"/>
        <v>149</v>
      </c>
      <c r="C160" s="52">
        <f t="shared" si="14"/>
        <v>684824.24657262804</v>
      </c>
      <c r="E160" s="54">
        <f t="shared" si="18"/>
        <v>-6443.0140148550854</v>
      </c>
      <c r="F160" s="54"/>
      <c r="G160" s="54">
        <f t="shared" si="19"/>
        <v>3018.8927819919504</v>
      </c>
      <c r="H160" s="54"/>
      <c r="I160" s="54">
        <f t="shared" si="15"/>
        <v>3424.121232863135</v>
      </c>
      <c r="J160" s="56">
        <f t="shared" si="16"/>
        <v>0.53144711853310311</v>
      </c>
      <c r="K160" s="54">
        <f t="shared" si="17"/>
        <v>681805.35379063606</v>
      </c>
    </row>
    <row r="161" spans="1:11" x14ac:dyDescent="0.3">
      <c r="A161" s="54"/>
      <c r="B161" s="41">
        <f t="shared" si="20"/>
        <v>150</v>
      </c>
      <c r="C161" s="52">
        <f t="shared" ref="C161:C224" si="21">IF(B161&gt;$G$5,0,K160)</f>
        <v>681805.35379063606</v>
      </c>
      <c r="E161" s="54">
        <f t="shared" si="18"/>
        <v>-6443.0140148550854</v>
      </c>
      <c r="F161" s="54"/>
      <c r="G161" s="54">
        <f t="shared" si="19"/>
        <v>3033.9872459019102</v>
      </c>
      <c r="H161" s="54"/>
      <c r="I161" s="54">
        <f t="shared" ref="I161:I224" si="22">-E161-G161</f>
        <v>3409.0267689531752</v>
      </c>
      <c r="J161" s="56">
        <f t="shared" ref="J161:J224" si="23">IFERROR(-I161/E161,"NA")</f>
        <v>0.52910435412576862</v>
      </c>
      <c r="K161" s="54">
        <f t="shared" ref="K161:K224" si="24">C161-G161</f>
        <v>678771.3665447341</v>
      </c>
    </row>
    <row r="162" spans="1:11" x14ac:dyDescent="0.3">
      <c r="A162" s="54"/>
      <c r="B162" s="41">
        <f t="shared" si="20"/>
        <v>151</v>
      </c>
      <c r="C162" s="52">
        <f t="shared" si="21"/>
        <v>678771.3665447341</v>
      </c>
      <c r="E162" s="54">
        <f t="shared" si="18"/>
        <v>-6443.0140148550854</v>
      </c>
      <c r="F162" s="54"/>
      <c r="G162" s="54">
        <f t="shared" si="19"/>
        <v>3049.1571821314196</v>
      </c>
      <c r="H162" s="54"/>
      <c r="I162" s="54">
        <f t="shared" si="22"/>
        <v>3393.8568327236658</v>
      </c>
      <c r="J162" s="56">
        <f t="shared" si="23"/>
        <v>0.52674987589639743</v>
      </c>
      <c r="K162" s="54">
        <f t="shared" si="24"/>
        <v>675722.20936260268</v>
      </c>
    </row>
    <row r="163" spans="1:11" x14ac:dyDescent="0.3">
      <c r="A163" s="54"/>
      <c r="B163" s="41">
        <f t="shared" si="20"/>
        <v>152</v>
      </c>
      <c r="C163" s="52">
        <f t="shared" si="21"/>
        <v>675722.20936260268</v>
      </c>
      <c r="E163" s="54">
        <f t="shared" si="18"/>
        <v>-6443.0140148550854</v>
      </c>
      <c r="F163" s="54"/>
      <c r="G163" s="54">
        <f t="shared" si="19"/>
        <v>3064.4029680420767</v>
      </c>
      <c r="H163" s="54"/>
      <c r="I163" s="54">
        <f t="shared" si="22"/>
        <v>3378.6110468130087</v>
      </c>
      <c r="J163" s="56">
        <f t="shared" si="23"/>
        <v>0.52438362527587945</v>
      </c>
      <c r="K163" s="54">
        <f t="shared" si="24"/>
        <v>672657.80639456061</v>
      </c>
    </row>
    <row r="164" spans="1:11" x14ac:dyDescent="0.3">
      <c r="A164" s="54"/>
      <c r="B164" s="41">
        <f t="shared" si="20"/>
        <v>153</v>
      </c>
      <c r="C164" s="52">
        <f t="shared" si="21"/>
        <v>672657.80639456061</v>
      </c>
      <c r="E164" s="54">
        <f t="shared" si="18"/>
        <v>-6443.0140148550854</v>
      </c>
      <c r="F164" s="54"/>
      <c r="G164" s="54">
        <f t="shared" si="19"/>
        <v>3079.7249828822869</v>
      </c>
      <c r="H164" s="54"/>
      <c r="I164" s="54">
        <f t="shared" si="22"/>
        <v>3363.2890319727985</v>
      </c>
      <c r="J164" s="56">
        <f t="shared" si="23"/>
        <v>0.52200554340225891</v>
      </c>
      <c r="K164" s="54">
        <f t="shared" si="24"/>
        <v>669578.08141167834</v>
      </c>
    </row>
    <row r="165" spans="1:11" x14ac:dyDescent="0.3">
      <c r="A165" s="54"/>
      <c r="B165" s="41">
        <f t="shared" si="20"/>
        <v>154</v>
      </c>
      <c r="C165" s="52">
        <f t="shared" si="21"/>
        <v>669578.08141167834</v>
      </c>
      <c r="E165" s="54">
        <f t="shared" si="18"/>
        <v>-6443.0140148550854</v>
      </c>
      <c r="F165" s="54"/>
      <c r="G165" s="54">
        <f t="shared" si="19"/>
        <v>3095.1236077966983</v>
      </c>
      <c r="H165" s="54"/>
      <c r="I165" s="54">
        <f t="shared" si="22"/>
        <v>3347.8904070583872</v>
      </c>
      <c r="J165" s="56">
        <f t="shared" si="23"/>
        <v>0.51961557111927015</v>
      </c>
      <c r="K165" s="54">
        <f t="shared" si="24"/>
        <v>666482.95780388161</v>
      </c>
    </row>
    <row r="166" spans="1:11" x14ac:dyDescent="0.3">
      <c r="A166" s="54"/>
      <c r="B166" s="41">
        <f t="shared" si="20"/>
        <v>155</v>
      </c>
      <c r="C166" s="52">
        <f t="shared" si="21"/>
        <v>666482.95780388161</v>
      </c>
      <c r="E166" s="54">
        <f t="shared" si="18"/>
        <v>-6443.0140148550854</v>
      </c>
      <c r="F166" s="54"/>
      <c r="G166" s="54">
        <f t="shared" si="19"/>
        <v>3110.5992258356819</v>
      </c>
      <c r="H166" s="54"/>
      <c r="I166" s="54">
        <f t="shared" si="22"/>
        <v>3332.4147890194035</v>
      </c>
      <c r="J166" s="56">
        <f t="shared" si="23"/>
        <v>0.51721364897486655</v>
      </c>
      <c r="K166" s="54">
        <f t="shared" si="24"/>
        <v>663372.35857804597</v>
      </c>
    </row>
    <row r="167" spans="1:11" x14ac:dyDescent="0.3">
      <c r="A167" s="54"/>
      <c r="B167" s="41">
        <f t="shared" si="20"/>
        <v>156</v>
      </c>
      <c r="C167" s="52">
        <f t="shared" si="21"/>
        <v>663372.35857804597</v>
      </c>
      <c r="E167" s="54">
        <f t="shared" si="18"/>
        <v>-6443.0140148550854</v>
      </c>
      <c r="F167" s="54"/>
      <c r="G167" s="54">
        <f t="shared" si="19"/>
        <v>3126.1522219648605</v>
      </c>
      <c r="H167" s="54"/>
      <c r="I167" s="54">
        <f t="shared" si="22"/>
        <v>3316.8617928902249</v>
      </c>
      <c r="J167" s="56">
        <f t="shared" si="23"/>
        <v>0.51479971721974083</v>
      </c>
      <c r="K167" s="54">
        <f t="shared" si="24"/>
        <v>660246.20635608106</v>
      </c>
    </row>
    <row r="168" spans="1:11" x14ac:dyDescent="0.3">
      <c r="A168" s="54"/>
      <c r="B168" s="41">
        <f t="shared" si="20"/>
        <v>157</v>
      </c>
      <c r="C168" s="52">
        <f t="shared" si="21"/>
        <v>660246.20635608106</v>
      </c>
      <c r="E168" s="54">
        <f t="shared" si="18"/>
        <v>-6443.0140148550854</v>
      </c>
      <c r="F168" s="54"/>
      <c r="G168" s="54">
        <f t="shared" si="19"/>
        <v>3141.782983074685</v>
      </c>
      <c r="H168" s="54"/>
      <c r="I168" s="54">
        <f t="shared" si="22"/>
        <v>3301.2310317804004</v>
      </c>
      <c r="J168" s="56">
        <f t="shared" si="23"/>
        <v>0.51237371580583946</v>
      </c>
      <c r="K168" s="54">
        <f t="shared" si="24"/>
        <v>657104.4233730064</v>
      </c>
    </row>
    <row r="169" spans="1:11" x14ac:dyDescent="0.3">
      <c r="A169" s="54"/>
      <c r="B169" s="41">
        <f t="shared" si="20"/>
        <v>158</v>
      </c>
      <c r="C169" s="52">
        <f t="shared" si="21"/>
        <v>657104.4233730064</v>
      </c>
      <c r="E169" s="54">
        <f t="shared" si="18"/>
        <v>-6443.0140148550854</v>
      </c>
      <c r="F169" s="54"/>
      <c r="G169" s="54">
        <f t="shared" si="19"/>
        <v>3157.4918979900581</v>
      </c>
      <c r="H169" s="54"/>
      <c r="I169" s="54">
        <f t="shared" si="22"/>
        <v>3285.5221168650273</v>
      </c>
      <c r="J169" s="56">
        <f t="shared" si="23"/>
        <v>0.50993558438486875</v>
      </c>
      <c r="K169" s="54">
        <f t="shared" si="24"/>
        <v>653946.93147501629</v>
      </c>
    </row>
    <row r="170" spans="1:11" x14ac:dyDescent="0.3">
      <c r="A170" s="54"/>
      <c r="B170" s="41">
        <f t="shared" si="20"/>
        <v>159</v>
      </c>
      <c r="C170" s="52">
        <f t="shared" si="21"/>
        <v>653946.93147501629</v>
      </c>
      <c r="E170" s="54">
        <f t="shared" si="18"/>
        <v>-6443.0140148550854</v>
      </c>
      <c r="F170" s="54"/>
      <c r="G170" s="54">
        <f t="shared" si="19"/>
        <v>3173.2793574800089</v>
      </c>
      <c r="H170" s="54"/>
      <c r="I170" s="54">
        <f t="shared" si="22"/>
        <v>3269.7346573750765</v>
      </c>
      <c r="J170" s="56">
        <f t="shared" si="23"/>
        <v>0.50748526230679303</v>
      </c>
      <c r="K170" s="54">
        <f t="shared" si="24"/>
        <v>650773.65211753629</v>
      </c>
    </row>
    <row r="171" spans="1:11" x14ac:dyDescent="0.3">
      <c r="A171" s="54"/>
      <c r="B171" s="41">
        <f t="shared" si="20"/>
        <v>160</v>
      </c>
      <c r="C171" s="52">
        <f t="shared" si="21"/>
        <v>650773.65211753629</v>
      </c>
      <c r="E171" s="54">
        <f t="shared" si="18"/>
        <v>-6443.0140148550854</v>
      </c>
      <c r="F171" s="54"/>
      <c r="G171" s="54">
        <f t="shared" si="19"/>
        <v>3189.1457542674088</v>
      </c>
      <c r="H171" s="54"/>
      <c r="I171" s="54">
        <f t="shared" si="22"/>
        <v>3253.8682605876766</v>
      </c>
      <c r="J171" s="56">
        <f t="shared" si="23"/>
        <v>0.505022688618327</v>
      </c>
      <c r="K171" s="54">
        <f t="shared" si="24"/>
        <v>647584.50636326883</v>
      </c>
    </row>
    <row r="172" spans="1:11" x14ac:dyDescent="0.3">
      <c r="A172" s="54"/>
      <c r="B172" s="41">
        <f t="shared" si="20"/>
        <v>161</v>
      </c>
      <c r="C172" s="52">
        <f t="shared" si="21"/>
        <v>647584.50636326883</v>
      </c>
      <c r="E172" s="54">
        <f t="shared" si="18"/>
        <v>-6443.0140148550854</v>
      </c>
      <c r="F172" s="54"/>
      <c r="G172" s="54">
        <f t="shared" si="19"/>
        <v>3205.0914830387455</v>
      </c>
      <c r="H172" s="54"/>
      <c r="I172" s="54">
        <f t="shared" si="22"/>
        <v>3237.9225318163399</v>
      </c>
      <c r="J172" s="56">
        <f t="shared" si="23"/>
        <v>0.50254780206141869</v>
      </c>
      <c r="K172" s="54">
        <f t="shared" si="24"/>
        <v>644379.41488023009</v>
      </c>
    </row>
    <row r="173" spans="1:11" x14ac:dyDescent="0.3">
      <c r="A173" s="54"/>
      <c r="B173" s="41">
        <f t="shared" si="20"/>
        <v>162</v>
      </c>
      <c r="C173" s="52">
        <f t="shared" si="21"/>
        <v>644379.41488023009</v>
      </c>
      <c r="E173" s="54">
        <f t="shared" si="18"/>
        <v>-6443.0140148550854</v>
      </c>
      <c r="F173" s="54"/>
      <c r="G173" s="54">
        <f t="shared" si="19"/>
        <v>3221.1169404539392</v>
      </c>
      <c r="H173" s="54"/>
      <c r="I173" s="54">
        <f t="shared" si="22"/>
        <v>3221.8970744011463</v>
      </c>
      <c r="J173" s="56">
        <f t="shared" si="23"/>
        <v>0.50006054107172582</v>
      </c>
      <c r="K173" s="54">
        <f t="shared" si="24"/>
        <v>641158.29793977621</v>
      </c>
    </row>
    <row r="174" spans="1:11" x14ac:dyDescent="0.3">
      <c r="A174" s="54"/>
      <c r="B174" s="41">
        <f t="shared" si="20"/>
        <v>163</v>
      </c>
      <c r="C174" s="52">
        <f t="shared" si="21"/>
        <v>641158.29793977621</v>
      </c>
      <c r="E174" s="54">
        <f t="shared" si="18"/>
        <v>-6443.0140148550854</v>
      </c>
      <c r="F174" s="54"/>
      <c r="G174" s="54">
        <f t="shared" si="19"/>
        <v>3237.222525156209</v>
      </c>
      <c r="H174" s="54"/>
      <c r="I174" s="54">
        <f t="shared" si="22"/>
        <v>3205.7914896988764</v>
      </c>
      <c r="J174" s="56">
        <f t="shared" si="23"/>
        <v>0.49756084377708437</v>
      </c>
      <c r="K174" s="54">
        <f t="shared" si="24"/>
        <v>637921.07541461999</v>
      </c>
    </row>
    <row r="175" spans="1:11" x14ac:dyDescent="0.3">
      <c r="A175" s="54"/>
      <c r="B175" s="41">
        <f t="shared" si="20"/>
        <v>164</v>
      </c>
      <c r="C175" s="52">
        <f t="shared" si="21"/>
        <v>637921.07541461999</v>
      </c>
      <c r="E175" s="54">
        <f t="shared" si="18"/>
        <v>-6443.0140148550854</v>
      </c>
      <c r="F175" s="54"/>
      <c r="G175" s="54">
        <f t="shared" si="19"/>
        <v>3253.4086377819904</v>
      </c>
      <c r="H175" s="54"/>
      <c r="I175" s="54">
        <f t="shared" si="22"/>
        <v>3189.605377073095</v>
      </c>
      <c r="J175" s="56">
        <f t="shared" si="23"/>
        <v>0.49504864799596976</v>
      </c>
      <c r="K175" s="54">
        <f t="shared" si="24"/>
        <v>634667.66677683801</v>
      </c>
    </row>
    <row r="176" spans="1:11" x14ac:dyDescent="0.3">
      <c r="A176" s="54"/>
      <c r="B176" s="41">
        <f t="shared" si="20"/>
        <v>165</v>
      </c>
      <c r="C176" s="52">
        <f t="shared" si="21"/>
        <v>634667.66677683801</v>
      </c>
      <c r="E176" s="54">
        <f t="shared" si="18"/>
        <v>-6443.0140148550854</v>
      </c>
      <c r="F176" s="54"/>
      <c r="G176" s="54">
        <f t="shared" si="19"/>
        <v>3269.6756809709</v>
      </c>
      <c r="H176" s="54"/>
      <c r="I176" s="54">
        <f t="shared" si="22"/>
        <v>3173.3383338841854</v>
      </c>
      <c r="J176" s="56">
        <f t="shared" si="23"/>
        <v>0.49252389123594964</v>
      </c>
      <c r="K176" s="54">
        <f t="shared" si="24"/>
        <v>631397.99109586712</v>
      </c>
    </row>
    <row r="177" spans="1:11" x14ac:dyDescent="0.3">
      <c r="A177" s="54"/>
      <c r="B177" s="41">
        <f t="shared" si="20"/>
        <v>166</v>
      </c>
      <c r="C177" s="52">
        <f t="shared" si="21"/>
        <v>631397.99109586712</v>
      </c>
      <c r="E177" s="54">
        <f t="shared" si="18"/>
        <v>-6443.0140148550854</v>
      </c>
      <c r="F177" s="54"/>
      <c r="G177" s="54">
        <f t="shared" si="19"/>
        <v>3286.0240593757544</v>
      </c>
      <c r="H177" s="54"/>
      <c r="I177" s="54">
        <f t="shared" si="22"/>
        <v>3156.989955479331</v>
      </c>
      <c r="J177" s="56">
        <f t="shared" si="23"/>
        <v>0.4899865106921294</v>
      </c>
      <c r="K177" s="54">
        <f t="shared" si="24"/>
        <v>628111.96703649138</v>
      </c>
    </row>
    <row r="178" spans="1:11" x14ac:dyDescent="0.3">
      <c r="A178" s="54"/>
      <c r="B178" s="41">
        <f t="shared" si="20"/>
        <v>167</v>
      </c>
      <c r="C178" s="52">
        <f t="shared" si="21"/>
        <v>628111.96703649138</v>
      </c>
      <c r="E178" s="54">
        <f t="shared" si="18"/>
        <v>-6443.0140148550854</v>
      </c>
      <c r="F178" s="54"/>
      <c r="G178" s="54">
        <f t="shared" si="19"/>
        <v>3302.4541796726339</v>
      </c>
      <c r="H178" s="54"/>
      <c r="I178" s="54">
        <f t="shared" si="22"/>
        <v>3140.5598351824515</v>
      </c>
      <c r="J178" s="56">
        <f t="shared" si="23"/>
        <v>0.48743644324558993</v>
      </c>
      <c r="K178" s="54">
        <f t="shared" si="24"/>
        <v>624809.51285681874</v>
      </c>
    </row>
    <row r="179" spans="1:11" x14ac:dyDescent="0.3">
      <c r="A179" s="54"/>
      <c r="B179" s="41">
        <f t="shared" si="20"/>
        <v>168</v>
      </c>
      <c r="C179" s="52">
        <f t="shared" si="21"/>
        <v>624809.51285681874</v>
      </c>
      <c r="E179" s="54">
        <f t="shared" si="18"/>
        <v>-6443.0140148550854</v>
      </c>
      <c r="F179" s="54"/>
      <c r="G179" s="54">
        <f t="shared" si="19"/>
        <v>3318.9664505709966</v>
      </c>
      <c r="H179" s="54"/>
      <c r="I179" s="54">
        <f t="shared" si="22"/>
        <v>3124.0475642840888</v>
      </c>
      <c r="J179" s="56">
        <f t="shared" si="23"/>
        <v>0.484873625461818</v>
      </c>
      <c r="K179" s="54">
        <f t="shared" si="24"/>
        <v>621490.54640624777</v>
      </c>
    </row>
    <row r="180" spans="1:11" x14ac:dyDescent="0.3">
      <c r="A180" s="54"/>
      <c r="B180" s="41">
        <f t="shared" si="20"/>
        <v>169</v>
      </c>
      <c r="C180" s="52">
        <f t="shared" si="21"/>
        <v>621490.54640624777</v>
      </c>
      <c r="E180" s="54">
        <f t="shared" si="18"/>
        <v>-6443.0140148550854</v>
      </c>
      <c r="F180" s="54"/>
      <c r="G180" s="54">
        <f t="shared" si="19"/>
        <v>3335.5612828238509</v>
      </c>
      <c r="H180" s="54"/>
      <c r="I180" s="54">
        <f t="shared" si="22"/>
        <v>3107.4527320312345</v>
      </c>
      <c r="J180" s="56">
        <f t="shared" si="23"/>
        <v>0.48229799358912717</v>
      </c>
      <c r="K180" s="54">
        <f t="shared" si="24"/>
        <v>618154.98512342398</v>
      </c>
    </row>
    <row r="181" spans="1:11" x14ac:dyDescent="0.3">
      <c r="A181" s="54"/>
      <c r="B181" s="41">
        <f t="shared" si="20"/>
        <v>170</v>
      </c>
      <c r="C181" s="52">
        <f t="shared" si="21"/>
        <v>618154.98512342398</v>
      </c>
      <c r="E181" s="54">
        <f t="shared" si="18"/>
        <v>-6443.0140148550854</v>
      </c>
      <c r="F181" s="54"/>
      <c r="G181" s="54">
        <f t="shared" si="19"/>
        <v>3352.2390892379703</v>
      </c>
      <c r="H181" s="54"/>
      <c r="I181" s="54">
        <f t="shared" si="22"/>
        <v>3090.7749256171151</v>
      </c>
      <c r="J181" s="56">
        <f t="shared" si="23"/>
        <v>0.47970948355707277</v>
      </c>
      <c r="K181" s="54">
        <f t="shared" si="24"/>
        <v>614802.74603418598</v>
      </c>
    </row>
    <row r="182" spans="1:11" x14ac:dyDescent="0.3">
      <c r="A182" s="54"/>
      <c r="B182" s="41">
        <f t="shared" si="20"/>
        <v>171</v>
      </c>
      <c r="C182" s="52">
        <f t="shared" si="21"/>
        <v>614802.74603418598</v>
      </c>
      <c r="E182" s="54">
        <f t="shared" si="18"/>
        <v>-6443.0140148550854</v>
      </c>
      <c r="F182" s="54"/>
      <c r="G182" s="54">
        <f t="shared" si="19"/>
        <v>3369.0002846841608</v>
      </c>
      <c r="H182" s="54"/>
      <c r="I182" s="54">
        <f t="shared" si="22"/>
        <v>3074.0137301709246</v>
      </c>
      <c r="J182" s="56">
        <f t="shared" si="23"/>
        <v>0.47710803097485804</v>
      </c>
      <c r="K182" s="54">
        <f t="shared" si="24"/>
        <v>611433.74574950186</v>
      </c>
    </row>
    <row r="183" spans="1:11" x14ac:dyDescent="0.3">
      <c r="A183" s="54"/>
      <c r="B183" s="41">
        <f t="shared" si="20"/>
        <v>172</v>
      </c>
      <c r="C183" s="52">
        <f t="shared" si="21"/>
        <v>611433.74574950186</v>
      </c>
      <c r="E183" s="54">
        <f t="shared" si="18"/>
        <v>-6443.0140148550854</v>
      </c>
      <c r="F183" s="54"/>
      <c r="G183" s="54">
        <f t="shared" si="19"/>
        <v>3385.8452861075807</v>
      </c>
      <c r="H183" s="54"/>
      <c r="I183" s="54">
        <f t="shared" si="22"/>
        <v>3057.1687287475047</v>
      </c>
      <c r="J183" s="56">
        <f t="shared" si="23"/>
        <v>0.47449357112973251</v>
      </c>
      <c r="K183" s="54">
        <f t="shared" si="24"/>
        <v>608047.90046339424</v>
      </c>
    </row>
    <row r="184" spans="1:11" x14ac:dyDescent="0.3">
      <c r="A184" s="54"/>
      <c r="B184" s="41">
        <f t="shared" si="20"/>
        <v>173</v>
      </c>
      <c r="C184" s="52">
        <f t="shared" si="21"/>
        <v>608047.90046339424</v>
      </c>
      <c r="E184" s="54">
        <f t="shared" si="18"/>
        <v>-6443.0140148550854</v>
      </c>
      <c r="F184" s="54"/>
      <c r="G184" s="54">
        <f t="shared" si="19"/>
        <v>3402.7745125381193</v>
      </c>
      <c r="H184" s="54"/>
      <c r="I184" s="54">
        <f t="shared" si="22"/>
        <v>3040.2395023169661</v>
      </c>
      <c r="J184" s="56">
        <f t="shared" si="23"/>
        <v>0.47186603898538104</v>
      </c>
      <c r="K184" s="54">
        <f t="shared" si="24"/>
        <v>604645.12595085613</v>
      </c>
    </row>
    <row r="185" spans="1:11" x14ac:dyDescent="0.3">
      <c r="A185" s="54"/>
      <c r="B185" s="41">
        <f t="shared" si="20"/>
        <v>174</v>
      </c>
      <c r="C185" s="52">
        <f t="shared" si="21"/>
        <v>604645.12595085613</v>
      </c>
      <c r="E185" s="54">
        <f t="shared" si="18"/>
        <v>-6443.0140148550854</v>
      </c>
      <c r="F185" s="54"/>
      <c r="G185" s="54">
        <f t="shared" si="19"/>
        <v>3419.7883851008096</v>
      </c>
      <c r="H185" s="54"/>
      <c r="I185" s="54">
        <f t="shared" si="22"/>
        <v>3023.2256297542758</v>
      </c>
      <c r="J185" s="56">
        <f t="shared" si="23"/>
        <v>0.46922536918030799</v>
      </c>
      <c r="K185" s="54">
        <f t="shared" si="24"/>
        <v>601225.33756575536</v>
      </c>
    </row>
    <row r="186" spans="1:11" x14ac:dyDescent="0.3">
      <c r="A186" s="54"/>
      <c r="B186" s="41">
        <f t="shared" si="20"/>
        <v>175</v>
      </c>
      <c r="C186" s="52">
        <f t="shared" si="21"/>
        <v>601225.33756575536</v>
      </c>
      <c r="E186" s="54">
        <f t="shared" si="18"/>
        <v>-6443.0140148550854</v>
      </c>
      <c r="F186" s="54"/>
      <c r="G186" s="54">
        <f t="shared" si="19"/>
        <v>3436.8873270263139</v>
      </c>
      <c r="H186" s="54"/>
      <c r="I186" s="54">
        <f t="shared" si="22"/>
        <v>3006.1266878287715</v>
      </c>
      <c r="J186" s="56">
        <f t="shared" si="23"/>
        <v>0.46657149602620951</v>
      </c>
      <c r="K186" s="54">
        <f t="shared" si="24"/>
        <v>597788.45023872901</v>
      </c>
    </row>
    <row r="187" spans="1:11" x14ac:dyDescent="0.3">
      <c r="A187" s="54"/>
      <c r="B187" s="41">
        <f t="shared" si="20"/>
        <v>176</v>
      </c>
      <c r="C187" s="52">
        <f t="shared" si="21"/>
        <v>597788.45023872901</v>
      </c>
      <c r="E187" s="54">
        <f t="shared" si="18"/>
        <v>-6443.0140148550854</v>
      </c>
      <c r="F187" s="54"/>
      <c r="G187" s="54">
        <f t="shared" si="19"/>
        <v>3454.0717636614459</v>
      </c>
      <c r="H187" s="54"/>
      <c r="I187" s="54">
        <f t="shared" si="22"/>
        <v>2988.9422511936395</v>
      </c>
      <c r="J187" s="56">
        <f t="shared" si="23"/>
        <v>0.46390435350634046</v>
      </c>
      <c r="K187" s="54">
        <f t="shared" si="24"/>
        <v>594334.37847506755</v>
      </c>
    </row>
    <row r="188" spans="1:11" x14ac:dyDescent="0.3">
      <c r="A188" s="54"/>
      <c r="B188" s="41">
        <f t="shared" si="20"/>
        <v>177</v>
      </c>
      <c r="C188" s="52">
        <f t="shared" si="21"/>
        <v>594334.37847506755</v>
      </c>
      <c r="E188" s="54">
        <f t="shared" si="18"/>
        <v>-6443.0140148550854</v>
      </c>
      <c r="F188" s="54"/>
      <c r="G188" s="54">
        <f t="shared" si="19"/>
        <v>3471.342122479753</v>
      </c>
      <c r="H188" s="54"/>
      <c r="I188" s="54">
        <f t="shared" si="22"/>
        <v>2971.6718923753324</v>
      </c>
      <c r="J188" s="56">
        <f t="shared" si="23"/>
        <v>0.46122387527387221</v>
      </c>
      <c r="K188" s="54">
        <f t="shared" si="24"/>
        <v>590863.03635258775</v>
      </c>
    </row>
    <row r="189" spans="1:11" x14ac:dyDescent="0.3">
      <c r="A189" s="54"/>
      <c r="B189" s="41">
        <f t="shared" si="20"/>
        <v>178</v>
      </c>
      <c r="C189" s="52">
        <f t="shared" si="21"/>
        <v>590863.03635258775</v>
      </c>
      <c r="E189" s="54">
        <f t="shared" si="18"/>
        <v>-6443.0140148550854</v>
      </c>
      <c r="F189" s="54"/>
      <c r="G189" s="54">
        <f t="shared" si="19"/>
        <v>3488.6988330921513</v>
      </c>
      <c r="H189" s="54"/>
      <c r="I189" s="54">
        <f t="shared" si="22"/>
        <v>2954.3151817629341</v>
      </c>
      <c r="J189" s="56">
        <f t="shared" si="23"/>
        <v>0.45852999465024163</v>
      </c>
      <c r="K189" s="54">
        <f t="shared" si="24"/>
        <v>587374.33751949563</v>
      </c>
    </row>
    <row r="190" spans="1:11" x14ac:dyDescent="0.3">
      <c r="A190" s="54"/>
      <c r="B190" s="41">
        <f t="shared" si="20"/>
        <v>179</v>
      </c>
      <c r="C190" s="52">
        <f t="shared" si="21"/>
        <v>587374.33751949563</v>
      </c>
      <c r="E190" s="54">
        <f t="shared" si="18"/>
        <v>-6443.0140148550854</v>
      </c>
      <c r="F190" s="54"/>
      <c r="G190" s="54">
        <f t="shared" si="19"/>
        <v>3506.1423272576121</v>
      </c>
      <c r="H190" s="54"/>
      <c r="I190" s="54">
        <f t="shared" si="22"/>
        <v>2936.8716875974733</v>
      </c>
      <c r="J190" s="56">
        <f t="shared" si="23"/>
        <v>0.45582264462349281</v>
      </c>
      <c r="K190" s="54">
        <f t="shared" si="24"/>
        <v>583868.19519223797</v>
      </c>
    </row>
    <row r="191" spans="1:11" x14ac:dyDescent="0.3">
      <c r="A191" s="54"/>
      <c r="B191" s="41">
        <f t="shared" si="20"/>
        <v>180</v>
      </c>
      <c r="C191" s="52">
        <f t="shared" si="21"/>
        <v>583868.19519223797</v>
      </c>
      <c r="E191" s="54">
        <f t="shared" si="18"/>
        <v>-6443.0140148550854</v>
      </c>
      <c r="F191" s="54"/>
      <c r="G191" s="54">
        <f t="shared" si="19"/>
        <v>3523.6730388938995</v>
      </c>
      <c r="H191" s="54"/>
      <c r="I191" s="54">
        <f t="shared" si="22"/>
        <v>2919.3409759611859</v>
      </c>
      <c r="J191" s="56">
        <f t="shared" si="23"/>
        <v>0.45310175784661039</v>
      </c>
      <c r="K191" s="54">
        <f t="shared" si="24"/>
        <v>580344.52215334412</v>
      </c>
    </row>
    <row r="192" spans="1:11" x14ac:dyDescent="0.3">
      <c r="A192" s="54"/>
      <c r="B192" s="41">
        <f t="shared" si="20"/>
        <v>181</v>
      </c>
      <c r="C192" s="52">
        <f t="shared" si="21"/>
        <v>580344.52215334412</v>
      </c>
      <c r="E192" s="54">
        <f t="shared" si="18"/>
        <v>-6443.0140148550854</v>
      </c>
      <c r="F192" s="54"/>
      <c r="G192" s="54">
        <f t="shared" si="19"/>
        <v>3541.2914040883697</v>
      </c>
      <c r="H192" s="54"/>
      <c r="I192" s="54">
        <f t="shared" si="22"/>
        <v>2901.7226107667157</v>
      </c>
      <c r="J192" s="56">
        <f t="shared" si="23"/>
        <v>0.45036726663584331</v>
      </c>
      <c r="K192" s="54">
        <f t="shared" si="24"/>
        <v>576803.23074925574</v>
      </c>
    </row>
    <row r="193" spans="1:11" x14ac:dyDescent="0.3">
      <c r="A193" s="54"/>
      <c r="B193" s="41">
        <f t="shared" si="20"/>
        <v>182</v>
      </c>
      <c r="C193" s="52">
        <f t="shared" si="21"/>
        <v>576803.23074925574</v>
      </c>
      <c r="E193" s="54">
        <f t="shared" si="18"/>
        <v>-6443.0140148550854</v>
      </c>
      <c r="F193" s="54"/>
      <c r="G193" s="54">
        <f t="shared" si="19"/>
        <v>3558.9978611088118</v>
      </c>
      <c r="H193" s="54"/>
      <c r="I193" s="54">
        <f t="shared" si="22"/>
        <v>2884.0161537462736</v>
      </c>
      <c r="J193" s="56">
        <f t="shared" si="23"/>
        <v>0.44761910296902252</v>
      </c>
      <c r="K193" s="54">
        <f t="shared" si="24"/>
        <v>573244.23288814689</v>
      </c>
    </row>
    <row r="194" spans="1:11" x14ac:dyDescent="0.3">
      <c r="A194" s="54"/>
      <c r="B194" s="41">
        <f t="shared" si="20"/>
        <v>183</v>
      </c>
      <c r="C194" s="52">
        <f t="shared" si="21"/>
        <v>573244.23288814689</v>
      </c>
      <c r="E194" s="54">
        <f t="shared" si="18"/>
        <v>-6443.0140148550854</v>
      </c>
      <c r="F194" s="54"/>
      <c r="G194" s="54">
        <f t="shared" si="19"/>
        <v>3576.7928504143556</v>
      </c>
      <c r="H194" s="54"/>
      <c r="I194" s="54">
        <f t="shared" si="22"/>
        <v>2866.2211644407298</v>
      </c>
      <c r="J194" s="56">
        <f t="shared" si="23"/>
        <v>0.44485719848386768</v>
      </c>
      <c r="K194" s="54">
        <f t="shared" si="24"/>
        <v>569667.44003773248</v>
      </c>
    </row>
    <row r="195" spans="1:11" x14ac:dyDescent="0.3">
      <c r="A195" s="54"/>
      <c r="B195" s="41">
        <f t="shared" si="20"/>
        <v>184</v>
      </c>
      <c r="C195" s="52">
        <f t="shared" si="21"/>
        <v>569667.44003773248</v>
      </c>
      <c r="E195" s="54">
        <f t="shared" si="18"/>
        <v>-6443.0140148550854</v>
      </c>
      <c r="F195" s="54"/>
      <c r="G195" s="54">
        <f t="shared" si="19"/>
        <v>3594.6768146664272</v>
      </c>
      <c r="H195" s="54"/>
      <c r="I195" s="54">
        <f t="shared" si="22"/>
        <v>2848.3372001886582</v>
      </c>
      <c r="J195" s="56">
        <f t="shared" si="23"/>
        <v>0.44208148447628703</v>
      </c>
      <c r="K195" s="54">
        <f t="shared" si="24"/>
        <v>566072.76322306599</v>
      </c>
    </row>
    <row r="196" spans="1:11" x14ac:dyDescent="0.3">
      <c r="A196" s="54"/>
      <c r="B196" s="41">
        <f t="shared" si="20"/>
        <v>185</v>
      </c>
      <c r="C196" s="52">
        <f t="shared" si="21"/>
        <v>566072.76322306599</v>
      </c>
      <c r="E196" s="54">
        <f t="shared" si="18"/>
        <v>-6443.0140148550854</v>
      </c>
      <c r="F196" s="54"/>
      <c r="G196" s="54">
        <f t="shared" si="19"/>
        <v>3612.6501987397596</v>
      </c>
      <c r="H196" s="54"/>
      <c r="I196" s="54">
        <f t="shared" si="22"/>
        <v>2830.3638161153258</v>
      </c>
      <c r="J196" s="56">
        <f t="shared" si="23"/>
        <v>0.43929189189866841</v>
      </c>
      <c r="K196" s="54">
        <f t="shared" si="24"/>
        <v>562460.11302432627</v>
      </c>
    </row>
    <row r="197" spans="1:11" x14ac:dyDescent="0.3">
      <c r="A197" s="54"/>
      <c r="B197" s="41">
        <f t="shared" si="20"/>
        <v>186</v>
      </c>
      <c r="C197" s="52">
        <f t="shared" si="21"/>
        <v>562460.11302432627</v>
      </c>
      <c r="E197" s="54">
        <f t="shared" si="18"/>
        <v>-6443.0140148550854</v>
      </c>
      <c r="F197" s="54"/>
      <c r="G197" s="54">
        <f t="shared" si="19"/>
        <v>3630.7134497334582</v>
      </c>
      <c r="H197" s="54"/>
      <c r="I197" s="54">
        <f t="shared" si="22"/>
        <v>2812.3005651216272</v>
      </c>
      <c r="J197" s="56">
        <f t="shared" si="23"/>
        <v>0.43648835135816177</v>
      </c>
      <c r="K197" s="54">
        <f t="shared" si="24"/>
        <v>558829.39957459283</v>
      </c>
    </row>
    <row r="198" spans="1:11" x14ac:dyDescent="0.3">
      <c r="A198" s="54"/>
      <c r="B198" s="41">
        <f t="shared" si="20"/>
        <v>187</v>
      </c>
      <c r="C198" s="52">
        <f t="shared" si="21"/>
        <v>558829.39957459283</v>
      </c>
      <c r="E198" s="54">
        <f t="shared" si="18"/>
        <v>-6443.0140148550854</v>
      </c>
      <c r="F198" s="54"/>
      <c r="G198" s="54">
        <f t="shared" si="19"/>
        <v>3648.8670169821253</v>
      </c>
      <c r="H198" s="54"/>
      <c r="I198" s="54">
        <f t="shared" si="22"/>
        <v>2794.1469978729601</v>
      </c>
      <c r="J198" s="56">
        <f t="shared" si="23"/>
        <v>0.43367079311495266</v>
      </c>
      <c r="K198" s="54">
        <f t="shared" si="24"/>
        <v>555180.53255761066</v>
      </c>
    </row>
    <row r="199" spans="1:11" x14ac:dyDescent="0.3">
      <c r="A199" s="54"/>
      <c r="B199" s="41">
        <f t="shared" si="20"/>
        <v>188</v>
      </c>
      <c r="C199" s="52">
        <f t="shared" si="21"/>
        <v>555180.53255761066</v>
      </c>
      <c r="E199" s="54">
        <f t="shared" si="18"/>
        <v>-6443.0140148550854</v>
      </c>
      <c r="F199" s="54"/>
      <c r="G199" s="54">
        <f t="shared" si="19"/>
        <v>3667.1113520670369</v>
      </c>
      <c r="H199" s="54"/>
      <c r="I199" s="54">
        <f t="shared" si="22"/>
        <v>2775.9026627880485</v>
      </c>
      <c r="J199" s="56">
        <f t="shared" si="23"/>
        <v>0.43083914708052723</v>
      </c>
      <c r="K199" s="54">
        <f t="shared" si="24"/>
        <v>551513.42120554356</v>
      </c>
    </row>
    <row r="200" spans="1:11" x14ac:dyDescent="0.3">
      <c r="A200" s="54"/>
      <c r="B200" s="41">
        <f t="shared" si="20"/>
        <v>189</v>
      </c>
      <c r="C200" s="52">
        <f t="shared" si="21"/>
        <v>551513.42120554356</v>
      </c>
      <c r="E200" s="54">
        <f t="shared" si="18"/>
        <v>-6443.0140148550854</v>
      </c>
      <c r="F200" s="54"/>
      <c r="G200" s="54">
        <f t="shared" si="19"/>
        <v>3685.4469088273718</v>
      </c>
      <c r="H200" s="54"/>
      <c r="I200" s="54">
        <f t="shared" si="22"/>
        <v>2757.5671060277136</v>
      </c>
      <c r="J200" s="56">
        <f t="shared" si="23"/>
        <v>0.42799334281592993</v>
      </c>
      <c r="K200" s="54">
        <f t="shared" si="24"/>
        <v>547827.97429671616</v>
      </c>
    </row>
    <row r="201" spans="1:11" x14ac:dyDescent="0.3">
      <c r="A201" s="54"/>
      <c r="B201" s="41">
        <f t="shared" si="20"/>
        <v>190</v>
      </c>
      <c r="C201" s="52">
        <f t="shared" si="21"/>
        <v>547827.97429671616</v>
      </c>
      <c r="E201" s="54">
        <f t="shared" si="18"/>
        <v>-6443.0140148550854</v>
      </c>
      <c r="F201" s="54"/>
      <c r="G201" s="54">
        <f t="shared" si="19"/>
        <v>3703.8741433715086</v>
      </c>
      <c r="H201" s="54"/>
      <c r="I201" s="54">
        <f t="shared" si="22"/>
        <v>2739.1398714835768</v>
      </c>
      <c r="J201" s="56">
        <f t="shared" si="23"/>
        <v>0.42513330953000961</v>
      </c>
      <c r="K201" s="54">
        <f t="shared" si="24"/>
        <v>544124.10015334468</v>
      </c>
    </row>
    <row r="202" spans="1:11" x14ac:dyDescent="0.3">
      <c r="A202" s="54"/>
      <c r="B202" s="41">
        <f t="shared" si="20"/>
        <v>191</v>
      </c>
      <c r="C202" s="52">
        <f t="shared" si="21"/>
        <v>544124.10015334468</v>
      </c>
      <c r="E202" s="54">
        <f t="shared" si="18"/>
        <v>-6443.0140148550854</v>
      </c>
      <c r="F202" s="54"/>
      <c r="G202" s="54">
        <f t="shared" si="19"/>
        <v>3722.3935140883655</v>
      </c>
      <c r="H202" s="54"/>
      <c r="I202" s="54">
        <f t="shared" si="22"/>
        <v>2720.6205007667199</v>
      </c>
      <c r="J202" s="56">
        <f t="shared" si="23"/>
        <v>0.42225897607765972</v>
      </c>
      <c r="K202" s="54">
        <f t="shared" si="24"/>
        <v>540401.70663925633</v>
      </c>
    </row>
    <row r="203" spans="1:11" x14ac:dyDescent="0.3">
      <c r="A203" s="54"/>
      <c r="B203" s="41">
        <f t="shared" si="20"/>
        <v>192</v>
      </c>
      <c r="C203" s="52">
        <f t="shared" si="21"/>
        <v>540401.70663925633</v>
      </c>
      <c r="E203" s="54">
        <f t="shared" si="18"/>
        <v>-6443.0140148550854</v>
      </c>
      <c r="F203" s="54"/>
      <c r="G203" s="54">
        <f t="shared" si="19"/>
        <v>3741.0054816588072</v>
      </c>
      <c r="H203" s="54"/>
      <c r="I203" s="54">
        <f t="shared" si="22"/>
        <v>2702.0085331962782</v>
      </c>
      <c r="J203" s="56">
        <f t="shared" si="23"/>
        <v>0.41937027095804807</v>
      </c>
      <c r="K203" s="54">
        <f t="shared" si="24"/>
        <v>536660.70115759748</v>
      </c>
    </row>
    <row r="204" spans="1:11" x14ac:dyDescent="0.3">
      <c r="A204" s="54"/>
      <c r="B204" s="41">
        <f t="shared" si="20"/>
        <v>193</v>
      </c>
      <c r="C204" s="52">
        <f t="shared" si="21"/>
        <v>536660.70115759748</v>
      </c>
      <c r="E204" s="54">
        <f t="shared" si="18"/>
        <v>-6443.0140148550854</v>
      </c>
      <c r="F204" s="54"/>
      <c r="G204" s="54">
        <f t="shared" si="19"/>
        <v>3759.7105090671016</v>
      </c>
      <c r="H204" s="54"/>
      <c r="I204" s="54">
        <f t="shared" si="22"/>
        <v>2683.3035057879838</v>
      </c>
      <c r="J204" s="56">
        <f t="shared" si="23"/>
        <v>0.41646712231283822</v>
      </c>
      <c r="K204" s="54">
        <f t="shared" si="24"/>
        <v>532900.99064853042</v>
      </c>
    </row>
    <row r="205" spans="1:11" x14ac:dyDescent="0.3">
      <c r="A205" s="54"/>
      <c r="B205" s="41">
        <f t="shared" si="20"/>
        <v>194</v>
      </c>
      <c r="C205" s="52">
        <f t="shared" si="21"/>
        <v>532900.99064853042</v>
      </c>
      <c r="E205" s="54">
        <f t="shared" ref="E205:E268" si="25">PMT($E$7,$G$5,$E$4)</f>
        <v>-6443.0140148550854</v>
      </c>
      <c r="F205" s="54"/>
      <c r="G205" s="54">
        <f t="shared" ref="G205:G268" si="26">IFERROR(-PPMT($E$7,B205,$G$5,$E$4),0)</f>
        <v>3778.5090616124367</v>
      </c>
      <c r="H205" s="54"/>
      <c r="I205" s="54">
        <f t="shared" si="22"/>
        <v>2664.5049532426488</v>
      </c>
      <c r="J205" s="56">
        <f t="shared" si="23"/>
        <v>0.41354945792440251</v>
      </c>
      <c r="K205" s="54">
        <f t="shared" si="24"/>
        <v>529122.481586918</v>
      </c>
    </row>
    <row r="206" spans="1:11" x14ac:dyDescent="0.3">
      <c r="A206" s="54"/>
      <c r="B206" s="41">
        <f t="shared" ref="B206:B269" si="27">B205+1</f>
        <v>195</v>
      </c>
      <c r="C206" s="52">
        <f t="shared" si="21"/>
        <v>529122.481586918</v>
      </c>
      <c r="E206" s="54">
        <f t="shared" si="25"/>
        <v>-6443.0140148550854</v>
      </c>
      <c r="F206" s="54"/>
      <c r="G206" s="54">
        <f t="shared" si="26"/>
        <v>3797.4016069204995</v>
      </c>
      <c r="H206" s="54"/>
      <c r="I206" s="54">
        <f t="shared" si="22"/>
        <v>2645.6124079345859</v>
      </c>
      <c r="J206" s="56">
        <f t="shared" si="23"/>
        <v>0.41061720521402439</v>
      </c>
      <c r="K206" s="54">
        <f t="shared" si="24"/>
        <v>525325.07997999748</v>
      </c>
    </row>
    <row r="207" spans="1:11" x14ac:dyDescent="0.3">
      <c r="A207" s="54"/>
      <c r="B207" s="41">
        <f t="shared" si="27"/>
        <v>196</v>
      </c>
      <c r="C207" s="52">
        <f t="shared" si="21"/>
        <v>525325.07997999748</v>
      </c>
      <c r="E207" s="54">
        <f t="shared" si="25"/>
        <v>-6443.0140148550854</v>
      </c>
      <c r="F207" s="54"/>
      <c r="G207" s="54">
        <f t="shared" si="26"/>
        <v>3816.3886149551017</v>
      </c>
      <c r="H207" s="54"/>
      <c r="I207" s="54">
        <f t="shared" si="22"/>
        <v>2626.6253998999837</v>
      </c>
      <c r="J207" s="56">
        <f t="shared" si="23"/>
        <v>0.40767029124009457</v>
      </c>
      <c r="K207" s="54">
        <f t="shared" si="24"/>
        <v>521508.69136504235</v>
      </c>
    </row>
    <row r="208" spans="1:11" x14ac:dyDescent="0.3">
      <c r="A208" s="54"/>
      <c r="B208" s="41">
        <f t="shared" si="27"/>
        <v>197</v>
      </c>
      <c r="C208" s="52">
        <f t="shared" si="21"/>
        <v>521508.69136504235</v>
      </c>
      <c r="E208" s="54">
        <f t="shared" si="25"/>
        <v>-6443.0140148550854</v>
      </c>
      <c r="F208" s="54"/>
      <c r="G208" s="54">
        <f t="shared" si="26"/>
        <v>3835.4705580298773</v>
      </c>
      <c r="H208" s="54"/>
      <c r="I208" s="54">
        <f t="shared" si="22"/>
        <v>2607.5434568252081</v>
      </c>
      <c r="J208" s="56">
        <f t="shared" si="23"/>
        <v>0.40470864269629503</v>
      </c>
      <c r="K208" s="54">
        <f t="shared" si="24"/>
        <v>517673.22080701246</v>
      </c>
    </row>
    <row r="209" spans="1:11" x14ac:dyDescent="0.3">
      <c r="A209" s="54"/>
      <c r="B209" s="41">
        <f t="shared" si="27"/>
        <v>198</v>
      </c>
      <c r="C209" s="52">
        <f t="shared" si="21"/>
        <v>517673.22080701246</v>
      </c>
      <c r="E209" s="54">
        <f t="shared" si="25"/>
        <v>-6443.0140148550854</v>
      </c>
      <c r="F209" s="54"/>
      <c r="G209" s="54">
        <f t="shared" si="26"/>
        <v>3854.6479108200269</v>
      </c>
      <c r="H209" s="54"/>
      <c r="I209" s="54">
        <f t="shared" si="22"/>
        <v>2588.3661040350585</v>
      </c>
      <c r="J209" s="56">
        <f t="shared" si="23"/>
        <v>0.4017321859097765</v>
      </c>
      <c r="K209" s="54">
        <f t="shared" si="24"/>
        <v>513818.57289619243</v>
      </c>
    </row>
    <row r="210" spans="1:11" x14ac:dyDescent="0.3">
      <c r="A210" s="54"/>
      <c r="B210" s="41">
        <f t="shared" si="27"/>
        <v>199</v>
      </c>
      <c r="C210" s="52">
        <f t="shared" si="21"/>
        <v>513818.57289619243</v>
      </c>
      <c r="E210" s="54">
        <f t="shared" si="25"/>
        <v>-6443.0140148550854</v>
      </c>
      <c r="F210" s="54"/>
      <c r="G210" s="54">
        <f t="shared" si="26"/>
        <v>3873.9211503741276</v>
      </c>
      <c r="H210" s="54"/>
      <c r="I210" s="54">
        <f t="shared" si="22"/>
        <v>2569.0928644809578</v>
      </c>
      <c r="J210" s="56">
        <f t="shared" si="23"/>
        <v>0.39874084683932526</v>
      </c>
      <c r="K210" s="54">
        <f t="shared" si="24"/>
        <v>509944.65174581832</v>
      </c>
    </row>
    <row r="211" spans="1:11" x14ac:dyDescent="0.3">
      <c r="A211" s="54"/>
      <c r="B211" s="41">
        <f t="shared" si="27"/>
        <v>200</v>
      </c>
      <c r="C211" s="52">
        <f t="shared" si="21"/>
        <v>509944.65174581832</v>
      </c>
      <c r="E211" s="54">
        <f t="shared" si="25"/>
        <v>-6443.0140148550854</v>
      </c>
      <c r="F211" s="54"/>
      <c r="G211" s="54">
        <f t="shared" si="26"/>
        <v>3893.2907561259981</v>
      </c>
      <c r="H211" s="54"/>
      <c r="I211" s="54">
        <f t="shared" si="22"/>
        <v>2549.7232587290873</v>
      </c>
      <c r="J211" s="56">
        <f t="shared" si="23"/>
        <v>0.3957345510735219</v>
      </c>
      <c r="K211" s="54">
        <f t="shared" si="24"/>
        <v>506051.36098969233</v>
      </c>
    </row>
    <row r="212" spans="1:11" x14ac:dyDescent="0.3">
      <c r="A212" s="54"/>
      <c r="B212" s="41">
        <f t="shared" si="27"/>
        <v>201</v>
      </c>
      <c r="C212" s="52">
        <f t="shared" si="21"/>
        <v>506051.36098969233</v>
      </c>
      <c r="E212" s="54">
        <f t="shared" si="25"/>
        <v>-6443.0140148550854</v>
      </c>
      <c r="F212" s="54"/>
      <c r="G212" s="54">
        <f t="shared" si="26"/>
        <v>3912.7572099066274</v>
      </c>
      <c r="H212" s="54"/>
      <c r="I212" s="54">
        <f t="shared" si="22"/>
        <v>2530.256804948458</v>
      </c>
      <c r="J212" s="56">
        <f t="shared" si="23"/>
        <v>0.39271322382888962</v>
      </c>
      <c r="K212" s="54">
        <f t="shared" si="24"/>
        <v>502138.60377978568</v>
      </c>
    </row>
    <row r="213" spans="1:11" x14ac:dyDescent="0.3">
      <c r="A213" s="54"/>
      <c r="B213" s="41">
        <f t="shared" si="27"/>
        <v>202</v>
      </c>
      <c r="C213" s="52">
        <f t="shared" si="21"/>
        <v>502138.60377978568</v>
      </c>
      <c r="E213" s="54">
        <f t="shared" si="25"/>
        <v>-6443.0140148550854</v>
      </c>
      <c r="F213" s="54"/>
      <c r="G213" s="54">
        <f t="shared" si="26"/>
        <v>3932.3209959561609</v>
      </c>
      <c r="H213" s="54"/>
      <c r="I213" s="54">
        <f t="shared" si="22"/>
        <v>2510.6930188989245</v>
      </c>
      <c r="J213" s="56">
        <f t="shared" si="23"/>
        <v>0.38967678994803401</v>
      </c>
      <c r="K213" s="54">
        <f t="shared" si="24"/>
        <v>498206.28278382955</v>
      </c>
    </row>
    <row r="214" spans="1:11" x14ac:dyDescent="0.3">
      <c r="A214" s="54"/>
      <c r="B214" s="41">
        <f t="shared" si="27"/>
        <v>203</v>
      </c>
      <c r="C214" s="52">
        <f t="shared" si="21"/>
        <v>498206.28278382955</v>
      </c>
      <c r="E214" s="54">
        <f t="shared" si="25"/>
        <v>-6443.0140148550854</v>
      </c>
      <c r="F214" s="54"/>
      <c r="G214" s="54">
        <f t="shared" si="26"/>
        <v>3951.9826009359422</v>
      </c>
      <c r="H214" s="54"/>
      <c r="I214" s="54">
        <f t="shared" si="22"/>
        <v>2491.0314139191432</v>
      </c>
      <c r="J214" s="56">
        <f t="shared" si="23"/>
        <v>0.38662517389777412</v>
      </c>
      <c r="K214" s="54">
        <f t="shared" si="24"/>
        <v>494254.30018289358</v>
      </c>
    </row>
    <row r="215" spans="1:11" x14ac:dyDescent="0.3">
      <c r="A215" s="54"/>
      <c r="B215" s="41">
        <f t="shared" si="27"/>
        <v>204</v>
      </c>
      <c r="C215" s="52">
        <f t="shared" si="21"/>
        <v>494254.30018289358</v>
      </c>
      <c r="E215" s="54">
        <f t="shared" si="25"/>
        <v>-6443.0140148550854</v>
      </c>
      <c r="F215" s="54"/>
      <c r="G215" s="54">
        <f t="shared" si="26"/>
        <v>3971.7425139406214</v>
      </c>
      <c r="H215" s="54"/>
      <c r="I215" s="54">
        <f t="shared" si="22"/>
        <v>2471.271500914464</v>
      </c>
      <c r="J215" s="56">
        <f t="shared" si="23"/>
        <v>0.38355829976726308</v>
      </c>
      <c r="K215" s="54">
        <f t="shared" si="24"/>
        <v>490282.55766895297</v>
      </c>
    </row>
    <row r="216" spans="1:11" x14ac:dyDescent="0.3">
      <c r="A216" s="54"/>
      <c r="B216" s="41">
        <f t="shared" si="27"/>
        <v>205</v>
      </c>
      <c r="C216" s="52">
        <f t="shared" si="21"/>
        <v>490282.55766895297</v>
      </c>
      <c r="E216" s="54">
        <f t="shared" si="25"/>
        <v>-6443.0140148550854</v>
      </c>
      <c r="F216" s="54"/>
      <c r="G216" s="54">
        <f t="shared" si="26"/>
        <v>3991.6012265103245</v>
      </c>
      <c r="H216" s="54"/>
      <c r="I216" s="54">
        <f t="shared" si="22"/>
        <v>2451.4127883447609</v>
      </c>
      <c r="J216" s="56">
        <f t="shared" si="23"/>
        <v>0.38047609126609938</v>
      </c>
      <c r="K216" s="54">
        <f t="shared" si="24"/>
        <v>486290.95644244266</v>
      </c>
    </row>
    <row r="217" spans="1:11" x14ac:dyDescent="0.3">
      <c r="A217" s="54"/>
      <c r="B217" s="41">
        <f t="shared" si="27"/>
        <v>206</v>
      </c>
      <c r="C217" s="52">
        <f t="shared" si="21"/>
        <v>486290.95644244266</v>
      </c>
      <c r="E217" s="54">
        <f t="shared" si="25"/>
        <v>-6443.0140148550854</v>
      </c>
      <c r="F217" s="54"/>
      <c r="G217" s="54">
        <f t="shared" si="26"/>
        <v>4011.5592326428759</v>
      </c>
      <c r="H217" s="54"/>
      <c r="I217" s="54">
        <f t="shared" si="22"/>
        <v>2431.4547822122095</v>
      </c>
      <c r="J217" s="56">
        <f t="shared" si="23"/>
        <v>0.37737847172242989</v>
      </c>
      <c r="K217" s="54">
        <f t="shared" si="24"/>
        <v>482279.39720979979</v>
      </c>
    </row>
    <row r="218" spans="1:11" x14ac:dyDescent="0.3">
      <c r="A218" s="54"/>
      <c r="B218" s="41">
        <f t="shared" si="27"/>
        <v>207</v>
      </c>
      <c r="C218" s="52">
        <f t="shared" si="21"/>
        <v>482279.39720979979</v>
      </c>
      <c r="E218" s="54">
        <f t="shared" si="25"/>
        <v>-6443.0140148550854</v>
      </c>
      <c r="F218" s="54"/>
      <c r="G218" s="54">
        <f t="shared" si="26"/>
        <v>4031.6170288060903</v>
      </c>
      <c r="H218" s="54"/>
      <c r="I218" s="54">
        <f t="shared" si="22"/>
        <v>2411.3969860489951</v>
      </c>
      <c r="J218" s="56">
        <f t="shared" si="23"/>
        <v>0.37426536408104205</v>
      </c>
      <c r="K218" s="54">
        <f t="shared" si="24"/>
        <v>478247.78018099372</v>
      </c>
    </row>
    <row r="219" spans="1:11" x14ac:dyDescent="0.3">
      <c r="A219" s="54"/>
      <c r="B219" s="41">
        <f t="shared" si="27"/>
        <v>208</v>
      </c>
      <c r="C219" s="52">
        <f t="shared" si="21"/>
        <v>478247.78018099372</v>
      </c>
      <c r="E219" s="54">
        <f t="shared" si="25"/>
        <v>-6443.0140148550854</v>
      </c>
      <c r="F219" s="54"/>
      <c r="G219" s="54">
        <f t="shared" si="26"/>
        <v>4051.7751139501211</v>
      </c>
      <c r="H219" s="54"/>
      <c r="I219" s="54">
        <f t="shared" si="22"/>
        <v>2391.2389009049643</v>
      </c>
      <c r="J219" s="56">
        <f t="shared" si="23"/>
        <v>0.37113669090144724</v>
      </c>
      <c r="K219" s="54">
        <f t="shared" si="24"/>
        <v>474196.00506704359</v>
      </c>
    </row>
    <row r="220" spans="1:11" x14ac:dyDescent="0.3">
      <c r="A220" s="54"/>
      <c r="B220" s="41">
        <f t="shared" si="27"/>
        <v>209</v>
      </c>
      <c r="C220" s="52">
        <f t="shared" si="21"/>
        <v>474196.00506704359</v>
      </c>
      <c r="E220" s="54">
        <f t="shared" si="25"/>
        <v>-6443.0140148550854</v>
      </c>
      <c r="F220" s="54"/>
      <c r="G220" s="54">
        <f t="shared" si="26"/>
        <v>4072.0339895198717</v>
      </c>
      <c r="H220" s="54"/>
      <c r="I220" s="54">
        <f t="shared" si="22"/>
        <v>2370.9800253352137</v>
      </c>
      <c r="J220" s="56">
        <f t="shared" si="23"/>
        <v>0.36799237435595444</v>
      </c>
      <c r="K220" s="54">
        <f t="shared" si="24"/>
        <v>470123.97107752372</v>
      </c>
    </row>
    <row r="221" spans="1:11" x14ac:dyDescent="0.3">
      <c r="A221" s="54"/>
      <c r="B221" s="41">
        <f t="shared" si="27"/>
        <v>210</v>
      </c>
      <c r="C221" s="52">
        <f t="shared" si="21"/>
        <v>470123.97107752372</v>
      </c>
      <c r="E221" s="54">
        <f t="shared" si="25"/>
        <v>-6443.0140148550854</v>
      </c>
      <c r="F221" s="54"/>
      <c r="G221" s="54">
        <f t="shared" si="26"/>
        <v>4092.3941594674711</v>
      </c>
      <c r="H221" s="54"/>
      <c r="I221" s="54">
        <f t="shared" si="22"/>
        <v>2350.6198553876143</v>
      </c>
      <c r="J221" s="56">
        <f t="shared" si="23"/>
        <v>0.3648323362277342</v>
      </c>
      <c r="K221" s="54">
        <f t="shared" si="24"/>
        <v>466031.57691805623</v>
      </c>
    </row>
    <row r="222" spans="1:11" x14ac:dyDescent="0.3">
      <c r="A222" s="54"/>
      <c r="B222" s="41">
        <f t="shared" si="27"/>
        <v>211</v>
      </c>
      <c r="C222" s="52">
        <f t="shared" si="21"/>
        <v>466031.57691805623</v>
      </c>
      <c r="E222" s="54">
        <f t="shared" si="25"/>
        <v>-6443.0140148550854</v>
      </c>
      <c r="F222" s="54"/>
      <c r="G222" s="54">
        <f t="shared" si="26"/>
        <v>4112.8561302648077</v>
      </c>
      <c r="H222" s="54"/>
      <c r="I222" s="54">
        <f t="shared" si="22"/>
        <v>2330.1578845902777</v>
      </c>
      <c r="J222" s="56">
        <f t="shared" si="23"/>
        <v>0.361656497908873</v>
      </c>
      <c r="K222" s="54">
        <f t="shared" si="24"/>
        <v>461918.72078779142</v>
      </c>
    </row>
    <row r="223" spans="1:11" x14ac:dyDescent="0.3">
      <c r="A223" s="54"/>
      <c r="B223" s="41">
        <f t="shared" si="27"/>
        <v>212</v>
      </c>
      <c r="C223" s="52">
        <f t="shared" si="21"/>
        <v>461918.72078779142</v>
      </c>
      <c r="E223" s="54">
        <f t="shared" si="25"/>
        <v>-6443.0140148550854</v>
      </c>
      <c r="F223" s="54"/>
      <c r="G223" s="54">
        <f t="shared" si="26"/>
        <v>4133.4204109161319</v>
      </c>
      <c r="H223" s="54"/>
      <c r="I223" s="54">
        <f t="shared" si="22"/>
        <v>2309.5936039389535</v>
      </c>
      <c r="J223" s="56">
        <f t="shared" si="23"/>
        <v>0.35846478039841734</v>
      </c>
      <c r="K223" s="54">
        <f t="shared" si="24"/>
        <v>457785.30037687527</v>
      </c>
    </row>
    <row r="224" spans="1:11" x14ac:dyDescent="0.3">
      <c r="A224" s="54"/>
      <c r="B224" s="41">
        <f t="shared" si="27"/>
        <v>213</v>
      </c>
      <c r="C224" s="52">
        <f t="shared" si="21"/>
        <v>457785.30037687527</v>
      </c>
      <c r="E224" s="54">
        <f t="shared" si="25"/>
        <v>-6443.0140148550854</v>
      </c>
      <c r="F224" s="54"/>
      <c r="G224" s="54">
        <f t="shared" si="26"/>
        <v>4154.0875129707129</v>
      </c>
      <c r="H224" s="54"/>
      <c r="I224" s="54">
        <f t="shared" si="22"/>
        <v>2288.9265018843726</v>
      </c>
      <c r="J224" s="56">
        <f t="shared" si="23"/>
        <v>0.35525710430040941</v>
      </c>
      <c r="K224" s="54">
        <f t="shared" si="24"/>
        <v>453631.21286390454</v>
      </c>
    </row>
    <row r="225" spans="1:11" x14ac:dyDescent="0.3">
      <c r="A225" s="54"/>
      <c r="B225" s="41">
        <f t="shared" si="27"/>
        <v>214</v>
      </c>
      <c r="C225" s="52">
        <f t="shared" ref="C225:C288" si="28">IF(B225&gt;$G$5,0,K224)</f>
        <v>453631.21286390454</v>
      </c>
      <c r="E225" s="54">
        <f t="shared" si="25"/>
        <v>-6443.0140148550854</v>
      </c>
      <c r="F225" s="54"/>
      <c r="G225" s="54">
        <f t="shared" si="26"/>
        <v>4174.8579505355665</v>
      </c>
      <c r="H225" s="54"/>
      <c r="I225" s="54">
        <f t="shared" ref="I225:I288" si="29">-E225-G225</f>
        <v>2268.1560643195189</v>
      </c>
      <c r="J225" s="56">
        <f t="shared" ref="J225:J288" si="30">IFERROR(-I225/E225,"NA")</f>
        <v>0.3520333898219114</v>
      </c>
      <c r="K225" s="54">
        <f t="shared" ref="K225:K288" si="31">C225-G225</f>
        <v>449456.354913369</v>
      </c>
    </row>
    <row r="226" spans="1:11" x14ac:dyDescent="0.3">
      <c r="A226" s="54"/>
      <c r="B226" s="41">
        <f t="shared" si="27"/>
        <v>215</v>
      </c>
      <c r="C226" s="52">
        <f t="shared" si="28"/>
        <v>449456.354913369</v>
      </c>
      <c r="E226" s="54">
        <f t="shared" si="25"/>
        <v>-6443.0140148550854</v>
      </c>
      <c r="F226" s="54"/>
      <c r="G226" s="54">
        <f t="shared" si="26"/>
        <v>4195.7322402882446</v>
      </c>
      <c r="H226" s="54"/>
      <c r="I226" s="54">
        <f t="shared" si="29"/>
        <v>2247.2817745668408</v>
      </c>
      <c r="J226" s="56">
        <f t="shared" si="30"/>
        <v>0.34879355677102092</v>
      </c>
      <c r="K226" s="54">
        <f t="shared" si="31"/>
        <v>445260.62267308077</v>
      </c>
    </row>
    <row r="227" spans="1:11" x14ac:dyDescent="0.3">
      <c r="A227" s="54"/>
      <c r="B227" s="41">
        <f t="shared" si="27"/>
        <v>216</v>
      </c>
      <c r="C227" s="52">
        <f t="shared" si="28"/>
        <v>445260.62267308077</v>
      </c>
      <c r="E227" s="54">
        <f t="shared" si="25"/>
        <v>-6443.0140148550854</v>
      </c>
      <c r="F227" s="54"/>
      <c r="G227" s="54">
        <f t="shared" si="26"/>
        <v>4216.710901489686</v>
      </c>
      <c r="H227" s="54"/>
      <c r="I227" s="54">
        <f t="shared" si="29"/>
        <v>2226.3031133653994</v>
      </c>
      <c r="J227" s="56">
        <f t="shared" si="30"/>
        <v>0.34553752455487602</v>
      </c>
      <c r="K227" s="54">
        <f t="shared" si="31"/>
        <v>441043.91177159105</v>
      </c>
    </row>
    <row r="228" spans="1:11" x14ac:dyDescent="0.3">
      <c r="A228" s="54"/>
      <c r="B228" s="41">
        <f t="shared" si="27"/>
        <v>217</v>
      </c>
      <c r="C228" s="52">
        <f t="shared" si="28"/>
        <v>441043.91177159105</v>
      </c>
      <c r="E228" s="54">
        <f t="shared" si="25"/>
        <v>-6443.0140148550854</v>
      </c>
      <c r="F228" s="54"/>
      <c r="G228" s="54">
        <f t="shared" si="26"/>
        <v>4237.7944559971338</v>
      </c>
      <c r="H228" s="54"/>
      <c r="I228" s="54">
        <f t="shared" si="29"/>
        <v>2205.2195588579516</v>
      </c>
      <c r="J228" s="56">
        <f t="shared" si="30"/>
        <v>0.34226521217765049</v>
      </c>
      <c r="K228" s="54">
        <f t="shared" si="31"/>
        <v>436806.11731559393</v>
      </c>
    </row>
    <row r="229" spans="1:11" x14ac:dyDescent="0.3">
      <c r="A229" s="54"/>
      <c r="B229" s="41">
        <f t="shared" si="27"/>
        <v>218</v>
      </c>
      <c r="C229" s="52">
        <f t="shared" si="28"/>
        <v>436806.11731559393</v>
      </c>
      <c r="E229" s="54">
        <f t="shared" si="25"/>
        <v>-6443.0140148550854</v>
      </c>
      <c r="F229" s="54"/>
      <c r="G229" s="54">
        <f t="shared" si="26"/>
        <v>4258.9834282771189</v>
      </c>
      <c r="H229" s="54"/>
      <c r="I229" s="54">
        <f t="shared" si="29"/>
        <v>2184.0305865779665</v>
      </c>
      <c r="J229" s="56">
        <f t="shared" si="30"/>
        <v>0.33897653823853885</v>
      </c>
      <c r="K229" s="54">
        <f t="shared" si="31"/>
        <v>432547.1338873168</v>
      </c>
    </row>
    <row r="230" spans="1:11" x14ac:dyDescent="0.3">
      <c r="A230" s="54"/>
      <c r="B230" s="41">
        <f t="shared" si="27"/>
        <v>219</v>
      </c>
      <c r="C230" s="52">
        <f t="shared" si="28"/>
        <v>432547.1338873168</v>
      </c>
      <c r="E230" s="54">
        <f t="shared" si="25"/>
        <v>-6443.0140148550854</v>
      </c>
      <c r="F230" s="54"/>
      <c r="G230" s="54">
        <f t="shared" si="26"/>
        <v>4280.2783454185046</v>
      </c>
      <c r="H230" s="54"/>
      <c r="I230" s="54">
        <f t="shared" si="29"/>
        <v>2162.7356694365808</v>
      </c>
      <c r="J230" s="56">
        <f t="shared" si="30"/>
        <v>0.33567142092973151</v>
      </c>
      <c r="K230" s="54">
        <f t="shared" si="31"/>
        <v>428266.85554189829</v>
      </c>
    </row>
    <row r="231" spans="1:11" x14ac:dyDescent="0.3">
      <c r="A231" s="54"/>
      <c r="B231" s="41">
        <f t="shared" si="27"/>
        <v>220</v>
      </c>
      <c r="C231" s="52">
        <f t="shared" si="28"/>
        <v>428266.85554189829</v>
      </c>
      <c r="E231" s="54">
        <f t="shared" si="25"/>
        <v>-6443.0140148550854</v>
      </c>
      <c r="F231" s="54"/>
      <c r="G231" s="54">
        <f t="shared" si="26"/>
        <v>4301.6797371455978</v>
      </c>
      <c r="H231" s="54"/>
      <c r="I231" s="54">
        <f t="shared" si="29"/>
        <v>2141.3342777094877</v>
      </c>
      <c r="J231" s="56">
        <f t="shared" si="30"/>
        <v>0.33234977803438009</v>
      </c>
      <c r="K231" s="54">
        <f t="shared" si="31"/>
        <v>423965.17580475268</v>
      </c>
    </row>
    <row r="232" spans="1:11" x14ac:dyDescent="0.3">
      <c r="A232" s="54"/>
      <c r="B232" s="41">
        <f t="shared" si="27"/>
        <v>221</v>
      </c>
      <c r="C232" s="52">
        <f t="shared" si="28"/>
        <v>423965.17580475268</v>
      </c>
      <c r="E232" s="54">
        <f t="shared" si="25"/>
        <v>-6443.0140148550854</v>
      </c>
      <c r="F232" s="54"/>
      <c r="G232" s="54">
        <f t="shared" si="26"/>
        <v>4323.1881358313258</v>
      </c>
      <c r="H232" s="54"/>
      <c r="I232" s="54">
        <f t="shared" si="29"/>
        <v>2119.8258790237596</v>
      </c>
      <c r="J232" s="56">
        <f t="shared" si="30"/>
        <v>0.32901152692455199</v>
      </c>
      <c r="K232" s="54">
        <f t="shared" si="31"/>
        <v>419641.98766892136</v>
      </c>
    </row>
    <row r="233" spans="1:11" x14ac:dyDescent="0.3">
      <c r="A233" s="54"/>
      <c r="B233" s="41">
        <f t="shared" si="27"/>
        <v>222</v>
      </c>
      <c r="C233" s="52">
        <f t="shared" si="28"/>
        <v>419641.98766892136</v>
      </c>
      <c r="E233" s="54">
        <f t="shared" si="25"/>
        <v>-6443.0140148550854</v>
      </c>
      <c r="F233" s="54"/>
      <c r="G233" s="54">
        <f t="shared" si="26"/>
        <v>4344.8040765104824</v>
      </c>
      <c r="H233" s="54"/>
      <c r="I233" s="54">
        <f t="shared" si="29"/>
        <v>2098.209938344603</v>
      </c>
      <c r="J233" s="56">
        <f t="shared" si="30"/>
        <v>0.32565658455917473</v>
      </c>
      <c r="K233" s="54">
        <f t="shared" si="31"/>
        <v>415297.18359241087</v>
      </c>
    </row>
    <row r="234" spans="1:11" x14ac:dyDescent="0.3">
      <c r="A234" s="54"/>
      <c r="B234" s="41">
        <f t="shared" si="27"/>
        <v>223</v>
      </c>
      <c r="C234" s="52">
        <f t="shared" si="28"/>
        <v>415297.18359241087</v>
      </c>
      <c r="E234" s="54">
        <f t="shared" si="25"/>
        <v>-6443.0140148550854</v>
      </c>
      <c r="F234" s="54"/>
      <c r="G234" s="54">
        <f t="shared" si="26"/>
        <v>4366.5280968930356</v>
      </c>
      <c r="H234" s="54"/>
      <c r="I234" s="54">
        <f t="shared" si="29"/>
        <v>2076.4859179620498</v>
      </c>
      <c r="J234" s="56">
        <f t="shared" si="30"/>
        <v>0.32228486748197049</v>
      </c>
      <c r="K234" s="54">
        <f t="shared" si="31"/>
        <v>410930.65549551783</v>
      </c>
    </row>
    <row r="235" spans="1:11" x14ac:dyDescent="0.3">
      <c r="A235" s="54"/>
      <c r="B235" s="41">
        <f t="shared" si="27"/>
        <v>224</v>
      </c>
      <c r="C235" s="52">
        <f t="shared" si="28"/>
        <v>410930.65549551783</v>
      </c>
      <c r="E235" s="54">
        <f t="shared" si="25"/>
        <v>-6443.0140148550854</v>
      </c>
      <c r="F235" s="54"/>
      <c r="G235" s="54">
        <f t="shared" si="26"/>
        <v>4388.3607373774994</v>
      </c>
      <c r="H235" s="54"/>
      <c r="I235" s="54">
        <f t="shared" si="29"/>
        <v>2054.653277477586</v>
      </c>
      <c r="J235" s="56">
        <f t="shared" si="30"/>
        <v>0.31889629181938056</v>
      </c>
      <c r="K235" s="54">
        <f t="shared" si="31"/>
        <v>406542.29475814034</v>
      </c>
    </row>
    <row r="236" spans="1:11" x14ac:dyDescent="0.3">
      <c r="A236" s="54"/>
      <c r="B236" s="41">
        <f t="shared" si="27"/>
        <v>225</v>
      </c>
      <c r="C236" s="52">
        <f t="shared" si="28"/>
        <v>406542.29475814034</v>
      </c>
      <c r="E236" s="54">
        <f t="shared" si="25"/>
        <v>-6443.0140148550854</v>
      </c>
      <c r="F236" s="54"/>
      <c r="G236" s="54">
        <f t="shared" si="26"/>
        <v>4410.3025410643877</v>
      </c>
      <c r="H236" s="54"/>
      <c r="I236" s="54">
        <f t="shared" si="29"/>
        <v>2032.7114737906977</v>
      </c>
      <c r="J236" s="56">
        <f t="shared" si="30"/>
        <v>0.31549077327847735</v>
      </c>
      <c r="K236" s="54">
        <f t="shared" si="31"/>
        <v>402131.99221707595</v>
      </c>
    </row>
    <row r="237" spans="1:11" x14ac:dyDescent="0.3">
      <c r="A237" s="54"/>
      <c r="B237" s="41">
        <f t="shared" si="27"/>
        <v>226</v>
      </c>
      <c r="C237" s="52">
        <f t="shared" si="28"/>
        <v>402131.99221707595</v>
      </c>
      <c r="E237" s="54">
        <f t="shared" si="25"/>
        <v>-6443.0140148550854</v>
      </c>
      <c r="F237" s="54"/>
      <c r="G237" s="54">
        <f t="shared" si="26"/>
        <v>4432.3540537697099</v>
      </c>
      <c r="H237" s="54"/>
      <c r="I237" s="54">
        <f t="shared" si="29"/>
        <v>2010.6599610853755</v>
      </c>
      <c r="J237" s="56">
        <f t="shared" si="30"/>
        <v>0.31206822714486965</v>
      </c>
      <c r="K237" s="54">
        <f t="shared" si="31"/>
        <v>397699.63816330623</v>
      </c>
    </row>
    <row r="238" spans="1:11" x14ac:dyDescent="0.3">
      <c r="A238" s="54"/>
      <c r="B238" s="41">
        <f t="shared" si="27"/>
        <v>227</v>
      </c>
      <c r="C238" s="52">
        <f t="shared" si="28"/>
        <v>397699.63816330623</v>
      </c>
      <c r="E238" s="54">
        <f t="shared" si="25"/>
        <v>-6443.0140148550854</v>
      </c>
      <c r="F238" s="54"/>
      <c r="G238" s="54">
        <f t="shared" si="26"/>
        <v>4454.5158240385581</v>
      </c>
      <c r="H238" s="54"/>
      <c r="I238" s="54">
        <f t="shared" si="29"/>
        <v>1988.4981908165273</v>
      </c>
      <c r="J238" s="56">
        <f t="shared" si="30"/>
        <v>0.3086285682805941</v>
      </c>
      <c r="K238" s="54">
        <f t="shared" si="31"/>
        <v>393245.12233926769</v>
      </c>
    </row>
    <row r="239" spans="1:11" x14ac:dyDescent="0.3">
      <c r="A239" s="54"/>
      <c r="B239" s="41">
        <f t="shared" si="27"/>
        <v>228</v>
      </c>
      <c r="C239" s="52">
        <f t="shared" si="28"/>
        <v>393245.12233926769</v>
      </c>
      <c r="E239" s="54">
        <f t="shared" si="25"/>
        <v>-6443.0140148550854</v>
      </c>
      <c r="F239" s="54"/>
      <c r="G239" s="54">
        <f t="shared" si="26"/>
        <v>4476.788403158751</v>
      </c>
      <c r="H239" s="54"/>
      <c r="I239" s="54">
        <f t="shared" si="29"/>
        <v>1966.2256116963345</v>
      </c>
      <c r="J239" s="56">
        <f t="shared" si="30"/>
        <v>0.30517171112199704</v>
      </c>
      <c r="K239" s="54">
        <f t="shared" si="31"/>
        <v>388768.33393610892</v>
      </c>
    </row>
    <row r="240" spans="1:11" x14ac:dyDescent="0.3">
      <c r="A240" s="54"/>
      <c r="B240" s="41">
        <f t="shared" si="27"/>
        <v>229</v>
      </c>
      <c r="C240" s="52">
        <f t="shared" si="28"/>
        <v>388768.33393610892</v>
      </c>
      <c r="E240" s="54">
        <f t="shared" si="25"/>
        <v>-6443.0140148550854</v>
      </c>
      <c r="F240" s="54"/>
      <c r="G240" s="54">
        <f t="shared" si="26"/>
        <v>4499.1723451745447</v>
      </c>
      <c r="H240" s="54"/>
      <c r="I240" s="54">
        <f t="shared" si="29"/>
        <v>1943.8416696805407</v>
      </c>
      <c r="J240" s="56">
        <f t="shared" si="30"/>
        <v>0.30169756967760702</v>
      </c>
      <c r="K240" s="54">
        <f t="shared" si="31"/>
        <v>384269.16159093438</v>
      </c>
    </row>
    <row r="241" spans="1:11" x14ac:dyDescent="0.3">
      <c r="A241" s="54"/>
      <c r="B241" s="41">
        <f t="shared" si="27"/>
        <v>230</v>
      </c>
      <c r="C241" s="52">
        <f t="shared" si="28"/>
        <v>384269.16159093438</v>
      </c>
      <c r="E241" s="54">
        <f t="shared" si="25"/>
        <v>-6443.0140148550854</v>
      </c>
      <c r="F241" s="54"/>
      <c r="G241" s="54">
        <f t="shared" si="26"/>
        <v>4521.6682069004173</v>
      </c>
      <c r="H241" s="54"/>
      <c r="I241" s="54">
        <f t="shared" si="29"/>
        <v>1921.3458079546681</v>
      </c>
      <c r="J241" s="56">
        <f t="shared" si="30"/>
        <v>0.29820605752599505</v>
      </c>
      <c r="K241" s="54">
        <f t="shared" si="31"/>
        <v>379747.49338403397</v>
      </c>
    </row>
    <row r="242" spans="1:11" x14ac:dyDescent="0.3">
      <c r="A242" s="54"/>
      <c r="B242" s="41">
        <f t="shared" si="27"/>
        <v>231</v>
      </c>
      <c r="C242" s="52">
        <f t="shared" si="28"/>
        <v>379747.49338403397</v>
      </c>
      <c r="E242" s="54">
        <f t="shared" si="25"/>
        <v>-6443.0140148550854</v>
      </c>
      <c r="F242" s="54"/>
      <c r="G242" s="54">
        <f t="shared" si="26"/>
        <v>4544.2765479349191</v>
      </c>
      <c r="H242" s="54"/>
      <c r="I242" s="54">
        <f t="shared" si="29"/>
        <v>1898.7374669201663</v>
      </c>
      <c r="J242" s="56">
        <f t="shared" si="30"/>
        <v>0.29469708781362508</v>
      </c>
      <c r="K242" s="54">
        <f t="shared" si="31"/>
        <v>375203.21683609905</v>
      </c>
    </row>
    <row r="243" spans="1:11" x14ac:dyDescent="0.3">
      <c r="A243" s="54"/>
      <c r="B243" s="41">
        <f t="shared" si="27"/>
        <v>232</v>
      </c>
      <c r="C243" s="52">
        <f t="shared" si="28"/>
        <v>375203.21683609905</v>
      </c>
      <c r="E243" s="54">
        <f t="shared" si="25"/>
        <v>-6443.0140148550854</v>
      </c>
      <c r="F243" s="54"/>
      <c r="G243" s="54">
        <f t="shared" si="26"/>
        <v>4566.9979306745945</v>
      </c>
      <c r="H243" s="54"/>
      <c r="I243" s="54">
        <f t="shared" si="29"/>
        <v>1876.0160841804909</v>
      </c>
      <c r="J243" s="56">
        <f t="shared" si="30"/>
        <v>0.29117057325269308</v>
      </c>
      <c r="K243" s="54">
        <f t="shared" si="31"/>
        <v>370636.21890542447</v>
      </c>
    </row>
    <row r="244" spans="1:11" x14ac:dyDescent="0.3">
      <c r="A244" s="54"/>
      <c r="B244" s="41">
        <f t="shared" si="27"/>
        <v>233</v>
      </c>
      <c r="C244" s="52">
        <f t="shared" si="28"/>
        <v>370636.21890542447</v>
      </c>
      <c r="E244" s="54">
        <f t="shared" si="25"/>
        <v>-6443.0140148550854</v>
      </c>
      <c r="F244" s="54"/>
      <c r="G244" s="54">
        <f t="shared" si="26"/>
        <v>4589.8329203279673</v>
      </c>
      <c r="H244" s="54"/>
      <c r="I244" s="54">
        <f t="shared" si="29"/>
        <v>1853.1810945271181</v>
      </c>
      <c r="J244" s="56">
        <f t="shared" si="30"/>
        <v>0.28762642611895661</v>
      </c>
      <c r="K244" s="54">
        <f t="shared" si="31"/>
        <v>366046.38598509651</v>
      </c>
    </row>
    <row r="245" spans="1:11" x14ac:dyDescent="0.3">
      <c r="A245" s="54"/>
      <c r="B245" s="41">
        <f t="shared" si="27"/>
        <v>234</v>
      </c>
      <c r="C245" s="52">
        <f t="shared" si="28"/>
        <v>366046.38598509651</v>
      </c>
      <c r="E245" s="54">
        <f t="shared" si="25"/>
        <v>-6443.0140148550854</v>
      </c>
      <c r="F245" s="54"/>
      <c r="G245" s="54">
        <f t="shared" si="26"/>
        <v>4612.7820849296068</v>
      </c>
      <c r="H245" s="54"/>
      <c r="I245" s="54">
        <f t="shared" si="29"/>
        <v>1830.2319299254787</v>
      </c>
      <c r="J245" s="56">
        <f t="shared" si="30"/>
        <v>0.28406455824955146</v>
      </c>
      <c r="K245" s="54">
        <f t="shared" si="31"/>
        <v>361433.60390016693</v>
      </c>
    </row>
    <row r="246" spans="1:11" x14ac:dyDescent="0.3">
      <c r="A246" s="54"/>
      <c r="B246" s="41">
        <f t="shared" si="27"/>
        <v>235</v>
      </c>
      <c r="C246" s="52">
        <f t="shared" si="28"/>
        <v>361433.60390016693</v>
      </c>
      <c r="E246" s="54">
        <f t="shared" si="25"/>
        <v>-6443.0140148550854</v>
      </c>
      <c r="F246" s="54"/>
      <c r="G246" s="54">
        <f t="shared" si="26"/>
        <v>4635.8459953542551</v>
      </c>
      <c r="H246" s="54"/>
      <c r="I246" s="54">
        <f t="shared" si="29"/>
        <v>1807.1680195008303</v>
      </c>
      <c r="J246" s="56">
        <f t="shared" si="30"/>
        <v>0.28048488104079916</v>
      </c>
      <c r="K246" s="54">
        <f t="shared" si="31"/>
        <v>356797.75790481269</v>
      </c>
    </row>
    <row r="247" spans="1:11" x14ac:dyDescent="0.3">
      <c r="A247" s="54"/>
      <c r="B247" s="41">
        <f t="shared" si="27"/>
        <v>236</v>
      </c>
      <c r="C247" s="52">
        <f t="shared" si="28"/>
        <v>356797.75790481269</v>
      </c>
      <c r="E247" s="54">
        <f t="shared" si="25"/>
        <v>-6443.0140148550854</v>
      </c>
      <c r="F247" s="54"/>
      <c r="G247" s="54">
        <f t="shared" si="26"/>
        <v>4659.0252253310264</v>
      </c>
      <c r="H247" s="54"/>
      <c r="I247" s="54">
        <f t="shared" si="29"/>
        <v>1783.988789524059</v>
      </c>
      <c r="J247" s="56">
        <f t="shared" si="30"/>
        <v>0.27688730544600315</v>
      </c>
      <c r="K247" s="54">
        <f t="shared" si="31"/>
        <v>352138.73267948168</v>
      </c>
    </row>
    <row r="248" spans="1:11" x14ac:dyDescent="0.3">
      <c r="A248" s="54"/>
      <c r="B248" s="41">
        <f t="shared" si="27"/>
        <v>237</v>
      </c>
      <c r="C248" s="52">
        <f t="shared" si="28"/>
        <v>352138.73267948168</v>
      </c>
      <c r="E248" s="54">
        <f t="shared" si="25"/>
        <v>-6443.0140148550854</v>
      </c>
      <c r="F248" s="54"/>
      <c r="G248" s="54">
        <f t="shared" si="26"/>
        <v>4682.3203514576808</v>
      </c>
      <c r="H248" s="54"/>
      <c r="I248" s="54">
        <f t="shared" si="29"/>
        <v>1760.6936633974046</v>
      </c>
      <c r="J248" s="56">
        <f t="shared" si="30"/>
        <v>0.27327174197323328</v>
      </c>
      <c r="K248" s="54">
        <f t="shared" si="31"/>
        <v>347456.41232802399</v>
      </c>
    </row>
    <row r="249" spans="1:11" x14ac:dyDescent="0.3">
      <c r="A249" s="54"/>
      <c r="B249" s="41">
        <f t="shared" si="27"/>
        <v>238</v>
      </c>
      <c r="C249" s="52">
        <f t="shared" si="28"/>
        <v>347456.41232802399</v>
      </c>
      <c r="E249" s="54">
        <f t="shared" si="25"/>
        <v>-6443.0140148550854</v>
      </c>
      <c r="F249" s="54"/>
      <c r="G249" s="54">
        <f t="shared" si="26"/>
        <v>4705.7319532149695</v>
      </c>
      <c r="H249" s="54"/>
      <c r="I249" s="54">
        <f t="shared" si="29"/>
        <v>1737.2820616401159</v>
      </c>
      <c r="J249" s="56">
        <f t="shared" si="30"/>
        <v>0.2696381006830994</v>
      </c>
      <c r="K249" s="54">
        <f t="shared" si="31"/>
        <v>342750.68037480902</v>
      </c>
    </row>
    <row r="250" spans="1:11" x14ac:dyDescent="0.3">
      <c r="A250" s="54"/>
      <c r="B250" s="41">
        <f t="shared" si="27"/>
        <v>239</v>
      </c>
      <c r="C250" s="52">
        <f t="shared" si="28"/>
        <v>342750.68037480902</v>
      </c>
      <c r="E250" s="54">
        <f t="shared" si="25"/>
        <v>-6443.0140148550854</v>
      </c>
      <c r="F250" s="54"/>
      <c r="G250" s="54">
        <f t="shared" si="26"/>
        <v>4729.2606129810447</v>
      </c>
      <c r="H250" s="54"/>
      <c r="I250" s="54">
        <f t="shared" si="29"/>
        <v>1713.7534018740407</v>
      </c>
      <c r="J250" s="56">
        <f t="shared" si="30"/>
        <v>0.26598629118651484</v>
      </c>
      <c r="K250" s="54">
        <f t="shared" si="31"/>
        <v>338021.41976182797</v>
      </c>
    </row>
    <row r="251" spans="1:11" x14ac:dyDescent="0.3">
      <c r="A251" s="54"/>
      <c r="B251" s="41">
        <f t="shared" si="27"/>
        <v>240</v>
      </c>
      <c r="C251" s="52">
        <f t="shared" si="28"/>
        <v>338021.41976182797</v>
      </c>
      <c r="E251" s="54">
        <f t="shared" si="25"/>
        <v>-6443.0140148550854</v>
      </c>
      <c r="F251" s="54"/>
      <c r="G251" s="54">
        <f t="shared" si="26"/>
        <v>4752.9069160459494</v>
      </c>
      <c r="H251" s="54"/>
      <c r="I251" s="54">
        <f t="shared" si="29"/>
        <v>1690.107098809136</v>
      </c>
      <c r="J251" s="56">
        <f t="shared" si="30"/>
        <v>0.26231622264244747</v>
      </c>
      <c r="K251" s="54">
        <f t="shared" si="31"/>
        <v>333268.51284578204</v>
      </c>
    </row>
    <row r="252" spans="1:11" x14ac:dyDescent="0.3">
      <c r="A252" s="54"/>
      <c r="B252" s="41">
        <f t="shared" si="27"/>
        <v>241</v>
      </c>
      <c r="C252" s="52">
        <f t="shared" si="28"/>
        <v>333268.51284578204</v>
      </c>
      <c r="E252" s="54">
        <f t="shared" si="25"/>
        <v>-6443.0140148550854</v>
      </c>
      <c r="F252" s="54"/>
      <c r="G252" s="54">
        <f t="shared" si="26"/>
        <v>4776.6714506261796</v>
      </c>
      <c r="H252" s="54"/>
      <c r="I252" s="54">
        <f t="shared" si="29"/>
        <v>1666.3425642289058</v>
      </c>
      <c r="J252" s="56">
        <f t="shared" si="30"/>
        <v>0.25862780375565964</v>
      </c>
      <c r="K252" s="54">
        <f t="shared" si="31"/>
        <v>328491.84139515588</v>
      </c>
    </row>
    <row r="253" spans="1:11" x14ac:dyDescent="0.3">
      <c r="A253" s="54"/>
      <c r="B253" s="41">
        <f t="shared" si="27"/>
        <v>242</v>
      </c>
      <c r="C253" s="52">
        <f t="shared" si="28"/>
        <v>328491.84139515588</v>
      </c>
      <c r="E253" s="54">
        <f t="shared" si="25"/>
        <v>-6443.0140148550854</v>
      </c>
      <c r="F253" s="54"/>
      <c r="G253" s="54">
        <f t="shared" si="26"/>
        <v>4800.5548078793099</v>
      </c>
      <c r="H253" s="54"/>
      <c r="I253" s="54">
        <f t="shared" si="29"/>
        <v>1642.4592069757755</v>
      </c>
      <c r="J253" s="56">
        <f t="shared" si="30"/>
        <v>0.25492094277443805</v>
      </c>
      <c r="K253" s="54">
        <f t="shared" si="31"/>
        <v>323691.28658727655</v>
      </c>
    </row>
    <row r="254" spans="1:11" x14ac:dyDescent="0.3">
      <c r="A254" s="54"/>
      <c r="B254" s="41">
        <f t="shared" si="27"/>
        <v>243</v>
      </c>
      <c r="C254" s="52">
        <f t="shared" si="28"/>
        <v>323691.28658727655</v>
      </c>
      <c r="E254" s="54">
        <f t="shared" si="25"/>
        <v>-6443.0140148550854</v>
      </c>
      <c r="F254" s="54"/>
      <c r="G254" s="54">
        <f t="shared" si="26"/>
        <v>4824.557581918707</v>
      </c>
      <c r="H254" s="54"/>
      <c r="I254" s="54">
        <f t="shared" si="29"/>
        <v>1618.4564329363784</v>
      </c>
      <c r="J254" s="56">
        <f t="shared" si="30"/>
        <v>0.25119554748831013</v>
      </c>
      <c r="K254" s="54">
        <f t="shared" si="31"/>
        <v>318866.72900535783</v>
      </c>
    </row>
    <row r="255" spans="1:11" x14ac:dyDescent="0.3">
      <c r="A255" s="54"/>
      <c r="B255" s="41">
        <f t="shared" si="27"/>
        <v>244</v>
      </c>
      <c r="C255" s="52">
        <f t="shared" si="28"/>
        <v>318866.72900535783</v>
      </c>
      <c r="E255" s="54">
        <f t="shared" si="25"/>
        <v>-6443.0140148550854</v>
      </c>
      <c r="F255" s="54"/>
      <c r="G255" s="54">
        <f t="shared" si="26"/>
        <v>4848.6803698283002</v>
      </c>
      <c r="H255" s="54"/>
      <c r="I255" s="54">
        <f t="shared" si="29"/>
        <v>1594.3336450267852</v>
      </c>
      <c r="J255" s="56">
        <f t="shared" si="30"/>
        <v>0.24745152522575176</v>
      </c>
      <c r="K255" s="54">
        <f t="shared" si="31"/>
        <v>314018.04863552953</v>
      </c>
    </row>
    <row r="256" spans="1:11" x14ac:dyDescent="0.3">
      <c r="A256" s="54"/>
      <c r="B256" s="41">
        <f t="shared" si="27"/>
        <v>245</v>
      </c>
      <c r="C256" s="52">
        <f t="shared" si="28"/>
        <v>314018.04863552953</v>
      </c>
      <c r="E256" s="54">
        <f t="shared" si="25"/>
        <v>-6443.0140148550854</v>
      </c>
      <c r="F256" s="54"/>
      <c r="G256" s="54">
        <f t="shared" si="26"/>
        <v>4872.9237716774423</v>
      </c>
      <c r="H256" s="54"/>
      <c r="I256" s="54">
        <f t="shared" si="29"/>
        <v>1570.0902431776431</v>
      </c>
      <c r="J256" s="56">
        <f t="shared" si="30"/>
        <v>0.24368878285188039</v>
      </c>
      <c r="K256" s="54">
        <f t="shared" si="31"/>
        <v>309145.12486385211</v>
      </c>
    </row>
    <row r="257" spans="1:11" x14ac:dyDescent="0.3">
      <c r="A257" s="54"/>
      <c r="B257" s="41">
        <f t="shared" si="27"/>
        <v>246</v>
      </c>
      <c r="C257" s="52">
        <f t="shared" si="28"/>
        <v>309145.12486385211</v>
      </c>
      <c r="E257" s="54">
        <f t="shared" si="25"/>
        <v>-6443.0140148550854</v>
      </c>
      <c r="F257" s="54"/>
      <c r="G257" s="54">
        <f t="shared" si="26"/>
        <v>4897.2883905358294</v>
      </c>
      <c r="H257" s="54"/>
      <c r="I257" s="54">
        <f t="shared" si="29"/>
        <v>1545.725624319256</v>
      </c>
      <c r="J257" s="56">
        <f t="shared" si="30"/>
        <v>0.23990722676613982</v>
      </c>
      <c r="K257" s="54">
        <f t="shared" si="31"/>
        <v>304247.8364733163</v>
      </c>
    </row>
    <row r="258" spans="1:11" x14ac:dyDescent="0.3">
      <c r="A258" s="54"/>
      <c r="B258" s="41">
        <f t="shared" si="27"/>
        <v>247</v>
      </c>
      <c r="C258" s="52">
        <f t="shared" si="28"/>
        <v>304247.8364733163</v>
      </c>
      <c r="E258" s="54">
        <f t="shared" si="25"/>
        <v>-6443.0140148550854</v>
      </c>
      <c r="F258" s="54"/>
      <c r="G258" s="54">
        <f t="shared" si="26"/>
        <v>4921.7748324885088</v>
      </c>
      <c r="H258" s="54"/>
      <c r="I258" s="54">
        <f t="shared" si="29"/>
        <v>1521.2391823665766</v>
      </c>
      <c r="J258" s="56">
        <f t="shared" si="30"/>
        <v>0.23610676289997048</v>
      </c>
      <c r="K258" s="54">
        <f t="shared" si="31"/>
        <v>299326.0616408278</v>
      </c>
    </row>
    <row r="259" spans="1:11" x14ac:dyDescent="0.3">
      <c r="A259" s="54"/>
      <c r="B259" s="41">
        <f t="shared" si="27"/>
        <v>248</v>
      </c>
      <c r="C259" s="52">
        <f t="shared" si="28"/>
        <v>299326.0616408278</v>
      </c>
      <c r="E259" s="54">
        <f t="shared" si="25"/>
        <v>-6443.0140148550854</v>
      </c>
      <c r="F259" s="54"/>
      <c r="G259" s="54">
        <f t="shared" si="26"/>
        <v>4946.3837066509504</v>
      </c>
      <c r="H259" s="54"/>
      <c r="I259" s="54">
        <f t="shared" si="29"/>
        <v>1496.630308204135</v>
      </c>
      <c r="J259" s="56">
        <f t="shared" si="30"/>
        <v>0.23228729671447049</v>
      </c>
      <c r="K259" s="54">
        <f t="shared" si="31"/>
        <v>294379.67793417687</v>
      </c>
    </row>
    <row r="260" spans="1:11" x14ac:dyDescent="0.3">
      <c r="A260" s="54"/>
      <c r="B260" s="41">
        <f t="shared" si="27"/>
        <v>249</v>
      </c>
      <c r="C260" s="52">
        <f t="shared" si="28"/>
        <v>294379.67793417687</v>
      </c>
      <c r="E260" s="54">
        <f t="shared" si="25"/>
        <v>-6443.0140148550854</v>
      </c>
      <c r="F260" s="54"/>
      <c r="G260" s="54">
        <f t="shared" si="26"/>
        <v>4971.1156251842049</v>
      </c>
      <c r="H260" s="54"/>
      <c r="I260" s="54">
        <f t="shared" si="29"/>
        <v>1471.8983896708805</v>
      </c>
      <c r="J260" s="56">
        <f t="shared" si="30"/>
        <v>0.22844873319804287</v>
      </c>
      <c r="K260" s="54">
        <f t="shared" si="31"/>
        <v>289408.56230899267</v>
      </c>
    </row>
    <row r="261" spans="1:11" x14ac:dyDescent="0.3">
      <c r="A261" s="54"/>
      <c r="B261" s="41">
        <f t="shared" si="27"/>
        <v>250</v>
      </c>
      <c r="C261" s="52">
        <f t="shared" si="28"/>
        <v>289408.56230899267</v>
      </c>
      <c r="E261" s="54">
        <f t="shared" si="25"/>
        <v>-6443.0140148550854</v>
      </c>
      <c r="F261" s="54"/>
      <c r="G261" s="54">
        <f t="shared" si="26"/>
        <v>4995.9712033101268</v>
      </c>
      <c r="H261" s="54"/>
      <c r="I261" s="54">
        <f t="shared" si="29"/>
        <v>1447.0428115449586</v>
      </c>
      <c r="J261" s="56">
        <f t="shared" si="30"/>
        <v>0.22459097686403295</v>
      </c>
      <c r="K261" s="54">
        <f t="shared" si="31"/>
        <v>284412.59110568254</v>
      </c>
    </row>
    <row r="262" spans="1:11" x14ac:dyDescent="0.3">
      <c r="A262" s="54"/>
      <c r="B262" s="41">
        <f t="shared" si="27"/>
        <v>251</v>
      </c>
      <c r="C262" s="52">
        <f t="shared" si="28"/>
        <v>284412.59110568254</v>
      </c>
      <c r="E262" s="54">
        <f t="shared" si="25"/>
        <v>-6443.0140148550854</v>
      </c>
      <c r="F262" s="54"/>
      <c r="G262" s="54">
        <f t="shared" si="26"/>
        <v>5020.9510593266768</v>
      </c>
      <c r="H262" s="54"/>
      <c r="I262" s="54">
        <f t="shared" si="29"/>
        <v>1422.0629555284086</v>
      </c>
      <c r="J262" s="56">
        <f t="shared" si="30"/>
        <v>0.22071393174835321</v>
      </c>
      <c r="K262" s="54">
        <f t="shared" si="31"/>
        <v>279391.64004635584</v>
      </c>
    </row>
    <row r="263" spans="1:11" x14ac:dyDescent="0.3">
      <c r="A263" s="54"/>
      <c r="B263" s="41">
        <f t="shared" si="27"/>
        <v>252</v>
      </c>
      <c r="C263" s="52">
        <f t="shared" si="28"/>
        <v>279391.64004635584</v>
      </c>
      <c r="E263" s="54">
        <f t="shared" si="25"/>
        <v>-6443.0140148550854</v>
      </c>
      <c r="F263" s="54"/>
      <c r="G263" s="54">
        <f t="shared" si="26"/>
        <v>5046.0558146233116</v>
      </c>
      <c r="H263" s="54"/>
      <c r="I263" s="54">
        <f t="shared" si="29"/>
        <v>1396.9582002317738</v>
      </c>
      <c r="J263" s="56">
        <f t="shared" si="30"/>
        <v>0.21681750140709477</v>
      </c>
      <c r="K263" s="54">
        <f t="shared" si="31"/>
        <v>274345.58423173253</v>
      </c>
    </row>
    <row r="264" spans="1:11" x14ac:dyDescent="0.3">
      <c r="A264" s="54"/>
      <c r="B264" s="41">
        <f t="shared" si="27"/>
        <v>253</v>
      </c>
      <c r="C264" s="52">
        <f t="shared" si="28"/>
        <v>274345.58423173253</v>
      </c>
      <c r="E264" s="54">
        <f t="shared" si="25"/>
        <v>-6443.0140148550854</v>
      </c>
      <c r="F264" s="54"/>
      <c r="G264" s="54">
        <f t="shared" si="26"/>
        <v>5071.2860936964271</v>
      </c>
      <c r="H264" s="54"/>
      <c r="I264" s="54">
        <f t="shared" si="29"/>
        <v>1371.7279211586583</v>
      </c>
      <c r="J264" s="56">
        <f t="shared" si="30"/>
        <v>0.21290158891413041</v>
      </c>
      <c r="K264" s="54">
        <f t="shared" si="31"/>
        <v>269274.2981380361</v>
      </c>
    </row>
    <row r="265" spans="1:11" x14ac:dyDescent="0.3">
      <c r="A265" s="54"/>
      <c r="B265" s="41">
        <f t="shared" si="27"/>
        <v>254</v>
      </c>
      <c r="C265" s="52">
        <f t="shared" si="28"/>
        <v>269274.2981380361</v>
      </c>
      <c r="E265" s="54">
        <f t="shared" si="25"/>
        <v>-6443.0140148550854</v>
      </c>
      <c r="F265" s="54"/>
      <c r="G265" s="54">
        <f t="shared" si="26"/>
        <v>5096.6425241649094</v>
      </c>
      <c r="H265" s="54"/>
      <c r="I265" s="54">
        <f t="shared" si="29"/>
        <v>1346.371490690176</v>
      </c>
      <c r="J265" s="56">
        <f t="shared" si="30"/>
        <v>0.20896609685870102</v>
      </c>
      <c r="K265" s="54">
        <f t="shared" si="31"/>
        <v>264177.65561387117</v>
      </c>
    </row>
    <row r="266" spans="1:11" x14ac:dyDescent="0.3">
      <c r="A266" s="54"/>
      <c r="B266" s="41">
        <f t="shared" si="27"/>
        <v>255</v>
      </c>
      <c r="C266" s="52">
        <f t="shared" si="28"/>
        <v>264177.65561387117</v>
      </c>
      <c r="E266" s="54">
        <f t="shared" si="25"/>
        <v>-6443.0140148550854</v>
      </c>
      <c r="F266" s="54"/>
      <c r="G266" s="54">
        <f t="shared" si="26"/>
        <v>5122.1257367857343</v>
      </c>
      <c r="H266" s="54"/>
      <c r="I266" s="54">
        <f t="shared" si="29"/>
        <v>1320.8882780693511</v>
      </c>
      <c r="J266" s="56">
        <f t="shared" si="30"/>
        <v>0.2050109273429945</v>
      </c>
      <c r="K266" s="54">
        <f t="shared" si="31"/>
        <v>259055.52987708544</v>
      </c>
    </row>
    <row r="267" spans="1:11" x14ac:dyDescent="0.3">
      <c r="A267" s="54"/>
      <c r="B267" s="41">
        <f t="shared" si="27"/>
        <v>256</v>
      </c>
      <c r="C267" s="52">
        <f t="shared" si="28"/>
        <v>259055.52987708544</v>
      </c>
      <c r="E267" s="54">
        <f t="shared" si="25"/>
        <v>-6443.0140148550854</v>
      </c>
      <c r="F267" s="54"/>
      <c r="G267" s="54">
        <f t="shared" si="26"/>
        <v>5147.7363654696628</v>
      </c>
      <c r="H267" s="54"/>
      <c r="I267" s="54">
        <f t="shared" si="29"/>
        <v>1295.2776493854226</v>
      </c>
      <c r="J267" s="56">
        <f t="shared" si="30"/>
        <v>0.20103598197970948</v>
      </c>
      <c r="K267" s="54">
        <f t="shared" si="31"/>
        <v>253907.79351161578</v>
      </c>
    </row>
    <row r="268" spans="1:11" x14ac:dyDescent="0.3">
      <c r="A268" s="54"/>
      <c r="B268" s="41">
        <f t="shared" si="27"/>
        <v>257</v>
      </c>
      <c r="C268" s="52">
        <f t="shared" si="28"/>
        <v>253907.79351161578</v>
      </c>
      <c r="E268" s="54">
        <f t="shared" si="25"/>
        <v>-6443.0140148550854</v>
      </c>
      <c r="F268" s="54"/>
      <c r="G268" s="54">
        <f t="shared" si="26"/>
        <v>5173.4750472970109</v>
      </c>
      <c r="H268" s="54"/>
      <c r="I268" s="54">
        <f t="shared" si="29"/>
        <v>1269.5389675580745</v>
      </c>
      <c r="J268" s="56">
        <f t="shared" si="30"/>
        <v>0.19704116188960807</v>
      </c>
      <c r="K268" s="54">
        <f t="shared" si="31"/>
        <v>248734.31846431876</v>
      </c>
    </row>
    <row r="269" spans="1:11" x14ac:dyDescent="0.3">
      <c r="A269" s="54"/>
      <c r="B269" s="41">
        <f t="shared" si="27"/>
        <v>258</v>
      </c>
      <c r="C269" s="52">
        <f t="shared" si="28"/>
        <v>248734.31846431876</v>
      </c>
      <c r="E269" s="54">
        <f t="shared" ref="E269:E332" si="32">PMT($E$7,$G$5,$E$4)</f>
        <v>-6443.0140148550854</v>
      </c>
      <c r="F269" s="54"/>
      <c r="G269" s="54">
        <f t="shared" ref="G269:G332" si="33">IFERROR(-PPMT($E$7,B269,$G$5,$E$4),0)</f>
        <v>5199.3424225334957</v>
      </c>
      <c r="H269" s="54"/>
      <c r="I269" s="54">
        <f t="shared" si="29"/>
        <v>1243.6715923215897</v>
      </c>
      <c r="J269" s="56">
        <f t="shared" si="30"/>
        <v>0.19302636769905615</v>
      </c>
      <c r="K269" s="54">
        <f t="shared" si="31"/>
        <v>243534.97604178527</v>
      </c>
    </row>
    <row r="270" spans="1:11" x14ac:dyDescent="0.3">
      <c r="A270" s="54"/>
      <c r="B270" s="41">
        <f t="shared" ref="B270:B333" si="34">B269+1</f>
        <v>259</v>
      </c>
      <c r="C270" s="52">
        <f t="shared" si="28"/>
        <v>243534.97604178527</v>
      </c>
      <c r="E270" s="54">
        <f t="shared" si="32"/>
        <v>-6443.0140148550854</v>
      </c>
      <c r="F270" s="54"/>
      <c r="G270" s="54">
        <f t="shared" si="33"/>
        <v>5225.339134646164</v>
      </c>
      <c r="H270" s="54"/>
      <c r="I270" s="54">
        <f t="shared" si="29"/>
        <v>1217.6748802089214</v>
      </c>
      <c r="J270" s="56">
        <f t="shared" si="30"/>
        <v>0.18899149953755129</v>
      </c>
      <c r="K270" s="54">
        <f t="shared" si="31"/>
        <v>238309.63690713909</v>
      </c>
    </row>
    <row r="271" spans="1:11" x14ac:dyDescent="0.3">
      <c r="A271" s="54"/>
      <c r="B271" s="41">
        <f t="shared" si="34"/>
        <v>260</v>
      </c>
      <c r="C271" s="52">
        <f t="shared" si="28"/>
        <v>238309.63690713909</v>
      </c>
      <c r="E271" s="54">
        <f t="shared" si="32"/>
        <v>-6443.0140148550854</v>
      </c>
      <c r="F271" s="54"/>
      <c r="G271" s="54">
        <f t="shared" si="33"/>
        <v>5251.4658303193946</v>
      </c>
      <c r="H271" s="54"/>
      <c r="I271" s="54">
        <f t="shared" si="29"/>
        <v>1191.5481845356908</v>
      </c>
      <c r="J271" s="56">
        <f t="shared" si="30"/>
        <v>0.18493645703523909</v>
      </c>
      <c r="K271" s="54">
        <f t="shared" si="31"/>
        <v>233058.17107681971</v>
      </c>
    </row>
    <row r="272" spans="1:11" x14ac:dyDescent="0.3">
      <c r="A272" s="54"/>
      <c r="B272" s="41">
        <f t="shared" si="34"/>
        <v>261</v>
      </c>
      <c r="C272" s="52">
        <f t="shared" si="28"/>
        <v>233058.17107681971</v>
      </c>
      <c r="E272" s="54">
        <f t="shared" si="32"/>
        <v>-6443.0140148550854</v>
      </c>
      <c r="F272" s="54"/>
      <c r="G272" s="54">
        <f t="shared" si="33"/>
        <v>5277.723159470991</v>
      </c>
      <c r="H272" s="54"/>
      <c r="I272" s="54">
        <f t="shared" si="29"/>
        <v>1165.2908553840944</v>
      </c>
      <c r="J272" s="56">
        <f t="shared" si="30"/>
        <v>0.18086113932041537</v>
      </c>
      <c r="K272" s="54">
        <f t="shared" si="31"/>
        <v>227780.44791734871</v>
      </c>
    </row>
    <row r="273" spans="1:11" x14ac:dyDescent="0.3">
      <c r="A273" s="54"/>
      <c r="B273" s="41">
        <f t="shared" si="34"/>
        <v>262</v>
      </c>
      <c r="C273" s="52">
        <f t="shared" si="28"/>
        <v>227780.44791734871</v>
      </c>
      <c r="E273" s="54">
        <f t="shared" si="32"/>
        <v>-6443.0140148550854</v>
      </c>
      <c r="F273" s="54"/>
      <c r="G273" s="54">
        <f t="shared" si="33"/>
        <v>5304.1117752683467</v>
      </c>
      <c r="H273" s="54"/>
      <c r="I273" s="54">
        <f t="shared" si="29"/>
        <v>1138.9022395867387</v>
      </c>
      <c r="J273" s="56">
        <f t="shared" si="30"/>
        <v>0.17676544501701733</v>
      </c>
      <c r="K273" s="54">
        <f t="shared" si="31"/>
        <v>222476.33614208037</v>
      </c>
    </row>
    <row r="274" spans="1:11" x14ac:dyDescent="0.3">
      <c r="A274" s="54"/>
      <c r="B274" s="41">
        <f t="shared" si="34"/>
        <v>263</v>
      </c>
      <c r="C274" s="52">
        <f t="shared" si="28"/>
        <v>222476.33614208037</v>
      </c>
      <c r="E274" s="54">
        <f t="shared" si="32"/>
        <v>-6443.0140148550854</v>
      </c>
      <c r="F274" s="54"/>
      <c r="G274" s="54">
        <f t="shared" si="33"/>
        <v>5330.6323341446887</v>
      </c>
      <c r="H274" s="54"/>
      <c r="I274" s="54">
        <f t="shared" si="29"/>
        <v>1112.3816807103967</v>
      </c>
      <c r="J274" s="56">
        <f t="shared" si="30"/>
        <v>0.17264927224210239</v>
      </c>
      <c r="K274" s="54">
        <f t="shared" si="31"/>
        <v>217145.70380793567</v>
      </c>
    </row>
    <row r="275" spans="1:11" x14ac:dyDescent="0.3">
      <c r="A275" s="54"/>
      <c r="B275" s="41">
        <f t="shared" si="34"/>
        <v>264</v>
      </c>
      <c r="C275" s="52">
        <f t="shared" si="28"/>
        <v>217145.70380793567</v>
      </c>
      <c r="E275" s="54">
        <f t="shared" si="32"/>
        <v>-6443.0140148550854</v>
      </c>
      <c r="F275" s="54"/>
      <c r="G275" s="54">
        <f t="shared" si="33"/>
        <v>5357.2854958154121</v>
      </c>
      <c r="H275" s="54"/>
      <c r="I275" s="54">
        <f t="shared" si="29"/>
        <v>1085.7285190396733</v>
      </c>
      <c r="J275" s="56">
        <f t="shared" si="30"/>
        <v>0.1685125186033129</v>
      </c>
      <c r="K275" s="54">
        <f t="shared" si="31"/>
        <v>211788.41831212025</v>
      </c>
    </row>
    <row r="276" spans="1:11" x14ac:dyDescent="0.3">
      <c r="A276" s="54"/>
      <c r="B276" s="41">
        <f t="shared" si="34"/>
        <v>265</v>
      </c>
      <c r="C276" s="52">
        <f t="shared" si="28"/>
        <v>211788.41831212025</v>
      </c>
      <c r="E276" s="54">
        <f t="shared" si="32"/>
        <v>-6443.0140148550854</v>
      </c>
      <c r="F276" s="54"/>
      <c r="G276" s="54">
        <f t="shared" si="33"/>
        <v>5384.0719232944894</v>
      </c>
      <c r="H276" s="54"/>
      <c r="I276" s="54">
        <f t="shared" si="29"/>
        <v>1058.9420915605961</v>
      </c>
      <c r="J276" s="56">
        <f t="shared" si="30"/>
        <v>0.16435508119632944</v>
      </c>
      <c r="K276" s="54">
        <f t="shared" si="31"/>
        <v>206404.34638882577</v>
      </c>
    </row>
    <row r="277" spans="1:11" x14ac:dyDescent="0.3">
      <c r="A277" s="54"/>
      <c r="B277" s="41">
        <f t="shared" si="34"/>
        <v>266</v>
      </c>
      <c r="C277" s="52">
        <f t="shared" si="28"/>
        <v>206404.34638882577</v>
      </c>
      <c r="E277" s="54">
        <f t="shared" si="32"/>
        <v>-6443.0140148550854</v>
      </c>
      <c r="F277" s="54"/>
      <c r="G277" s="54">
        <f t="shared" si="33"/>
        <v>5410.9922829109619</v>
      </c>
      <c r="H277" s="54"/>
      <c r="I277" s="54">
        <f t="shared" si="29"/>
        <v>1032.0217319441235</v>
      </c>
      <c r="J277" s="56">
        <f t="shared" si="30"/>
        <v>0.16017685660231107</v>
      </c>
      <c r="K277" s="54">
        <f t="shared" si="31"/>
        <v>200993.3541059148</v>
      </c>
    </row>
    <row r="278" spans="1:11" x14ac:dyDescent="0.3">
      <c r="A278" s="54"/>
      <c r="B278" s="41">
        <f t="shared" si="34"/>
        <v>267</v>
      </c>
      <c r="C278" s="52">
        <f t="shared" si="28"/>
        <v>200993.3541059148</v>
      </c>
      <c r="E278" s="54">
        <f t="shared" si="32"/>
        <v>-6443.0140148550854</v>
      </c>
      <c r="F278" s="54"/>
      <c r="G278" s="54">
        <f t="shared" si="33"/>
        <v>5438.0472443255157</v>
      </c>
      <c r="H278" s="54"/>
      <c r="I278" s="54">
        <f t="shared" si="29"/>
        <v>1004.9667705295697</v>
      </c>
      <c r="J278" s="56">
        <f t="shared" si="30"/>
        <v>0.15597774088532276</v>
      </c>
      <c r="K278" s="54">
        <f t="shared" si="31"/>
        <v>195555.30686158928</v>
      </c>
    </row>
    <row r="279" spans="1:11" x14ac:dyDescent="0.3">
      <c r="A279" s="54"/>
      <c r="B279" s="41">
        <f t="shared" si="34"/>
        <v>268</v>
      </c>
      <c r="C279" s="52">
        <f t="shared" si="28"/>
        <v>195555.30686158928</v>
      </c>
      <c r="E279" s="54">
        <f t="shared" si="32"/>
        <v>-6443.0140148550854</v>
      </c>
      <c r="F279" s="54"/>
      <c r="G279" s="54">
        <f t="shared" si="33"/>
        <v>5465.2374805471427</v>
      </c>
      <c r="H279" s="54"/>
      <c r="I279" s="54">
        <f t="shared" si="29"/>
        <v>977.77653430794271</v>
      </c>
      <c r="J279" s="56">
        <f t="shared" si="30"/>
        <v>0.15175762958974948</v>
      </c>
      <c r="K279" s="54">
        <f t="shared" si="31"/>
        <v>190090.06938104215</v>
      </c>
    </row>
    <row r="280" spans="1:11" x14ac:dyDescent="0.3">
      <c r="A280" s="54"/>
      <c r="B280" s="41">
        <f t="shared" si="34"/>
        <v>269</v>
      </c>
      <c r="C280" s="52">
        <f t="shared" si="28"/>
        <v>190090.06938104215</v>
      </c>
      <c r="E280" s="54">
        <f t="shared" si="32"/>
        <v>-6443.0140148550854</v>
      </c>
      <c r="F280" s="54"/>
      <c r="G280" s="54">
        <f t="shared" si="33"/>
        <v>5492.5636679498793</v>
      </c>
      <c r="H280" s="54"/>
      <c r="I280" s="54">
        <f t="shared" si="29"/>
        <v>950.45034690520606</v>
      </c>
      <c r="J280" s="56">
        <f t="shared" si="30"/>
        <v>0.14751641773769808</v>
      </c>
      <c r="K280" s="54">
        <f t="shared" si="31"/>
        <v>184597.50571309228</v>
      </c>
    </row>
    <row r="281" spans="1:11" x14ac:dyDescent="0.3">
      <c r="A281" s="54"/>
      <c r="B281" s="41">
        <f t="shared" si="34"/>
        <v>270</v>
      </c>
      <c r="C281" s="52">
        <f t="shared" si="28"/>
        <v>184597.50571309228</v>
      </c>
      <c r="E281" s="54">
        <f t="shared" si="32"/>
        <v>-6443.0140148550854</v>
      </c>
      <c r="F281" s="54"/>
      <c r="G281" s="54">
        <f t="shared" si="33"/>
        <v>5520.0264862896283</v>
      </c>
      <c r="H281" s="54"/>
      <c r="I281" s="54">
        <f t="shared" si="29"/>
        <v>922.98752856545707</v>
      </c>
      <c r="J281" s="56">
        <f t="shared" si="30"/>
        <v>0.14325399982638665</v>
      </c>
      <c r="K281" s="54">
        <f t="shared" si="31"/>
        <v>179077.47922680265</v>
      </c>
    </row>
    <row r="282" spans="1:11" x14ac:dyDescent="0.3">
      <c r="A282" s="54"/>
      <c r="B282" s="41">
        <f t="shared" si="34"/>
        <v>271</v>
      </c>
      <c r="C282" s="52">
        <f t="shared" si="28"/>
        <v>179077.47922680265</v>
      </c>
      <c r="E282" s="54">
        <f t="shared" si="32"/>
        <v>-6443.0140148550854</v>
      </c>
      <c r="F282" s="54"/>
      <c r="G282" s="54">
        <f t="shared" si="33"/>
        <v>5547.6266187210767</v>
      </c>
      <c r="H282" s="54"/>
      <c r="I282" s="54">
        <f t="shared" si="29"/>
        <v>895.38739613400867</v>
      </c>
      <c r="J282" s="56">
        <f t="shared" si="30"/>
        <v>0.13897026982551852</v>
      </c>
      <c r="K282" s="54">
        <f t="shared" si="31"/>
        <v>173529.85260808156</v>
      </c>
    </row>
    <row r="283" spans="1:11" x14ac:dyDescent="0.3">
      <c r="A283" s="54"/>
      <c r="B283" s="41">
        <f t="shared" si="34"/>
        <v>272</v>
      </c>
      <c r="C283" s="52">
        <f t="shared" si="28"/>
        <v>173529.85260808156</v>
      </c>
      <c r="E283" s="54">
        <f t="shared" si="32"/>
        <v>-6443.0140148550854</v>
      </c>
      <c r="F283" s="54"/>
      <c r="G283" s="54">
        <f t="shared" si="33"/>
        <v>5575.3647518146818</v>
      </c>
      <c r="H283" s="54"/>
      <c r="I283" s="54">
        <f t="shared" si="29"/>
        <v>867.64926304040364</v>
      </c>
      <c r="J283" s="56">
        <f t="shared" si="30"/>
        <v>0.13466512117464619</v>
      </c>
      <c r="K283" s="54">
        <f t="shared" si="31"/>
        <v>167954.48785626687</v>
      </c>
    </row>
    <row r="284" spans="1:11" x14ac:dyDescent="0.3">
      <c r="A284" s="54"/>
      <c r="B284" s="41">
        <f t="shared" si="34"/>
        <v>273</v>
      </c>
      <c r="C284" s="52">
        <f t="shared" si="28"/>
        <v>167954.48785626687</v>
      </c>
      <c r="E284" s="54">
        <f t="shared" si="32"/>
        <v>-6443.0140148550854</v>
      </c>
      <c r="F284" s="54"/>
      <c r="G284" s="54">
        <f t="shared" si="33"/>
        <v>5603.2415755737566</v>
      </c>
      <c r="H284" s="54"/>
      <c r="I284" s="54">
        <f t="shared" si="29"/>
        <v>839.77243928132884</v>
      </c>
      <c r="J284" s="56">
        <f t="shared" si="30"/>
        <v>0.1303384467805192</v>
      </c>
      <c r="K284" s="54">
        <f t="shared" si="31"/>
        <v>162351.24628069313</v>
      </c>
    </row>
    <row r="285" spans="1:11" x14ac:dyDescent="0.3">
      <c r="A285" s="54"/>
      <c r="B285" s="41">
        <f t="shared" si="34"/>
        <v>274</v>
      </c>
      <c r="C285" s="52">
        <f t="shared" si="28"/>
        <v>162351.24628069313</v>
      </c>
      <c r="E285" s="54">
        <f t="shared" si="32"/>
        <v>-6443.0140148550854</v>
      </c>
      <c r="F285" s="54"/>
      <c r="G285" s="54">
        <f t="shared" si="33"/>
        <v>5631.2577834516242</v>
      </c>
      <c r="H285" s="54"/>
      <c r="I285" s="54">
        <f t="shared" si="29"/>
        <v>811.75623140346124</v>
      </c>
      <c r="J285" s="56">
        <f t="shared" si="30"/>
        <v>0.12599013901442196</v>
      </c>
      <c r="K285" s="54">
        <f t="shared" si="31"/>
        <v>156719.98849724152</v>
      </c>
    </row>
    <row r="286" spans="1:11" x14ac:dyDescent="0.3">
      <c r="A286" s="54"/>
      <c r="B286" s="41">
        <f t="shared" si="34"/>
        <v>275</v>
      </c>
      <c r="C286" s="52">
        <f t="shared" si="28"/>
        <v>156719.98849724152</v>
      </c>
      <c r="E286" s="54">
        <f t="shared" si="32"/>
        <v>-6443.0140148550854</v>
      </c>
      <c r="F286" s="54"/>
      <c r="G286" s="54">
        <f t="shared" si="33"/>
        <v>5659.4140723688824</v>
      </c>
      <c r="H286" s="54"/>
      <c r="I286" s="54">
        <f t="shared" si="29"/>
        <v>783.59994248620296</v>
      </c>
      <c r="J286" s="56">
        <f t="shared" si="30"/>
        <v>0.12162008970949406</v>
      </c>
      <c r="K286" s="54">
        <f t="shared" si="31"/>
        <v>151060.57442487264</v>
      </c>
    </row>
    <row r="287" spans="1:11" x14ac:dyDescent="0.3">
      <c r="A287" s="54"/>
      <c r="B287" s="41">
        <f t="shared" si="34"/>
        <v>276</v>
      </c>
      <c r="C287" s="52">
        <f t="shared" si="28"/>
        <v>151060.57442487264</v>
      </c>
      <c r="E287" s="54">
        <f t="shared" si="32"/>
        <v>-6443.0140148550854</v>
      </c>
      <c r="F287" s="54"/>
      <c r="G287" s="54">
        <f t="shared" si="33"/>
        <v>5687.7111427307273</v>
      </c>
      <c r="H287" s="54"/>
      <c r="I287" s="54">
        <f t="shared" si="29"/>
        <v>755.30287212435815</v>
      </c>
      <c r="J287" s="56">
        <f t="shared" si="30"/>
        <v>0.11722819015804146</v>
      </c>
      <c r="K287" s="54">
        <f t="shared" si="31"/>
        <v>145372.86328214192</v>
      </c>
    </row>
    <row r="288" spans="1:11" x14ac:dyDescent="0.3">
      <c r="A288" s="54"/>
      <c r="B288" s="41">
        <f t="shared" si="34"/>
        <v>277</v>
      </c>
      <c r="C288" s="52">
        <f t="shared" si="28"/>
        <v>145372.86328214192</v>
      </c>
      <c r="E288" s="54">
        <f t="shared" si="32"/>
        <v>-6443.0140148550854</v>
      </c>
      <c r="F288" s="54"/>
      <c r="G288" s="54">
        <f t="shared" si="33"/>
        <v>5716.1496984443802</v>
      </c>
      <c r="H288" s="54"/>
      <c r="I288" s="54">
        <f t="shared" si="29"/>
        <v>726.86431641070521</v>
      </c>
      <c r="J288" s="56">
        <f t="shared" si="30"/>
        <v>0.11281433110883178</v>
      </c>
      <c r="K288" s="54">
        <f t="shared" si="31"/>
        <v>139656.71358369754</v>
      </c>
    </row>
    <row r="289" spans="1:11" x14ac:dyDescent="0.3">
      <c r="A289" s="54"/>
      <c r="B289" s="41">
        <f t="shared" si="34"/>
        <v>278</v>
      </c>
      <c r="C289" s="52">
        <f t="shared" ref="C289:C352" si="35">IF(B289&gt;$G$5,0,K288)</f>
        <v>139656.71358369754</v>
      </c>
      <c r="E289" s="54">
        <f t="shared" si="32"/>
        <v>-6443.0140148550854</v>
      </c>
      <c r="F289" s="54"/>
      <c r="G289" s="54">
        <f t="shared" si="33"/>
        <v>5744.7304469366027</v>
      </c>
      <c r="H289" s="54"/>
      <c r="I289" s="54">
        <f t="shared" ref="I289:I352" si="36">-E289-G289</f>
        <v>698.28356791848273</v>
      </c>
      <c r="J289" s="56">
        <f t="shared" ref="J289:J352" si="37">IFERROR(-I289/E289,"NA")</f>
        <v>0.10837840276437585</v>
      </c>
      <c r="K289" s="54">
        <f t="shared" ref="K289:K352" si="38">C289-G289</f>
        <v>133911.98313676094</v>
      </c>
    </row>
    <row r="290" spans="1:11" x14ac:dyDescent="0.3">
      <c r="A290" s="54"/>
      <c r="B290" s="41">
        <f t="shared" si="34"/>
        <v>279</v>
      </c>
      <c r="C290" s="52">
        <f t="shared" si="35"/>
        <v>133911.98313676094</v>
      </c>
      <c r="E290" s="54">
        <f t="shared" si="32"/>
        <v>-6443.0140148550854</v>
      </c>
      <c r="F290" s="54"/>
      <c r="G290" s="54">
        <f t="shared" si="33"/>
        <v>5773.4540991712847</v>
      </c>
      <c r="H290" s="54"/>
      <c r="I290" s="54">
        <f t="shared" si="36"/>
        <v>669.55991568380068</v>
      </c>
      <c r="J290" s="56">
        <f t="shared" si="37"/>
        <v>0.10392029477819788</v>
      </c>
      <c r="K290" s="54">
        <f t="shared" si="38"/>
        <v>128138.52903758966</v>
      </c>
    </row>
    <row r="291" spans="1:11" x14ac:dyDescent="0.3">
      <c r="A291" s="54"/>
      <c r="B291" s="41">
        <f t="shared" si="34"/>
        <v>280</v>
      </c>
      <c r="C291" s="52">
        <f t="shared" si="35"/>
        <v>128138.52903758966</v>
      </c>
      <c r="E291" s="54">
        <f t="shared" si="32"/>
        <v>-6443.0140148550854</v>
      </c>
      <c r="F291" s="54"/>
      <c r="G291" s="54">
        <f t="shared" si="33"/>
        <v>5802.3213696671419</v>
      </c>
      <c r="H291" s="54"/>
      <c r="I291" s="54">
        <f t="shared" si="36"/>
        <v>640.69264518794353</v>
      </c>
      <c r="J291" s="56">
        <f t="shared" si="37"/>
        <v>9.9439896252088752E-2</v>
      </c>
      <c r="K291" s="54">
        <f t="shared" si="38"/>
        <v>122336.20766792251</v>
      </c>
    </row>
    <row r="292" spans="1:11" x14ac:dyDescent="0.3">
      <c r="A292" s="54"/>
      <c r="B292" s="41">
        <f t="shared" si="34"/>
        <v>281</v>
      </c>
      <c r="C292" s="52">
        <f t="shared" si="35"/>
        <v>122336.20766792251</v>
      </c>
      <c r="E292" s="54">
        <f t="shared" si="32"/>
        <v>-6443.0140148550854</v>
      </c>
      <c r="F292" s="54"/>
      <c r="G292" s="54">
        <f t="shared" si="33"/>
        <v>5831.3329765154785</v>
      </c>
      <c r="H292" s="54"/>
      <c r="I292" s="54">
        <f t="shared" si="36"/>
        <v>611.68103833960686</v>
      </c>
      <c r="J292" s="56">
        <f t="shared" si="37"/>
        <v>9.4937095733349047E-2</v>
      </c>
      <c r="K292" s="54">
        <f t="shared" si="38"/>
        <v>116504.87469140704</v>
      </c>
    </row>
    <row r="293" spans="1:11" x14ac:dyDescent="0.3">
      <c r="A293" s="54"/>
      <c r="B293" s="41">
        <f t="shared" si="34"/>
        <v>282</v>
      </c>
      <c r="C293" s="52">
        <f t="shared" si="35"/>
        <v>116504.87469140704</v>
      </c>
      <c r="E293" s="54">
        <f t="shared" si="32"/>
        <v>-6443.0140148550854</v>
      </c>
      <c r="F293" s="54"/>
      <c r="G293" s="54">
        <f t="shared" si="33"/>
        <v>5860.489641398055</v>
      </c>
      <c r="H293" s="54"/>
      <c r="I293" s="54">
        <f t="shared" si="36"/>
        <v>582.52437345703038</v>
      </c>
      <c r="J293" s="56">
        <f t="shared" si="37"/>
        <v>9.0411781212015943E-2</v>
      </c>
      <c r="K293" s="54">
        <f t="shared" si="38"/>
        <v>110644.38505000898</v>
      </c>
    </row>
    <row r="294" spans="1:11" x14ac:dyDescent="0.3">
      <c r="A294" s="54"/>
      <c r="B294" s="41">
        <f t="shared" si="34"/>
        <v>283</v>
      </c>
      <c r="C294" s="52">
        <f t="shared" si="35"/>
        <v>110644.38505000898</v>
      </c>
      <c r="E294" s="54">
        <f t="shared" si="32"/>
        <v>-6443.0140148550854</v>
      </c>
      <c r="F294" s="54"/>
      <c r="G294" s="54">
        <f t="shared" si="33"/>
        <v>5889.7920896050455</v>
      </c>
      <c r="H294" s="54"/>
      <c r="I294" s="54">
        <f t="shared" si="36"/>
        <v>553.22192525003993</v>
      </c>
      <c r="J294" s="56">
        <f t="shared" si="37"/>
        <v>8.586384011807599E-2</v>
      </c>
      <c r="K294" s="54">
        <f t="shared" si="38"/>
        <v>104754.59296040393</v>
      </c>
    </row>
    <row r="295" spans="1:11" x14ac:dyDescent="0.3">
      <c r="A295" s="54"/>
      <c r="B295" s="41">
        <f t="shared" si="34"/>
        <v>284</v>
      </c>
      <c r="C295" s="52">
        <f t="shared" si="35"/>
        <v>104754.59296040393</v>
      </c>
      <c r="E295" s="54">
        <f t="shared" si="32"/>
        <v>-6443.0140148550854</v>
      </c>
      <c r="F295" s="54"/>
      <c r="G295" s="54">
        <f t="shared" si="33"/>
        <v>5919.2410500530705</v>
      </c>
      <c r="H295" s="54"/>
      <c r="I295" s="54">
        <f t="shared" si="36"/>
        <v>523.77296480201494</v>
      </c>
      <c r="J295" s="56">
        <f t="shared" si="37"/>
        <v>8.1293159318666403E-2</v>
      </c>
      <c r="K295" s="54">
        <f t="shared" si="38"/>
        <v>98835.351910350859</v>
      </c>
    </row>
    <row r="296" spans="1:11" x14ac:dyDescent="0.3">
      <c r="A296" s="54"/>
      <c r="B296" s="41">
        <f t="shared" si="34"/>
        <v>285</v>
      </c>
      <c r="C296" s="52">
        <f t="shared" si="35"/>
        <v>98835.351910350859</v>
      </c>
      <c r="E296" s="54">
        <f t="shared" si="32"/>
        <v>-6443.0140148550854</v>
      </c>
      <c r="F296" s="54"/>
      <c r="G296" s="54">
        <f t="shared" si="33"/>
        <v>5948.837255303336</v>
      </c>
      <c r="H296" s="54"/>
      <c r="I296" s="54">
        <f t="shared" si="36"/>
        <v>494.17675955174946</v>
      </c>
      <c r="J296" s="56">
        <f t="shared" si="37"/>
        <v>7.6699625115259712E-2</v>
      </c>
      <c r="K296" s="54">
        <f t="shared" si="38"/>
        <v>92886.514655047518</v>
      </c>
    </row>
    <row r="297" spans="1:11" x14ac:dyDescent="0.3">
      <c r="A297" s="54"/>
      <c r="B297" s="41">
        <f t="shared" si="34"/>
        <v>286</v>
      </c>
      <c r="C297" s="52">
        <f t="shared" si="35"/>
        <v>92886.514655047518</v>
      </c>
      <c r="E297" s="54">
        <f t="shared" si="32"/>
        <v>-6443.0140148550854</v>
      </c>
      <c r="F297" s="54"/>
      <c r="G297" s="54">
        <f t="shared" si="33"/>
        <v>5978.5814415798523</v>
      </c>
      <c r="H297" s="54"/>
      <c r="I297" s="54">
        <f t="shared" si="36"/>
        <v>464.43257327523315</v>
      </c>
      <c r="J297" s="56">
        <f t="shared" si="37"/>
        <v>7.2083123240836072E-2</v>
      </c>
      <c r="K297" s="54">
        <f t="shared" si="38"/>
        <v>86907.933213467666</v>
      </c>
    </row>
    <row r="298" spans="1:11" x14ac:dyDescent="0.3">
      <c r="A298" s="54"/>
      <c r="B298" s="41">
        <f t="shared" si="34"/>
        <v>287</v>
      </c>
      <c r="C298" s="52">
        <f t="shared" si="35"/>
        <v>86907.933213467666</v>
      </c>
      <c r="E298" s="54">
        <f t="shared" si="32"/>
        <v>-6443.0140148550854</v>
      </c>
      <c r="F298" s="54"/>
      <c r="G298" s="54">
        <f t="shared" si="33"/>
        <v>6008.4743487877513</v>
      </c>
      <c r="H298" s="54"/>
      <c r="I298" s="54">
        <f t="shared" si="36"/>
        <v>434.53966606733411</v>
      </c>
      <c r="J298" s="56">
        <f t="shared" si="37"/>
        <v>6.7443538857040283E-2</v>
      </c>
      <c r="K298" s="54">
        <f t="shared" si="38"/>
        <v>80899.458864679909</v>
      </c>
    </row>
    <row r="299" spans="1:11" x14ac:dyDescent="0.3">
      <c r="A299" s="54"/>
      <c r="B299" s="41">
        <f t="shared" si="34"/>
        <v>288</v>
      </c>
      <c r="C299" s="52">
        <f t="shared" si="35"/>
        <v>80899.458864679909</v>
      </c>
      <c r="E299" s="54">
        <f t="shared" si="32"/>
        <v>-6443.0140148550854</v>
      </c>
      <c r="F299" s="54"/>
      <c r="G299" s="54">
        <f t="shared" si="33"/>
        <v>6038.5167205316902</v>
      </c>
      <c r="H299" s="54"/>
      <c r="I299" s="54">
        <f t="shared" si="36"/>
        <v>404.49729432339518</v>
      </c>
      <c r="J299" s="56">
        <f t="shared" si="37"/>
        <v>6.2780756551325465E-2</v>
      </c>
      <c r="K299" s="54">
        <f t="shared" si="38"/>
        <v>74860.942144148226</v>
      </c>
    </row>
    <row r="300" spans="1:11" x14ac:dyDescent="0.3">
      <c r="A300" s="54"/>
      <c r="B300" s="41">
        <f t="shared" si="34"/>
        <v>289</v>
      </c>
      <c r="C300" s="52">
        <f t="shared" si="35"/>
        <v>74860.942144148226</v>
      </c>
      <c r="E300" s="54">
        <f t="shared" si="32"/>
        <v>-6443.0140148550854</v>
      </c>
      <c r="F300" s="54"/>
      <c r="G300" s="54">
        <f t="shared" si="33"/>
        <v>6068.7093041343487</v>
      </c>
      <c r="H300" s="54"/>
      <c r="I300" s="54">
        <f t="shared" si="36"/>
        <v>374.30471072073669</v>
      </c>
      <c r="J300" s="56">
        <f t="shared" si="37"/>
        <v>5.8094660334082088E-2</v>
      </c>
      <c r="K300" s="54">
        <f t="shared" si="38"/>
        <v>68792.232840013879</v>
      </c>
    </row>
    <row r="301" spans="1:11" x14ac:dyDescent="0.3">
      <c r="A301" s="54"/>
      <c r="B301" s="41">
        <f t="shared" si="34"/>
        <v>290</v>
      </c>
      <c r="C301" s="52">
        <f t="shared" si="35"/>
        <v>68792.232840013879</v>
      </c>
      <c r="E301" s="54">
        <f t="shared" si="32"/>
        <v>-6443.0140148550854</v>
      </c>
      <c r="F301" s="54"/>
      <c r="G301" s="54">
        <f t="shared" si="33"/>
        <v>6099.0528506550208</v>
      </c>
      <c r="H301" s="54"/>
      <c r="I301" s="54">
        <f t="shared" si="36"/>
        <v>343.96116420006456</v>
      </c>
      <c r="J301" s="56">
        <f t="shared" si="37"/>
        <v>5.3385133635752438E-2</v>
      </c>
      <c r="K301" s="54">
        <f t="shared" si="38"/>
        <v>62693.179989358861</v>
      </c>
    </row>
    <row r="302" spans="1:11" x14ac:dyDescent="0.3">
      <c r="A302" s="54"/>
      <c r="B302" s="41">
        <f t="shared" si="34"/>
        <v>291</v>
      </c>
      <c r="C302" s="52">
        <f t="shared" si="35"/>
        <v>62693.179989358861</v>
      </c>
      <c r="E302" s="54">
        <f t="shared" si="32"/>
        <v>-6443.0140148550854</v>
      </c>
      <c r="F302" s="54"/>
      <c r="G302" s="54">
        <f t="shared" si="33"/>
        <v>6129.5481149082962</v>
      </c>
      <c r="H302" s="54"/>
      <c r="I302" s="54">
        <f t="shared" si="36"/>
        <v>313.46589994678925</v>
      </c>
      <c r="J302" s="56">
        <f t="shared" si="37"/>
        <v>4.8652059303931162E-2</v>
      </c>
      <c r="K302" s="54">
        <f t="shared" si="38"/>
        <v>56563.631874450562</v>
      </c>
    </row>
    <row r="303" spans="1:11" x14ac:dyDescent="0.3">
      <c r="A303" s="54"/>
      <c r="B303" s="41">
        <f t="shared" si="34"/>
        <v>292</v>
      </c>
      <c r="C303" s="52">
        <f t="shared" si="35"/>
        <v>56563.631874450562</v>
      </c>
      <c r="E303" s="54">
        <f t="shared" si="32"/>
        <v>-6443.0140148550854</v>
      </c>
      <c r="F303" s="54"/>
      <c r="G303" s="54">
        <f t="shared" si="33"/>
        <v>6160.1958554828379</v>
      </c>
      <c r="H303" s="54"/>
      <c r="I303" s="54">
        <f t="shared" si="36"/>
        <v>282.81815937224746</v>
      </c>
      <c r="J303" s="56">
        <f t="shared" si="37"/>
        <v>4.3895319600450775E-2</v>
      </c>
      <c r="K303" s="54">
        <f t="shared" si="38"/>
        <v>50403.436018967725</v>
      </c>
    </row>
    <row r="304" spans="1:11" x14ac:dyDescent="0.3">
      <c r="A304" s="54"/>
      <c r="B304" s="41">
        <f t="shared" si="34"/>
        <v>293</v>
      </c>
      <c r="C304" s="52">
        <f t="shared" si="35"/>
        <v>50403.436018967725</v>
      </c>
      <c r="E304" s="54">
        <f t="shared" si="32"/>
        <v>-6443.0140148550854</v>
      </c>
      <c r="F304" s="54"/>
      <c r="G304" s="54">
        <f t="shared" si="33"/>
        <v>6190.9968347602517</v>
      </c>
      <c r="H304" s="54"/>
      <c r="I304" s="54">
        <f t="shared" si="36"/>
        <v>252.01718009483375</v>
      </c>
      <c r="J304" s="56">
        <f t="shared" si="37"/>
        <v>3.9114796198453101E-2</v>
      </c>
      <c r="K304" s="54">
        <f t="shared" si="38"/>
        <v>44212.439184207469</v>
      </c>
    </row>
    <row r="305" spans="1:11" x14ac:dyDescent="0.3">
      <c r="A305" s="54"/>
      <c r="B305" s="41">
        <f t="shared" si="34"/>
        <v>294</v>
      </c>
      <c r="C305" s="52">
        <f t="shared" si="35"/>
        <v>44212.439184207469</v>
      </c>
      <c r="E305" s="54">
        <f t="shared" si="32"/>
        <v>-6443.0140148550854</v>
      </c>
      <c r="F305" s="54"/>
      <c r="G305" s="54">
        <f t="shared" si="33"/>
        <v>6221.9518189340524</v>
      </c>
      <c r="H305" s="54"/>
      <c r="I305" s="54">
        <f t="shared" si="36"/>
        <v>221.06219592103298</v>
      </c>
      <c r="J305" s="56">
        <f t="shared" si="37"/>
        <v>3.4310370179445444E-2</v>
      </c>
      <c r="K305" s="54">
        <f t="shared" si="38"/>
        <v>37990.487365273417</v>
      </c>
    </row>
    <row r="306" spans="1:11" x14ac:dyDescent="0.3">
      <c r="A306" s="54"/>
      <c r="B306" s="41">
        <f t="shared" si="34"/>
        <v>295</v>
      </c>
      <c r="C306" s="52">
        <f t="shared" si="35"/>
        <v>37990.487365273417</v>
      </c>
      <c r="E306" s="54">
        <f t="shared" si="32"/>
        <v>-6443.0140148550854</v>
      </c>
      <c r="F306" s="54"/>
      <c r="G306" s="54">
        <f t="shared" si="33"/>
        <v>6253.0615780287235</v>
      </c>
      <c r="H306" s="54"/>
      <c r="I306" s="54">
        <f t="shared" si="36"/>
        <v>189.95243682636192</v>
      </c>
      <c r="J306" s="56">
        <f t="shared" si="37"/>
        <v>2.9481922030342545E-2</v>
      </c>
      <c r="K306" s="54">
        <f t="shared" si="38"/>
        <v>31737.425787244694</v>
      </c>
    </row>
    <row r="307" spans="1:11" x14ac:dyDescent="0.3">
      <c r="A307" s="54"/>
      <c r="B307" s="41">
        <f t="shared" si="34"/>
        <v>296</v>
      </c>
      <c r="C307" s="52">
        <f t="shared" si="35"/>
        <v>31737.425787244694</v>
      </c>
      <c r="E307" s="54">
        <f t="shared" si="32"/>
        <v>-6443.0140148550854</v>
      </c>
      <c r="F307" s="54"/>
      <c r="G307" s="54">
        <f t="shared" si="33"/>
        <v>6284.3268859188665</v>
      </c>
      <c r="H307" s="54"/>
      <c r="I307" s="54">
        <f t="shared" si="36"/>
        <v>158.68712893621887</v>
      </c>
      <c r="J307" s="56">
        <f t="shared" si="37"/>
        <v>2.4629331640494346E-2</v>
      </c>
      <c r="K307" s="54">
        <f t="shared" si="38"/>
        <v>25453.09890132583</v>
      </c>
    </row>
    <row r="308" spans="1:11" x14ac:dyDescent="0.3">
      <c r="A308" s="54"/>
      <c r="B308" s="41">
        <f t="shared" si="34"/>
        <v>297</v>
      </c>
      <c r="C308" s="52">
        <f t="shared" si="35"/>
        <v>25453.09890132583</v>
      </c>
      <c r="E308" s="54">
        <f t="shared" si="32"/>
        <v>-6443.0140148550854</v>
      </c>
      <c r="F308" s="54"/>
      <c r="G308" s="54">
        <f t="shared" si="33"/>
        <v>6315.7485203484612</v>
      </c>
      <c r="H308" s="54"/>
      <c r="I308" s="54">
        <f t="shared" si="36"/>
        <v>127.26549450662424</v>
      </c>
      <c r="J308" s="56">
        <f t="shared" si="37"/>
        <v>1.9752478298696773E-2</v>
      </c>
      <c r="K308" s="54">
        <f t="shared" si="38"/>
        <v>19137.350380977368</v>
      </c>
    </row>
    <row r="309" spans="1:11" x14ac:dyDescent="0.3">
      <c r="A309" s="54"/>
      <c r="B309" s="41">
        <f t="shared" si="34"/>
        <v>298</v>
      </c>
      <c r="C309" s="52">
        <f t="shared" si="35"/>
        <v>19137.350380977368</v>
      </c>
      <c r="E309" s="54">
        <f t="shared" si="32"/>
        <v>-6443.0140148550854</v>
      </c>
      <c r="F309" s="54"/>
      <c r="G309" s="54">
        <f t="shared" si="33"/>
        <v>6347.3272629502035</v>
      </c>
      <c r="H309" s="54"/>
      <c r="I309" s="54">
        <f t="shared" si="36"/>
        <v>95.68675190488193</v>
      </c>
      <c r="J309" s="56">
        <f t="shared" si="37"/>
        <v>1.4851240690190256E-2</v>
      </c>
      <c r="K309" s="54">
        <f t="shared" si="38"/>
        <v>12790.023118027166</v>
      </c>
    </row>
    <row r="310" spans="1:11" x14ac:dyDescent="0.3">
      <c r="A310" s="54"/>
      <c r="B310" s="41">
        <f t="shared" si="34"/>
        <v>299</v>
      </c>
      <c r="C310" s="52">
        <f t="shared" si="35"/>
        <v>12790.023118027166</v>
      </c>
      <c r="E310" s="54">
        <f t="shared" si="32"/>
        <v>-6443.0140148550854</v>
      </c>
      <c r="F310" s="54"/>
      <c r="G310" s="54">
        <f t="shared" si="33"/>
        <v>6379.0638992649547</v>
      </c>
      <c r="H310" s="54"/>
      <c r="I310" s="54">
        <f t="shared" si="36"/>
        <v>63.950115590130736</v>
      </c>
      <c r="J310" s="56">
        <f t="shared" si="37"/>
        <v>9.9254968936411791E-3</v>
      </c>
      <c r="K310" s="54">
        <f t="shared" si="38"/>
        <v>6410.9592187622111</v>
      </c>
    </row>
    <row r="311" spans="1:11" x14ac:dyDescent="0.3">
      <c r="A311" s="54"/>
      <c r="B311" s="41">
        <f t="shared" si="34"/>
        <v>300</v>
      </c>
      <c r="C311" s="52">
        <f t="shared" si="35"/>
        <v>6410.9592187622111</v>
      </c>
      <c r="E311" s="54">
        <f t="shared" si="32"/>
        <v>-6443.0140148550854</v>
      </c>
      <c r="F311" s="54"/>
      <c r="G311" s="54">
        <f t="shared" si="33"/>
        <v>6410.9592187612798</v>
      </c>
      <c r="H311" s="54"/>
      <c r="I311" s="54">
        <f t="shared" si="36"/>
        <v>32.054796093805635</v>
      </c>
      <c r="J311" s="56">
        <f t="shared" si="37"/>
        <v>4.9751243781093347E-3</v>
      </c>
      <c r="K311" s="54">
        <f t="shared" si="38"/>
        <v>9.3132257461547852E-10</v>
      </c>
    </row>
    <row r="312" spans="1:11" x14ac:dyDescent="0.3">
      <c r="A312" s="54"/>
      <c r="B312" s="41">
        <f t="shared" si="34"/>
        <v>301</v>
      </c>
      <c r="C312" s="52">
        <f t="shared" si="35"/>
        <v>0</v>
      </c>
      <c r="E312" s="54">
        <f t="shared" si="32"/>
        <v>-6443.0140148550854</v>
      </c>
      <c r="F312" s="54"/>
      <c r="G312" s="54">
        <f t="shared" si="33"/>
        <v>0</v>
      </c>
      <c r="H312" s="54"/>
      <c r="I312" s="54">
        <f t="shared" si="36"/>
        <v>6443.0140148550854</v>
      </c>
      <c r="J312" s="56">
        <f t="shared" si="37"/>
        <v>1</v>
      </c>
      <c r="K312" s="54">
        <f t="shared" si="38"/>
        <v>0</v>
      </c>
    </row>
    <row r="313" spans="1:11" x14ac:dyDescent="0.3">
      <c r="A313" s="54"/>
      <c r="B313" s="41">
        <f t="shared" si="34"/>
        <v>302</v>
      </c>
      <c r="C313" s="52">
        <f t="shared" si="35"/>
        <v>0</v>
      </c>
      <c r="E313" s="54">
        <f t="shared" si="32"/>
        <v>-6443.0140148550854</v>
      </c>
      <c r="F313" s="54"/>
      <c r="G313" s="54">
        <f t="shared" si="33"/>
        <v>0</v>
      </c>
      <c r="H313" s="54"/>
      <c r="I313" s="54">
        <f t="shared" si="36"/>
        <v>6443.0140148550854</v>
      </c>
      <c r="J313" s="56">
        <f t="shared" si="37"/>
        <v>1</v>
      </c>
      <c r="K313" s="54">
        <f t="shared" si="38"/>
        <v>0</v>
      </c>
    </row>
    <row r="314" spans="1:11" x14ac:dyDescent="0.3">
      <c r="A314" s="54"/>
      <c r="B314" s="41">
        <f t="shared" si="34"/>
        <v>303</v>
      </c>
      <c r="C314" s="52">
        <f t="shared" si="35"/>
        <v>0</v>
      </c>
      <c r="E314" s="54">
        <f t="shared" si="32"/>
        <v>-6443.0140148550854</v>
      </c>
      <c r="F314" s="54"/>
      <c r="G314" s="54">
        <f t="shared" si="33"/>
        <v>0</v>
      </c>
      <c r="H314" s="54"/>
      <c r="I314" s="54">
        <f t="shared" si="36"/>
        <v>6443.0140148550854</v>
      </c>
      <c r="J314" s="56">
        <f t="shared" si="37"/>
        <v>1</v>
      </c>
      <c r="K314" s="54">
        <f t="shared" si="38"/>
        <v>0</v>
      </c>
    </row>
    <row r="315" spans="1:11" x14ac:dyDescent="0.3">
      <c r="A315" s="54"/>
      <c r="B315" s="41">
        <f t="shared" si="34"/>
        <v>304</v>
      </c>
      <c r="C315" s="52">
        <f t="shared" si="35"/>
        <v>0</v>
      </c>
      <c r="E315" s="54">
        <f t="shared" si="32"/>
        <v>-6443.0140148550854</v>
      </c>
      <c r="F315" s="54"/>
      <c r="G315" s="54">
        <f t="shared" si="33"/>
        <v>0</v>
      </c>
      <c r="H315" s="54"/>
      <c r="I315" s="54">
        <f t="shared" si="36"/>
        <v>6443.0140148550854</v>
      </c>
      <c r="J315" s="56">
        <f t="shared" si="37"/>
        <v>1</v>
      </c>
      <c r="K315" s="54">
        <f t="shared" si="38"/>
        <v>0</v>
      </c>
    </row>
    <row r="316" spans="1:11" x14ac:dyDescent="0.3">
      <c r="A316" s="54"/>
      <c r="B316" s="41">
        <f t="shared" si="34"/>
        <v>305</v>
      </c>
      <c r="C316" s="52">
        <f t="shared" si="35"/>
        <v>0</v>
      </c>
      <c r="E316" s="54">
        <f t="shared" si="32"/>
        <v>-6443.0140148550854</v>
      </c>
      <c r="F316" s="54"/>
      <c r="G316" s="54">
        <f t="shared" si="33"/>
        <v>0</v>
      </c>
      <c r="H316" s="54"/>
      <c r="I316" s="54">
        <f t="shared" si="36"/>
        <v>6443.0140148550854</v>
      </c>
      <c r="J316" s="56">
        <f t="shared" si="37"/>
        <v>1</v>
      </c>
      <c r="K316" s="54">
        <f t="shared" si="38"/>
        <v>0</v>
      </c>
    </row>
    <row r="317" spans="1:11" x14ac:dyDescent="0.3">
      <c r="A317" s="54"/>
      <c r="B317" s="41">
        <f t="shared" si="34"/>
        <v>306</v>
      </c>
      <c r="C317" s="52">
        <f t="shared" si="35"/>
        <v>0</v>
      </c>
      <c r="E317" s="54">
        <f t="shared" si="32"/>
        <v>-6443.0140148550854</v>
      </c>
      <c r="F317" s="54"/>
      <c r="G317" s="54">
        <f t="shared" si="33"/>
        <v>0</v>
      </c>
      <c r="H317" s="54"/>
      <c r="I317" s="54">
        <f t="shared" si="36"/>
        <v>6443.0140148550854</v>
      </c>
      <c r="J317" s="56">
        <f t="shared" si="37"/>
        <v>1</v>
      </c>
      <c r="K317" s="54">
        <f t="shared" si="38"/>
        <v>0</v>
      </c>
    </row>
    <row r="318" spans="1:11" x14ac:dyDescent="0.3">
      <c r="A318" s="54"/>
      <c r="B318" s="41">
        <f t="shared" si="34"/>
        <v>307</v>
      </c>
      <c r="C318" s="52">
        <f t="shared" si="35"/>
        <v>0</v>
      </c>
      <c r="E318" s="54">
        <f t="shared" si="32"/>
        <v>-6443.0140148550854</v>
      </c>
      <c r="F318" s="54"/>
      <c r="G318" s="54">
        <f t="shared" si="33"/>
        <v>0</v>
      </c>
      <c r="H318" s="54"/>
      <c r="I318" s="54">
        <f t="shared" si="36"/>
        <v>6443.0140148550854</v>
      </c>
      <c r="J318" s="56">
        <f t="shared" si="37"/>
        <v>1</v>
      </c>
      <c r="K318" s="54">
        <f t="shared" si="38"/>
        <v>0</v>
      </c>
    </row>
    <row r="319" spans="1:11" x14ac:dyDescent="0.3">
      <c r="A319" s="54"/>
      <c r="B319" s="41">
        <f t="shared" si="34"/>
        <v>308</v>
      </c>
      <c r="C319" s="52">
        <f t="shared" si="35"/>
        <v>0</v>
      </c>
      <c r="E319" s="54">
        <f t="shared" si="32"/>
        <v>-6443.0140148550854</v>
      </c>
      <c r="F319" s="54"/>
      <c r="G319" s="54">
        <f t="shared" si="33"/>
        <v>0</v>
      </c>
      <c r="H319" s="54"/>
      <c r="I319" s="54">
        <f t="shared" si="36"/>
        <v>6443.0140148550854</v>
      </c>
      <c r="J319" s="56">
        <f t="shared" si="37"/>
        <v>1</v>
      </c>
      <c r="K319" s="54">
        <f t="shared" si="38"/>
        <v>0</v>
      </c>
    </row>
    <row r="320" spans="1:11" x14ac:dyDescent="0.3">
      <c r="A320" s="54"/>
      <c r="B320" s="41">
        <f t="shared" si="34"/>
        <v>309</v>
      </c>
      <c r="C320" s="52">
        <f t="shared" si="35"/>
        <v>0</v>
      </c>
      <c r="E320" s="54">
        <f t="shared" si="32"/>
        <v>-6443.0140148550854</v>
      </c>
      <c r="F320" s="54"/>
      <c r="G320" s="54">
        <f t="shared" si="33"/>
        <v>0</v>
      </c>
      <c r="H320" s="54"/>
      <c r="I320" s="54">
        <f t="shared" si="36"/>
        <v>6443.0140148550854</v>
      </c>
      <c r="J320" s="56">
        <f t="shared" si="37"/>
        <v>1</v>
      </c>
      <c r="K320" s="54">
        <f t="shared" si="38"/>
        <v>0</v>
      </c>
    </row>
    <row r="321" spans="1:11" x14ac:dyDescent="0.3">
      <c r="A321" s="54"/>
      <c r="B321" s="41">
        <f t="shared" si="34"/>
        <v>310</v>
      </c>
      <c r="C321" s="52">
        <f t="shared" si="35"/>
        <v>0</v>
      </c>
      <c r="E321" s="54">
        <f t="shared" si="32"/>
        <v>-6443.0140148550854</v>
      </c>
      <c r="F321" s="54"/>
      <c r="G321" s="54">
        <f t="shared" si="33"/>
        <v>0</v>
      </c>
      <c r="H321" s="54"/>
      <c r="I321" s="54">
        <f t="shared" si="36"/>
        <v>6443.0140148550854</v>
      </c>
      <c r="J321" s="56">
        <f t="shared" si="37"/>
        <v>1</v>
      </c>
      <c r="K321" s="54">
        <f t="shared" si="38"/>
        <v>0</v>
      </c>
    </row>
    <row r="322" spans="1:11" x14ac:dyDescent="0.3">
      <c r="A322" s="54"/>
      <c r="B322" s="41">
        <f t="shared" si="34"/>
        <v>311</v>
      </c>
      <c r="C322" s="52">
        <f t="shared" si="35"/>
        <v>0</v>
      </c>
      <c r="E322" s="54">
        <f t="shared" si="32"/>
        <v>-6443.0140148550854</v>
      </c>
      <c r="F322" s="54"/>
      <c r="G322" s="54">
        <f t="shared" si="33"/>
        <v>0</v>
      </c>
      <c r="H322" s="54"/>
      <c r="I322" s="54">
        <f t="shared" si="36"/>
        <v>6443.0140148550854</v>
      </c>
      <c r="J322" s="56">
        <f t="shared" si="37"/>
        <v>1</v>
      </c>
      <c r="K322" s="54">
        <f t="shared" si="38"/>
        <v>0</v>
      </c>
    </row>
    <row r="323" spans="1:11" x14ac:dyDescent="0.3">
      <c r="A323" s="54"/>
      <c r="B323" s="41">
        <f t="shared" si="34"/>
        <v>312</v>
      </c>
      <c r="C323" s="52">
        <f t="shared" si="35"/>
        <v>0</v>
      </c>
      <c r="E323" s="54">
        <f t="shared" si="32"/>
        <v>-6443.0140148550854</v>
      </c>
      <c r="F323" s="54"/>
      <c r="G323" s="54">
        <f t="shared" si="33"/>
        <v>0</v>
      </c>
      <c r="H323" s="54"/>
      <c r="I323" s="54">
        <f t="shared" si="36"/>
        <v>6443.0140148550854</v>
      </c>
      <c r="J323" s="56">
        <f t="shared" si="37"/>
        <v>1</v>
      </c>
      <c r="K323" s="54">
        <f t="shared" si="38"/>
        <v>0</v>
      </c>
    </row>
    <row r="324" spans="1:11" x14ac:dyDescent="0.3">
      <c r="A324" s="54"/>
      <c r="B324" s="41">
        <f t="shared" si="34"/>
        <v>313</v>
      </c>
      <c r="C324" s="52">
        <f t="shared" si="35"/>
        <v>0</v>
      </c>
      <c r="E324" s="54">
        <f t="shared" si="32"/>
        <v>-6443.0140148550854</v>
      </c>
      <c r="F324" s="54"/>
      <c r="G324" s="54">
        <f t="shared" si="33"/>
        <v>0</v>
      </c>
      <c r="H324" s="54"/>
      <c r="I324" s="54">
        <f t="shared" si="36"/>
        <v>6443.0140148550854</v>
      </c>
      <c r="J324" s="56">
        <f t="shared" si="37"/>
        <v>1</v>
      </c>
      <c r="K324" s="54">
        <f t="shared" si="38"/>
        <v>0</v>
      </c>
    </row>
    <row r="325" spans="1:11" x14ac:dyDescent="0.3">
      <c r="A325" s="54"/>
      <c r="B325" s="41">
        <f t="shared" si="34"/>
        <v>314</v>
      </c>
      <c r="C325" s="52">
        <f t="shared" si="35"/>
        <v>0</v>
      </c>
      <c r="E325" s="54">
        <f t="shared" si="32"/>
        <v>-6443.0140148550854</v>
      </c>
      <c r="F325" s="54"/>
      <c r="G325" s="54">
        <f t="shared" si="33"/>
        <v>0</v>
      </c>
      <c r="H325" s="54"/>
      <c r="I325" s="54">
        <f t="shared" si="36"/>
        <v>6443.0140148550854</v>
      </c>
      <c r="J325" s="56">
        <f t="shared" si="37"/>
        <v>1</v>
      </c>
      <c r="K325" s="54">
        <f t="shared" si="38"/>
        <v>0</v>
      </c>
    </row>
    <row r="326" spans="1:11" x14ac:dyDescent="0.3">
      <c r="A326" s="54"/>
      <c r="B326" s="41">
        <f t="shared" si="34"/>
        <v>315</v>
      </c>
      <c r="C326" s="52">
        <f t="shared" si="35"/>
        <v>0</v>
      </c>
      <c r="E326" s="54">
        <f t="shared" si="32"/>
        <v>-6443.0140148550854</v>
      </c>
      <c r="F326" s="54"/>
      <c r="G326" s="54">
        <f t="shared" si="33"/>
        <v>0</v>
      </c>
      <c r="H326" s="54"/>
      <c r="I326" s="54">
        <f t="shared" si="36"/>
        <v>6443.0140148550854</v>
      </c>
      <c r="J326" s="56">
        <f t="shared" si="37"/>
        <v>1</v>
      </c>
      <c r="K326" s="54">
        <f t="shared" si="38"/>
        <v>0</v>
      </c>
    </row>
    <row r="327" spans="1:11" x14ac:dyDescent="0.3">
      <c r="A327" s="54"/>
      <c r="B327" s="41">
        <f t="shared" si="34"/>
        <v>316</v>
      </c>
      <c r="C327" s="52">
        <f t="shared" si="35"/>
        <v>0</v>
      </c>
      <c r="E327" s="54">
        <f t="shared" si="32"/>
        <v>-6443.0140148550854</v>
      </c>
      <c r="F327" s="54"/>
      <c r="G327" s="54">
        <f t="shared" si="33"/>
        <v>0</v>
      </c>
      <c r="H327" s="54"/>
      <c r="I327" s="54">
        <f t="shared" si="36"/>
        <v>6443.0140148550854</v>
      </c>
      <c r="J327" s="56">
        <f t="shared" si="37"/>
        <v>1</v>
      </c>
      <c r="K327" s="54">
        <f t="shared" si="38"/>
        <v>0</v>
      </c>
    </row>
    <row r="328" spans="1:11" x14ac:dyDescent="0.3">
      <c r="A328" s="54"/>
      <c r="B328" s="41">
        <f t="shared" si="34"/>
        <v>317</v>
      </c>
      <c r="C328" s="52">
        <f t="shared" si="35"/>
        <v>0</v>
      </c>
      <c r="E328" s="54">
        <f t="shared" si="32"/>
        <v>-6443.0140148550854</v>
      </c>
      <c r="F328" s="54"/>
      <c r="G328" s="54">
        <f t="shared" si="33"/>
        <v>0</v>
      </c>
      <c r="H328" s="54"/>
      <c r="I328" s="54">
        <f t="shared" si="36"/>
        <v>6443.0140148550854</v>
      </c>
      <c r="J328" s="56">
        <f t="shared" si="37"/>
        <v>1</v>
      </c>
      <c r="K328" s="54">
        <f t="shared" si="38"/>
        <v>0</v>
      </c>
    </row>
    <row r="329" spans="1:11" x14ac:dyDescent="0.3">
      <c r="A329" s="54"/>
      <c r="B329" s="41">
        <f t="shared" si="34"/>
        <v>318</v>
      </c>
      <c r="C329" s="52">
        <f t="shared" si="35"/>
        <v>0</v>
      </c>
      <c r="E329" s="54">
        <f t="shared" si="32"/>
        <v>-6443.0140148550854</v>
      </c>
      <c r="F329" s="54"/>
      <c r="G329" s="54">
        <f t="shared" si="33"/>
        <v>0</v>
      </c>
      <c r="H329" s="54"/>
      <c r="I329" s="54">
        <f t="shared" si="36"/>
        <v>6443.0140148550854</v>
      </c>
      <c r="J329" s="56">
        <f t="shared" si="37"/>
        <v>1</v>
      </c>
      <c r="K329" s="54">
        <f t="shared" si="38"/>
        <v>0</v>
      </c>
    </row>
    <row r="330" spans="1:11" x14ac:dyDescent="0.3">
      <c r="A330" s="54"/>
      <c r="B330" s="41">
        <f t="shared" si="34"/>
        <v>319</v>
      </c>
      <c r="C330" s="52">
        <f t="shared" si="35"/>
        <v>0</v>
      </c>
      <c r="E330" s="54">
        <f t="shared" si="32"/>
        <v>-6443.0140148550854</v>
      </c>
      <c r="F330" s="54"/>
      <c r="G330" s="54">
        <f t="shared" si="33"/>
        <v>0</v>
      </c>
      <c r="H330" s="54"/>
      <c r="I330" s="54">
        <f t="shared" si="36"/>
        <v>6443.0140148550854</v>
      </c>
      <c r="J330" s="56">
        <f t="shared" si="37"/>
        <v>1</v>
      </c>
      <c r="K330" s="54">
        <f t="shared" si="38"/>
        <v>0</v>
      </c>
    </row>
    <row r="331" spans="1:11" x14ac:dyDescent="0.3">
      <c r="A331" s="54"/>
      <c r="B331" s="41">
        <f t="shared" si="34"/>
        <v>320</v>
      </c>
      <c r="C331" s="52">
        <f t="shared" si="35"/>
        <v>0</v>
      </c>
      <c r="E331" s="54">
        <f t="shared" si="32"/>
        <v>-6443.0140148550854</v>
      </c>
      <c r="F331" s="54"/>
      <c r="G331" s="54">
        <f t="shared" si="33"/>
        <v>0</v>
      </c>
      <c r="H331" s="54"/>
      <c r="I331" s="54">
        <f t="shared" si="36"/>
        <v>6443.0140148550854</v>
      </c>
      <c r="J331" s="56">
        <f t="shared" si="37"/>
        <v>1</v>
      </c>
      <c r="K331" s="54">
        <f t="shared" si="38"/>
        <v>0</v>
      </c>
    </row>
    <row r="332" spans="1:11" x14ac:dyDescent="0.3">
      <c r="A332" s="54"/>
      <c r="B332" s="41">
        <f t="shared" si="34"/>
        <v>321</v>
      </c>
      <c r="C332" s="52">
        <f t="shared" si="35"/>
        <v>0</v>
      </c>
      <c r="E332" s="54">
        <f t="shared" si="32"/>
        <v>-6443.0140148550854</v>
      </c>
      <c r="F332" s="54"/>
      <c r="G332" s="54">
        <f t="shared" si="33"/>
        <v>0</v>
      </c>
      <c r="H332" s="54"/>
      <c r="I332" s="54">
        <f t="shared" si="36"/>
        <v>6443.0140148550854</v>
      </c>
      <c r="J332" s="56">
        <f t="shared" si="37"/>
        <v>1</v>
      </c>
      <c r="K332" s="54">
        <f t="shared" si="38"/>
        <v>0</v>
      </c>
    </row>
    <row r="333" spans="1:11" x14ac:dyDescent="0.3">
      <c r="A333" s="54"/>
      <c r="B333" s="41">
        <f t="shared" si="34"/>
        <v>322</v>
      </c>
      <c r="C333" s="52">
        <f t="shared" si="35"/>
        <v>0</v>
      </c>
      <c r="E333" s="54">
        <f t="shared" ref="E333:E371" si="39">PMT($E$7,$G$5,$E$4)</f>
        <v>-6443.0140148550854</v>
      </c>
      <c r="F333" s="54"/>
      <c r="G333" s="54">
        <f t="shared" ref="G333:G371" si="40">IFERROR(-PPMT($E$7,B333,$G$5,$E$4),0)</f>
        <v>0</v>
      </c>
      <c r="H333" s="54"/>
      <c r="I333" s="54">
        <f t="shared" si="36"/>
        <v>6443.0140148550854</v>
      </c>
      <c r="J333" s="56">
        <f t="shared" si="37"/>
        <v>1</v>
      </c>
      <c r="K333" s="54">
        <f t="shared" si="38"/>
        <v>0</v>
      </c>
    </row>
    <row r="334" spans="1:11" x14ac:dyDescent="0.3">
      <c r="A334" s="54"/>
      <c r="B334" s="41">
        <f t="shared" ref="B334:B371" si="41">B333+1</f>
        <v>323</v>
      </c>
      <c r="C334" s="52">
        <f t="shared" si="35"/>
        <v>0</v>
      </c>
      <c r="E334" s="54">
        <f t="shared" si="39"/>
        <v>-6443.0140148550854</v>
      </c>
      <c r="F334" s="54"/>
      <c r="G334" s="54">
        <f t="shared" si="40"/>
        <v>0</v>
      </c>
      <c r="H334" s="54"/>
      <c r="I334" s="54">
        <f t="shared" si="36"/>
        <v>6443.0140148550854</v>
      </c>
      <c r="J334" s="56">
        <f t="shared" si="37"/>
        <v>1</v>
      </c>
      <c r="K334" s="54">
        <f t="shared" si="38"/>
        <v>0</v>
      </c>
    </row>
    <row r="335" spans="1:11" x14ac:dyDescent="0.3">
      <c r="A335" s="54"/>
      <c r="B335" s="41">
        <f t="shared" si="41"/>
        <v>324</v>
      </c>
      <c r="C335" s="52">
        <f t="shared" si="35"/>
        <v>0</v>
      </c>
      <c r="E335" s="54">
        <f t="shared" si="39"/>
        <v>-6443.0140148550854</v>
      </c>
      <c r="F335" s="54"/>
      <c r="G335" s="54">
        <f t="shared" si="40"/>
        <v>0</v>
      </c>
      <c r="H335" s="54"/>
      <c r="I335" s="54">
        <f t="shared" si="36"/>
        <v>6443.0140148550854</v>
      </c>
      <c r="J335" s="56">
        <f t="shared" si="37"/>
        <v>1</v>
      </c>
      <c r="K335" s="54">
        <f t="shared" si="38"/>
        <v>0</v>
      </c>
    </row>
    <row r="336" spans="1:11" x14ac:dyDescent="0.3">
      <c r="A336" s="54"/>
      <c r="B336" s="41">
        <f t="shared" si="41"/>
        <v>325</v>
      </c>
      <c r="C336" s="52">
        <f t="shared" si="35"/>
        <v>0</v>
      </c>
      <c r="E336" s="54">
        <f t="shared" si="39"/>
        <v>-6443.0140148550854</v>
      </c>
      <c r="F336" s="54"/>
      <c r="G336" s="54">
        <f t="shared" si="40"/>
        <v>0</v>
      </c>
      <c r="H336" s="54"/>
      <c r="I336" s="54">
        <f t="shared" si="36"/>
        <v>6443.0140148550854</v>
      </c>
      <c r="J336" s="56">
        <f t="shared" si="37"/>
        <v>1</v>
      </c>
      <c r="K336" s="54">
        <f t="shared" si="38"/>
        <v>0</v>
      </c>
    </row>
    <row r="337" spans="1:11" x14ac:dyDescent="0.3">
      <c r="A337" s="54"/>
      <c r="B337" s="41">
        <f t="shared" si="41"/>
        <v>326</v>
      </c>
      <c r="C337" s="52">
        <f t="shared" si="35"/>
        <v>0</v>
      </c>
      <c r="E337" s="54">
        <f t="shared" si="39"/>
        <v>-6443.0140148550854</v>
      </c>
      <c r="F337" s="54"/>
      <c r="G337" s="54">
        <f t="shared" si="40"/>
        <v>0</v>
      </c>
      <c r="H337" s="54"/>
      <c r="I337" s="54">
        <f t="shared" si="36"/>
        <v>6443.0140148550854</v>
      </c>
      <c r="J337" s="56">
        <f t="shared" si="37"/>
        <v>1</v>
      </c>
      <c r="K337" s="54">
        <f t="shared" si="38"/>
        <v>0</v>
      </c>
    </row>
    <row r="338" spans="1:11" x14ac:dyDescent="0.3">
      <c r="A338" s="54"/>
      <c r="B338" s="41">
        <f t="shared" si="41"/>
        <v>327</v>
      </c>
      <c r="C338" s="52">
        <f t="shared" si="35"/>
        <v>0</v>
      </c>
      <c r="E338" s="54">
        <f t="shared" si="39"/>
        <v>-6443.0140148550854</v>
      </c>
      <c r="F338" s="54"/>
      <c r="G338" s="54">
        <f t="shared" si="40"/>
        <v>0</v>
      </c>
      <c r="H338" s="54"/>
      <c r="I338" s="54">
        <f t="shared" si="36"/>
        <v>6443.0140148550854</v>
      </c>
      <c r="J338" s="56">
        <f t="shared" si="37"/>
        <v>1</v>
      </c>
      <c r="K338" s="54">
        <f t="shared" si="38"/>
        <v>0</v>
      </c>
    </row>
    <row r="339" spans="1:11" x14ac:dyDescent="0.3">
      <c r="A339" s="54"/>
      <c r="B339" s="41">
        <f t="shared" si="41"/>
        <v>328</v>
      </c>
      <c r="C339" s="52">
        <f t="shared" si="35"/>
        <v>0</v>
      </c>
      <c r="E339" s="54">
        <f t="shared" si="39"/>
        <v>-6443.0140148550854</v>
      </c>
      <c r="F339" s="54"/>
      <c r="G339" s="54">
        <f t="shared" si="40"/>
        <v>0</v>
      </c>
      <c r="H339" s="54"/>
      <c r="I339" s="54">
        <f t="shared" si="36"/>
        <v>6443.0140148550854</v>
      </c>
      <c r="J339" s="56">
        <f t="shared" si="37"/>
        <v>1</v>
      </c>
      <c r="K339" s="54">
        <f t="shared" si="38"/>
        <v>0</v>
      </c>
    </row>
    <row r="340" spans="1:11" x14ac:dyDescent="0.3">
      <c r="A340" s="54"/>
      <c r="B340" s="41">
        <f t="shared" si="41"/>
        <v>329</v>
      </c>
      <c r="C340" s="52">
        <f t="shared" si="35"/>
        <v>0</v>
      </c>
      <c r="E340" s="54">
        <f t="shared" si="39"/>
        <v>-6443.0140148550854</v>
      </c>
      <c r="F340" s="54"/>
      <c r="G340" s="54">
        <f t="shared" si="40"/>
        <v>0</v>
      </c>
      <c r="H340" s="54"/>
      <c r="I340" s="54">
        <f t="shared" si="36"/>
        <v>6443.0140148550854</v>
      </c>
      <c r="J340" s="56">
        <f t="shared" si="37"/>
        <v>1</v>
      </c>
      <c r="K340" s="54">
        <f t="shared" si="38"/>
        <v>0</v>
      </c>
    </row>
    <row r="341" spans="1:11" x14ac:dyDescent="0.3">
      <c r="A341" s="54"/>
      <c r="B341" s="41">
        <f t="shared" si="41"/>
        <v>330</v>
      </c>
      <c r="C341" s="52">
        <f t="shared" si="35"/>
        <v>0</v>
      </c>
      <c r="E341" s="54">
        <f t="shared" si="39"/>
        <v>-6443.0140148550854</v>
      </c>
      <c r="F341" s="54"/>
      <c r="G341" s="54">
        <f t="shared" si="40"/>
        <v>0</v>
      </c>
      <c r="H341" s="54"/>
      <c r="I341" s="54">
        <f t="shared" si="36"/>
        <v>6443.0140148550854</v>
      </c>
      <c r="J341" s="56">
        <f t="shared" si="37"/>
        <v>1</v>
      </c>
      <c r="K341" s="54">
        <f t="shared" si="38"/>
        <v>0</v>
      </c>
    </row>
    <row r="342" spans="1:11" x14ac:dyDescent="0.3">
      <c r="A342" s="54"/>
      <c r="B342" s="41">
        <f t="shared" si="41"/>
        <v>331</v>
      </c>
      <c r="C342" s="52">
        <f t="shared" si="35"/>
        <v>0</v>
      </c>
      <c r="E342" s="54">
        <f t="shared" si="39"/>
        <v>-6443.0140148550854</v>
      </c>
      <c r="F342" s="54"/>
      <c r="G342" s="54">
        <f t="shared" si="40"/>
        <v>0</v>
      </c>
      <c r="H342" s="54"/>
      <c r="I342" s="54">
        <f t="shared" si="36"/>
        <v>6443.0140148550854</v>
      </c>
      <c r="J342" s="56">
        <f t="shared" si="37"/>
        <v>1</v>
      </c>
      <c r="K342" s="54">
        <f t="shared" si="38"/>
        <v>0</v>
      </c>
    </row>
    <row r="343" spans="1:11" x14ac:dyDescent="0.3">
      <c r="A343" s="54"/>
      <c r="B343" s="41">
        <f t="shared" si="41"/>
        <v>332</v>
      </c>
      <c r="C343" s="52">
        <f t="shared" si="35"/>
        <v>0</v>
      </c>
      <c r="E343" s="54">
        <f t="shared" si="39"/>
        <v>-6443.0140148550854</v>
      </c>
      <c r="F343" s="54"/>
      <c r="G343" s="54">
        <f t="shared" si="40"/>
        <v>0</v>
      </c>
      <c r="H343" s="54"/>
      <c r="I343" s="54">
        <f t="shared" si="36"/>
        <v>6443.0140148550854</v>
      </c>
      <c r="J343" s="56">
        <f t="shared" si="37"/>
        <v>1</v>
      </c>
      <c r="K343" s="54">
        <f t="shared" si="38"/>
        <v>0</v>
      </c>
    </row>
    <row r="344" spans="1:11" x14ac:dyDescent="0.3">
      <c r="A344" s="54"/>
      <c r="B344" s="41">
        <f t="shared" si="41"/>
        <v>333</v>
      </c>
      <c r="C344" s="52">
        <f t="shared" si="35"/>
        <v>0</v>
      </c>
      <c r="E344" s="54">
        <f t="shared" si="39"/>
        <v>-6443.0140148550854</v>
      </c>
      <c r="F344" s="54"/>
      <c r="G344" s="54">
        <f t="shared" si="40"/>
        <v>0</v>
      </c>
      <c r="H344" s="54"/>
      <c r="I344" s="54">
        <f t="shared" si="36"/>
        <v>6443.0140148550854</v>
      </c>
      <c r="J344" s="56">
        <f t="shared" si="37"/>
        <v>1</v>
      </c>
      <c r="K344" s="54">
        <f t="shared" si="38"/>
        <v>0</v>
      </c>
    </row>
    <row r="345" spans="1:11" x14ac:dyDescent="0.3">
      <c r="A345" s="54"/>
      <c r="B345" s="41">
        <f t="shared" si="41"/>
        <v>334</v>
      </c>
      <c r="C345" s="52">
        <f t="shared" si="35"/>
        <v>0</v>
      </c>
      <c r="E345" s="54">
        <f t="shared" si="39"/>
        <v>-6443.0140148550854</v>
      </c>
      <c r="F345" s="54"/>
      <c r="G345" s="54">
        <f t="shared" si="40"/>
        <v>0</v>
      </c>
      <c r="H345" s="54"/>
      <c r="I345" s="54">
        <f t="shared" si="36"/>
        <v>6443.0140148550854</v>
      </c>
      <c r="J345" s="56">
        <f t="shared" si="37"/>
        <v>1</v>
      </c>
      <c r="K345" s="54">
        <f t="shared" si="38"/>
        <v>0</v>
      </c>
    </row>
    <row r="346" spans="1:11" x14ac:dyDescent="0.3">
      <c r="A346" s="54"/>
      <c r="B346" s="41">
        <f t="shared" si="41"/>
        <v>335</v>
      </c>
      <c r="C346" s="52">
        <f t="shared" si="35"/>
        <v>0</v>
      </c>
      <c r="E346" s="54">
        <f t="shared" si="39"/>
        <v>-6443.0140148550854</v>
      </c>
      <c r="F346" s="54"/>
      <c r="G346" s="54">
        <f t="shared" si="40"/>
        <v>0</v>
      </c>
      <c r="H346" s="54"/>
      <c r="I346" s="54">
        <f t="shared" si="36"/>
        <v>6443.0140148550854</v>
      </c>
      <c r="J346" s="56">
        <f t="shared" si="37"/>
        <v>1</v>
      </c>
      <c r="K346" s="54">
        <f t="shared" si="38"/>
        <v>0</v>
      </c>
    </row>
    <row r="347" spans="1:11" x14ac:dyDescent="0.3">
      <c r="A347" s="54"/>
      <c r="B347" s="41">
        <f t="shared" si="41"/>
        <v>336</v>
      </c>
      <c r="C347" s="52">
        <f t="shared" si="35"/>
        <v>0</v>
      </c>
      <c r="E347" s="54">
        <f t="shared" si="39"/>
        <v>-6443.0140148550854</v>
      </c>
      <c r="F347" s="54"/>
      <c r="G347" s="54">
        <f t="shared" si="40"/>
        <v>0</v>
      </c>
      <c r="H347" s="54"/>
      <c r="I347" s="54">
        <f t="shared" si="36"/>
        <v>6443.0140148550854</v>
      </c>
      <c r="J347" s="56">
        <f t="shared" si="37"/>
        <v>1</v>
      </c>
      <c r="K347" s="54">
        <f t="shared" si="38"/>
        <v>0</v>
      </c>
    </row>
    <row r="348" spans="1:11" x14ac:dyDescent="0.3">
      <c r="A348" s="54"/>
      <c r="B348" s="41">
        <f t="shared" si="41"/>
        <v>337</v>
      </c>
      <c r="C348" s="52">
        <f t="shared" si="35"/>
        <v>0</v>
      </c>
      <c r="E348" s="54">
        <f t="shared" si="39"/>
        <v>-6443.0140148550854</v>
      </c>
      <c r="F348" s="54"/>
      <c r="G348" s="54">
        <f t="shared" si="40"/>
        <v>0</v>
      </c>
      <c r="H348" s="54"/>
      <c r="I348" s="54">
        <f t="shared" si="36"/>
        <v>6443.0140148550854</v>
      </c>
      <c r="J348" s="56">
        <f t="shared" si="37"/>
        <v>1</v>
      </c>
      <c r="K348" s="54">
        <f t="shared" si="38"/>
        <v>0</v>
      </c>
    </row>
    <row r="349" spans="1:11" x14ac:dyDescent="0.3">
      <c r="A349" s="54"/>
      <c r="B349" s="41">
        <f t="shared" si="41"/>
        <v>338</v>
      </c>
      <c r="C349" s="52">
        <f t="shared" si="35"/>
        <v>0</v>
      </c>
      <c r="E349" s="54">
        <f t="shared" si="39"/>
        <v>-6443.0140148550854</v>
      </c>
      <c r="F349" s="54"/>
      <c r="G349" s="54">
        <f t="shared" si="40"/>
        <v>0</v>
      </c>
      <c r="H349" s="54"/>
      <c r="I349" s="54">
        <f t="shared" si="36"/>
        <v>6443.0140148550854</v>
      </c>
      <c r="J349" s="56">
        <f t="shared" si="37"/>
        <v>1</v>
      </c>
      <c r="K349" s="54">
        <f t="shared" si="38"/>
        <v>0</v>
      </c>
    </row>
    <row r="350" spans="1:11" x14ac:dyDescent="0.3">
      <c r="A350" s="54"/>
      <c r="B350" s="41">
        <f t="shared" si="41"/>
        <v>339</v>
      </c>
      <c r="C350" s="52">
        <f t="shared" si="35"/>
        <v>0</v>
      </c>
      <c r="E350" s="54">
        <f t="shared" si="39"/>
        <v>-6443.0140148550854</v>
      </c>
      <c r="F350" s="54"/>
      <c r="G350" s="54">
        <f t="shared" si="40"/>
        <v>0</v>
      </c>
      <c r="H350" s="54"/>
      <c r="I350" s="54">
        <f t="shared" si="36"/>
        <v>6443.0140148550854</v>
      </c>
      <c r="J350" s="56">
        <f t="shared" si="37"/>
        <v>1</v>
      </c>
      <c r="K350" s="54">
        <f t="shared" si="38"/>
        <v>0</v>
      </c>
    </row>
    <row r="351" spans="1:11" x14ac:dyDescent="0.3">
      <c r="A351" s="54"/>
      <c r="B351" s="41">
        <f t="shared" si="41"/>
        <v>340</v>
      </c>
      <c r="C351" s="52">
        <f t="shared" si="35"/>
        <v>0</v>
      </c>
      <c r="E351" s="54">
        <f t="shared" si="39"/>
        <v>-6443.0140148550854</v>
      </c>
      <c r="F351" s="54"/>
      <c r="G351" s="54">
        <f t="shared" si="40"/>
        <v>0</v>
      </c>
      <c r="H351" s="54"/>
      <c r="I351" s="54">
        <f t="shared" si="36"/>
        <v>6443.0140148550854</v>
      </c>
      <c r="J351" s="56">
        <f t="shared" si="37"/>
        <v>1</v>
      </c>
      <c r="K351" s="54">
        <f t="shared" si="38"/>
        <v>0</v>
      </c>
    </row>
    <row r="352" spans="1:11" x14ac:dyDescent="0.3">
      <c r="A352" s="54"/>
      <c r="B352" s="41">
        <f t="shared" si="41"/>
        <v>341</v>
      </c>
      <c r="C352" s="52">
        <f t="shared" si="35"/>
        <v>0</v>
      </c>
      <c r="E352" s="54">
        <f t="shared" si="39"/>
        <v>-6443.0140148550854</v>
      </c>
      <c r="F352" s="54"/>
      <c r="G352" s="54">
        <f t="shared" si="40"/>
        <v>0</v>
      </c>
      <c r="H352" s="54"/>
      <c r="I352" s="54">
        <f t="shared" si="36"/>
        <v>6443.0140148550854</v>
      </c>
      <c r="J352" s="56">
        <f t="shared" si="37"/>
        <v>1</v>
      </c>
      <c r="K352" s="54">
        <f t="shared" si="38"/>
        <v>0</v>
      </c>
    </row>
    <row r="353" spans="1:11" x14ac:dyDescent="0.3">
      <c r="A353" s="54"/>
      <c r="B353" s="41">
        <f t="shared" si="41"/>
        <v>342</v>
      </c>
      <c r="C353" s="52">
        <f t="shared" ref="C353:C371" si="42">IF(B353&gt;$G$5,0,K352)</f>
        <v>0</v>
      </c>
      <c r="E353" s="54">
        <f t="shared" si="39"/>
        <v>-6443.0140148550854</v>
      </c>
      <c r="F353" s="54"/>
      <c r="G353" s="54">
        <f t="shared" si="40"/>
        <v>0</v>
      </c>
      <c r="H353" s="54"/>
      <c r="I353" s="54">
        <f t="shared" ref="I353:I371" si="43">-E353-G353</f>
        <v>6443.0140148550854</v>
      </c>
      <c r="J353" s="56">
        <f t="shared" ref="J353:J371" si="44">IFERROR(-I353/E353,"NA")</f>
        <v>1</v>
      </c>
      <c r="K353" s="54">
        <f t="shared" ref="K353:K371" si="45">C353-G353</f>
        <v>0</v>
      </c>
    </row>
    <row r="354" spans="1:11" x14ac:dyDescent="0.3">
      <c r="A354" s="54"/>
      <c r="B354" s="41">
        <f t="shared" si="41"/>
        <v>343</v>
      </c>
      <c r="C354" s="52">
        <f t="shared" si="42"/>
        <v>0</v>
      </c>
      <c r="E354" s="54">
        <f t="shared" si="39"/>
        <v>-6443.0140148550854</v>
      </c>
      <c r="F354" s="54"/>
      <c r="G354" s="54">
        <f t="shared" si="40"/>
        <v>0</v>
      </c>
      <c r="H354" s="54"/>
      <c r="I354" s="54">
        <f t="shared" si="43"/>
        <v>6443.0140148550854</v>
      </c>
      <c r="J354" s="56">
        <f t="shared" si="44"/>
        <v>1</v>
      </c>
      <c r="K354" s="54">
        <f t="shared" si="45"/>
        <v>0</v>
      </c>
    </row>
    <row r="355" spans="1:11" x14ac:dyDescent="0.3">
      <c r="A355" s="54"/>
      <c r="B355" s="41">
        <f t="shared" si="41"/>
        <v>344</v>
      </c>
      <c r="C355" s="52">
        <f t="shared" si="42"/>
        <v>0</v>
      </c>
      <c r="E355" s="54">
        <f t="shared" si="39"/>
        <v>-6443.0140148550854</v>
      </c>
      <c r="F355" s="54"/>
      <c r="G355" s="54">
        <f t="shared" si="40"/>
        <v>0</v>
      </c>
      <c r="H355" s="54"/>
      <c r="I355" s="54">
        <f t="shared" si="43"/>
        <v>6443.0140148550854</v>
      </c>
      <c r="J355" s="56">
        <f t="shared" si="44"/>
        <v>1</v>
      </c>
      <c r="K355" s="54">
        <f t="shared" si="45"/>
        <v>0</v>
      </c>
    </row>
    <row r="356" spans="1:11" x14ac:dyDescent="0.3">
      <c r="A356" s="54"/>
      <c r="B356" s="41">
        <f t="shared" si="41"/>
        <v>345</v>
      </c>
      <c r="C356" s="52">
        <f t="shared" si="42"/>
        <v>0</v>
      </c>
      <c r="E356" s="54">
        <f t="shared" si="39"/>
        <v>-6443.0140148550854</v>
      </c>
      <c r="F356" s="54"/>
      <c r="G356" s="54">
        <f t="shared" si="40"/>
        <v>0</v>
      </c>
      <c r="H356" s="54"/>
      <c r="I356" s="54">
        <f t="shared" si="43"/>
        <v>6443.0140148550854</v>
      </c>
      <c r="J356" s="56">
        <f t="shared" si="44"/>
        <v>1</v>
      </c>
      <c r="K356" s="54">
        <f t="shared" si="45"/>
        <v>0</v>
      </c>
    </row>
    <row r="357" spans="1:11" x14ac:dyDescent="0.3">
      <c r="A357" s="54"/>
      <c r="B357" s="41">
        <f t="shared" si="41"/>
        <v>346</v>
      </c>
      <c r="C357" s="52">
        <f t="shared" si="42"/>
        <v>0</v>
      </c>
      <c r="E357" s="54">
        <f t="shared" si="39"/>
        <v>-6443.0140148550854</v>
      </c>
      <c r="F357" s="54"/>
      <c r="G357" s="54">
        <f t="shared" si="40"/>
        <v>0</v>
      </c>
      <c r="H357" s="54"/>
      <c r="I357" s="54">
        <f t="shared" si="43"/>
        <v>6443.0140148550854</v>
      </c>
      <c r="J357" s="56">
        <f t="shared" si="44"/>
        <v>1</v>
      </c>
      <c r="K357" s="54">
        <f t="shared" si="45"/>
        <v>0</v>
      </c>
    </row>
    <row r="358" spans="1:11" x14ac:dyDescent="0.3">
      <c r="A358" s="54"/>
      <c r="B358" s="41">
        <f t="shared" si="41"/>
        <v>347</v>
      </c>
      <c r="C358" s="52">
        <f t="shared" si="42"/>
        <v>0</v>
      </c>
      <c r="E358" s="54">
        <f t="shared" si="39"/>
        <v>-6443.0140148550854</v>
      </c>
      <c r="F358" s="54"/>
      <c r="G358" s="54">
        <f t="shared" si="40"/>
        <v>0</v>
      </c>
      <c r="H358" s="54"/>
      <c r="I358" s="54">
        <f t="shared" si="43"/>
        <v>6443.0140148550854</v>
      </c>
      <c r="J358" s="56">
        <f t="shared" si="44"/>
        <v>1</v>
      </c>
      <c r="K358" s="54">
        <f t="shared" si="45"/>
        <v>0</v>
      </c>
    </row>
    <row r="359" spans="1:11" x14ac:dyDescent="0.3">
      <c r="A359" s="54"/>
      <c r="B359" s="41">
        <f t="shared" si="41"/>
        <v>348</v>
      </c>
      <c r="C359" s="52">
        <f t="shared" si="42"/>
        <v>0</v>
      </c>
      <c r="E359" s="54">
        <f t="shared" si="39"/>
        <v>-6443.0140148550854</v>
      </c>
      <c r="F359" s="54"/>
      <c r="G359" s="54">
        <f t="shared" si="40"/>
        <v>0</v>
      </c>
      <c r="H359" s="54"/>
      <c r="I359" s="54">
        <f t="shared" si="43"/>
        <v>6443.0140148550854</v>
      </c>
      <c r="J359" s="56">
        <f t="shared" si="44"/>
        <v>1</v>
      </c>
      <c r="K359" s="54">
        <f t="shared" si="45"/>
        <v>0</v>
      </c>
    </row>
    <row r="360" spans="1:11" x14ac:dyDescent="0.3">
      <c r="A360" s="54"/>
      <c r="B360" s="41">
        <f t="shared" si="41"/>
        <v>349</v>
      </c>
      <c r="C360" s="52">
        <f t="shared" si="42"/>
        <v>0</v>
      </c>
      <c r="E360" s="54">
        <f t="shared" si="39"/>
        <v>-6443.0140148550854</v>
      </c>
      <c r="F360" s="54"/>
      <c r="G360" s="54">
        <f t="shared" si="40"/>
        <v>0</v>
      </c>
      <c r="H360" s="54"/>
      <c r="I360" s="54">
        <f t="shared" si="43"/>
        <v>6443.0140148550854</v>
      </c>
      <c r="J360" s="56">
        <f t="shared" si="44"/>
        <v>1</v>
      </c>
      <c r="K360" s="54">
        <f t="shared" si="45"/>
        <v>0</v>
      </c>
    </row>
    <row r="361" spans="1:11" x14ac:dyDescent="0.3">
      <c r="A361" s="54"/>
      <c r="B361" s="41">
        <f t="shared" si="41"/>
        <v>350</v>
      </c>
      <c r="C361" s="52">
        <f t="shared" si="42"/>
        <v>0</v>
      </c>
      <c r="E361" s="54">
        <f t="shared" si="39"/>
        <v>-6443.0140148550854</v>
      </c>
      <c r="F361" s="54"/>
      <c r="G361" s="54">
        <f t="shared" si="40"/>
        <v>0</v>
      </c>
      <c r="H361" s="54"/>
      <c r="I361" s="54">
        <f t="shared" si="43"/>
        <v>6443.0140148550854</v>
      </c>
      <c r="J361" s="56">
        <f t="shared" si="44"/>
        <v>1</v>
      </c>
      <c r="K361" s="54">
        <f t="shared" si="45"/>
        <v>0</v>
      </c>
    </row>
    <row r="362" spans="1:11" x14ac:dyDescent="0.3">
      <c r="A362" s="54"/>
      <c r="B362" s="41">
        <f t="shared" si="41"/>
        <v>351</v>
      </c>
      <c r="C362" s="52">
        <f t="shared" si="42"/>
        <v>0</v>
      </c>
      <c r="E362" s="54">
        <f t="shared" si="39"/>
        <v>-6443.0140148550854</v>
      </c>
      <c r="F362" s="54"/>
      <c r="G362" s="54">
        <f t="shared" si="40"/>
        <v>0</v>
      </c>
      <c r="H362" s="54"/>
      <c r="I362" s="54">
        <f t="shared" si="43"/>
        <v>6443.0140148550854</v>
      </c>
      <c r="J362" s="56">
        <f t="shared" si="44"/>
        <v>1</v>
      </c>
      <c r="K362" s="54">
        <f t="shared" si="45"/>
        <v>0</v>
      </c>
    </row>
    <row r="363" spans="1:11" x14ac:dyDescent="0.3">
      <c r="A363" s="54"/>
      <c r="B363" s="41">
        <f t="shared" si="41"/>
        <v>352</v>
      </c>
      <c r="C363" s="52">
        <f t="shared" si="42"/>
        <v>0</v>
      </c>
      <c r="E363" s="54">
        <f t="shared" si="39"/>
        <v>-6443.0140148550854</v>
      </c>
      <c r="F363" s="54"/>
      <c r="G363" s="54">
        <f t="shared" si="40"/>
        <v>0</v>
      </c>
      <c r="H363" s="54"/>
      <c r="I363" s="54">
        <f t="shared" si="43"/>
        <v>6443.0140148550854</v>
      </c>
      <c r="J363" s="56">
        <f t="shared" si="44"/>
        <v>1</v>
      </c>
      <c r="K363" s="54">
        <f t="shared" si="45"/>
        <v>0</v>
      </c>
    </row>
    <row r="364" spans="1:11" x14ac:dyDescent="0.3">
      <c r="A364" s="54"/>
      <c r="B364" s="41">
        <f t="shared" si="41"/>
        <v>353</v>
      </c>
      <c r="C364" s="52">
        <f t="shared" si="42"/>
        <v>0</v>
      </c>
      <c r="E364" s="54">
        <f t="shared" si="39"/>
        <v>-6443.0140148550854</v>
      </c>
      <c r="F364" s="54"/>
      <c r="G364" s="54">
        <f t="shared" si="40"/>
        <v>0</v>
      </c>
      <c r="H364" s="54"/>
      <c r="I364" s="54">
        <f t="shared" si="43"/>
        <v>6443.0140148550854</v>
      </c>
      <c r="J364" s="56">
        <f t="shared" si="44"/>
        <v>1</v>
      </c>
      <c r="K364" s="54">
        <f t="shared" si="45"/>
        <v>0</v>
      </c>
    </row>
    <row r="365" spans="1:11" x14ac:dyDescent="0.3">
      <c r="A365" s="54"/>
      <c r="B365" s="41">
        <f t="shared" si="41"/>
        <v>354</v>
      </c>
      <c r="C365" s="52">
        <f t="shared" si="42"/>
        <v>0</v>
      </c>
      <c r="E365" s="54">
        <f t="shared" si="39"/>
        <v>-6443.0140148550854</v>
      </c>
      <c r="F365" s="54"/>
      <c r="G365" s="54">
        <f t="shared" si="40"/>
        <v>0</v>
      </c>
      <c r="H365" s="54"/>
      <c r="I365" s="54">
        <f t="shared" si="43"/>
        <v>6443.0140148550854</v>
      </c>
      <c r="J365" s="56">
        <f t="shared" si="44"/>
        <v>1</v>
      </c>
      <c r="K365" s="54">
        <f t="shared" si="45"/>
        <v>0</v>
      </c>
    </row>
    <row r="366" spans="1:11" x14ac:dyDescent="0.3">
      <c r="A366" s="54"/>
      <c r="B366" s="41">
        <f t="shared" si="41"/>
        <v>355</v>
      </c>
      <c r="C366" s="52">
        <f t="shared" si="42"/>
        <v>0</v>
      </c>
      <c r="E366" s="54">
        <f t="shared" si="39"/>
        <v>-6443.0140148550854</v>
      </c>
      <c r="F366" s="54"/>
      <c r="G366" s="54">
        <f t="shared" si="40"/>
        <v>0</v>
      </c>
      <c r="H366" s="54"/>
      <c r="I366" s="54">
        <f t="shared" si="43"/>
        <v>6443.0140148550854</v>
      </c>
      <c r="J366" s="56">
        <f t="shared" si="44"/>
        <v>1</v>
      </c>
      <c r="K366" s="54">
        <f t="shared" si="45"/>
        <v>0</v>
      </c>
    </row>
    <row r="367" spans="1:11" x14ac:dyDescent="0.3">
      <c r="A367" s="54"/>
      <c r="B367" s="41">
        <f t="shared" si="41"/>
        <v>356</v>
      </c>
      <c r="C367" s="52">
        <f t="shared" si="42"/>
        <v>0</v>
      </c>
      <c r="E367" s="54">
        <f t="shared" si="39"/>
        <v>-6443.0140148550854</v>
      </c>
      <c r="F367" s="54"/>
      <c r="G367" s="54">
        <f t="shared" si="40"/>
        <v>0</v>
      </c>
      <c r="H367" s="54"/>
      <c r="I367" s="54">
        <f t="shared" si="43"/>
        <v>6443.0140148550854</v>
      </c>
      <c r="J367" s="56">
        <f t="shared" si="44"/>
        <v>1</v>
      </c>
      <c r="K367" s="54">
        <f t="shared" si="45"/>
        <v>0</v>
      </c>
    </row>
    <row r="368" spans="1:11" x14ac:dyDescent="0.3">
      <c r="A368" s="54"/>
      <c r="B368" s="41">
        <f t="shared" si="41"/>
        <v>357</v>
      </c>
      <c r="C368" s="52">
        <f t="shared" si="42"/>
        <v>0</v>
      </c>
      <c r="E368" s="54">
        <f t="shared" si="39"/>
        <v>-6443.0140148550854</v>
      </c>
      <c r="F368" s="54"/>
      <c r="G368" s="54">
        <f t="shared" si="40"/>
        <v>0</v>
      </c>
      <c r="H368" s="54"/>
      <c r="I368" s="54">
        <f t="shared" si="43"/>
        <v>6443.0140148550854</v>
      </c>
      <c r="J368" s="56">
        <f t="shared" si="44"/>
        <v>1</v>
      </c>
      <c r="K368" s="54">
        <f t="shared" si="45"/>
        <v>0</v>
      </c>
    </row>
    <row r="369" spans="1:11" x14ac:dyDescent="0.3">
      <c r="A369" s="54"/>
      <c r="B369" s="41">
        <f t="shared" si="41"/>
        <v>358</v>
      </c>
      <c r="C369" s="52">
        <f t="shared" si="42"/>
        <v>0</v>
      </c>
      <c r="E369" s="54">
        <f t="shared" si="39"/>
        <v>-6443.0140148550854</v>
      </c>
      <c r="F369" s="54"/>
      <c r="G369" s="54">
        <f t="shared" si="40"/>
        <v>0</v>
      </c>
      <c r="H369" s="54"/>
      <c r="I369" s="54">
        <f t="shared" si="43"/>
        <v>6443.0140148550854</v>
      </c>
      <c r="J369" s="56">
        <f t="shared" si="44"/>
        <v>1</v>
      </c>
      <c r="K369" s="54">
        <f t="shared" si="45"/>
        <v>0</v>
      </c>
    </row>
    <row r="370" spans="1:11" x14ac:dyDescent="0.3">
      <c r="A370" s="54"/>
      <c r="B370" s="41">
        <f t="shared" si="41"/>
        <v>359</v>
      </c>
      <c r="C370" s="52">
        <f t="shared" si="42"/>
        <v>0</v>
      </c>
      <c r="E370" s="54">
        <f t="shared" si="39"/>
        <v>-6443.0140148550854</v>
      </c>
      <c r="F370" s="54"/>
      <c r="G370" s="54">
        <f t="shared" si="40"/>
        <v>0</v>
      </c>
      <c r="H370" s="54"/>
      <c r="I370" s="54">
        <f t="shared" si="43"/>
        <v>6443.0140148550854</v>
      </c>
      <c r="J370" s="56">
        <f t="shared" si="44"/>
        <v>1</v>
      </c>
      <c r="K370" s="54">
        <f t="shared" si="45"/>
        <v>0</v>
      </c>
    </row>
    <row r="371" spans="1:11" x14ac:dyDescent="0.3">
      <c r="A371" s="54"/>
      <c r="B371" s="41">
        <f t="shared" si="41"/>
        <v>360</v>
      </c>
      <c r="C371" s="52">
        <f t="shared" si="42"/>
        <v>0</v>
      </c>
      <c r="E371" s="54">
        <f t="shared" si="39"/>
        <v>-6443.0140148550854</v>
      </c>
      <c r="F371" s="54"/>
      <c r="G371" s="54">
        <f t="shared" si="40"/>
        <v>0</v>
      </c>
      <c r="H371" s="54"/>
      <c r="I371" s="54">
        <f t="shared" si="43"/>
        <v>6443.0140148550854</v>
      </c>
      <c r="J371" s="56">
        <f t="shared" si="44"/>
        <v>1</v>
      </c>
      <c r="K371" s="54">
        <f t="shared" si="45"/>
        <v>0</v>
      </c>
    </row>
  </sheetData>
  <mergeCells count="2">
    <mergeCell ref="G4:I4"/>
    <mergeCell ref="G5:I5"/>
  </mergeCells>
  <conditionalFormatting sqref="G9">
    <cfRule type="cellIs" dxfId="10" priority="4" stopIfTrue="1" operator="lessThan">
      <formula>1000000</formula>
    </cfRule>
  </conditionalFormatting>
  <conditionalFormatting sqref="G4:I4">
    <cfRule type="containsText" dxfId="9" priority="1" stopIfTrue="1" operator="containsText" text="Correct">
      <formula>NOT(ISERROR(SEARCH("Correct",G4)))</formula>
    </cfRule>
    <cfRule type="containsText" dxfId="8" priority="2" stopIfTrue="1" operator="containsText" text="OK">
      <formula>NOT(ISERROR(SEARCH("OK",G4)))</formula>
    </cfRule>
    <cfRule type="containsText" dxfId="7" priority="3" stopIfTrue="1" operator="containsText" text="Fix">
      <formula>NOT(ISERROR(SEARCH("Fix",G4)))</formula>
    </cfRule>
  </conditionalFormatting>
  <pageMargins left="0.7" right="0.7" top="0.75" bottom="0.75" header="0.3" footer="0.3"/>
  <pageSetup orientation="portrait" verticalDpi="0"/>
  <drawing r:id="rId1"/>
  <legacyDrawing r:id="rId2"/>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P371"/>
  <sheetViews>
    <sheetView zoomScaleNormal="100" zoomScalePageLayoutView="150" workbookViewId="0"/>
  </sheetViews>
  <sheetFormatPr defaultColWidth="8.6640625" defaultRowHeight="18.75" x14ac:dyDescent="0.3"/>
  <cols>
    <col min="1" max="1" width="4.88671875" style="8" customWidth="1"/>
    <col min="2" max="2" width="8.6640625" style="41"/>
    <col min="3" max="3" width="17.6640625" style="8" customWidth="1"/>
    <col min="4" max="4" width="2.109375" style="8" customWidth="1"/>
    <col min="5" max="5" width="13.88671875" style="8" customWidth="1"/>
    <col min="6" max="6" width="2.109375" style="8" customWidth="1"/>
    <col min="7" max="7" width="11.33203125" style="8" customWidth="1"/>
    <col min="8" max="8" width="2.109375" style="8" customWidth="1"/>
    <col min="9" max="9" width="9.88671875" style="8" customWidth="1"/>
    <col min="10" max="10" width="10.44140625" style="8" customWidth="1"/>
    <col min="11" max="11" width="10.6640625" style="8" customWidth="1"/>
    <col min="12" max="12" width="9.44140625" style="8" bestFit="1" customWidth="1"/>
    <col min="13" max="16384" width="8.6640625" style="8"/>
  </cols>
  <sheetData>
    <row r="2" spans="2:16" ht="30.75" customHeight="1" x14ac:dyDescent="0.35">
      <c r="B2" s="80" t="s">
        <v>132</v>
      </c>
      <c r="C2" s="77"/>
      <c r="D2" s="77"/>
      <c r="E2" s="77"/>
    </row>
    <row r="4" spans="2:16" x14ac:dyDescent="0.3">
      <c r="C4" s="8" t="s">
        <v>84</v>
      </c>
      <c r="E4" s="43">
        <v>1000000</v>
      </c>
      <c r="F4" s="43"/>
      <c r="G4" s="411" t="str">
        <f>IF(E4-ROUND(G9,0)=0,"Repayment Correct", "FIX REPAYMENT")</f>
        <v>Repayment Correct</v>
      </c>
      <c r="H4" s="411"/>
      <c r="I4" s="411"/>
      <c r="K4" s="365" t="s">
        <v>130</v>
      </c>
      <c r="L4" s="365"/>
      <c r="M4" s="365"/>
      <c r="N4" s="365"/>
      <c r="O4" s="413">
        <v>1</v>
      </c>
      <c r="P4" s="413"/>
    </row>
    <row r="5" spans="2:16" x14ac:dyDescent="0.3">
      <c r="C5" s="8" t="s">
        <v>85</v>
      </c>
      <c r="E5" s="45">
        <v>25</v>
      </c>
      <c r="F5" s="45"/>
      <c r="G5" s="412">
        <f>E5*12</f>
        <v>300</v>
      </c>
      <c r="H5" s="412"/>
      <c r="I5" s="412"/>
      <c r="K5" s="365" t="s">
        <v>131</v>
      </c>
      <c r="L5" s="365"/>
      <c r="M5" s="365"/>
      <c r="N5" s="365"/>
      <c r="O5" s="414">
        <f>O4*12</f>
        <v>12</v>
      </c>
      <c r="P5" s="414"/>
    </row>
    <row r="6" spans="2:16" x14ac:dyDescent="0.3">
      <c r="C6" s="8" t="s">
        <v>86</v>
      </c>
      <c r="E6" s="47">
        <v>0.05</v>
      </c>
      <c r="F6" s="47"/>
    </row>
    <row r="7" spans="2:16" x14ac:dyDescent="0.3">
      <c r="C7" s="8" t="s">
        <v>87</v>
      </c>
      <c r="E7" s="48">
        <f>E6/12</f>
        <v>4.1666666666666666E-3</v>
      </c>
    </row>
    <row r="8" spans="2:16" x14ac:dyDescent="0.3">
      <c r="E8" s="48"/>
    </row>
    <row r="9" spans="2:16" x14ac:dyDescent="0.3">
      <c r="C9" s="49" t="s">
        <v>88</v>
      </c>
      <c r="D9" s="49"/>
      <c r="E9" s="50">
        <f>SUM(E12:E371)</f>
        <v>-1803770.1245239505</v>
      </c>
      <c r="F9" s="49"/>
      <c r="G9" s="51">
        <f>SUM(G12:G371)</f>
        <v>1000000.0000000017</v>
      </c>
      <c r="H9" s="49"/>
      <c r="I9" s="51">
        <f>SUM(I12:I371)</f>
        <v>803770.12452393596</v>
      </c>
    </row>
    <row r="10" spans="2:16" x14ac:dyDescent="0.3">
      <c r="G10" s="52"/>
    </row>
    <row r="11" spans="2:16" s="53" customFormat="1" ht="42.75" customHeight="1" x14ac:dyDescent="0.3">
      <c r="B11" s="53" t="s">
        <v>89</v>
      </c>
      <c r="C11" s="53" t="s">
        <v>90</v>
      </c>
      <c r="E11" s="53" t="s">
        <v>91</v>
      </c>
      <c r="G11" s="53" t="s">
        <v>92</v>
      </c>
      <c r="I11" s="53" t="s">
        <v>93</v>
      </c>
      <c r="J11" s="53" t="s">
        <v>94</v>
      </c>
      <c r="K11" s="53" t="s">
        <v>34</v>
      </c>
    </row>
    <row r="12" spans="2:16" ht="23.25" customHeight="1" x14ac:dyDescent="0.3">
      <c r="B12" s="55">
        <v>1</v>
      </c>
      <c r="C12" s="52">
        <f>E4</f>
        <v>1000000</v>
      </c>
      <c r="E12" s="54">
        <f>IF(B12&gt;$G$5+$O$5,0,1)*IF(AND($O$4&gt;0,B12&lt;=$O$5),-$E$7*$E$4,PMT($E$7,$G$5,$E$4))</f>
        <v>-4166.666666666667</v>
      </c>
      <c r="F12" s="54"/>
      <c r="G12" s="54">
        <f>IF(AND($O$4&gt;0,B12&lt;=$O$5),0,C12-K12)</f>
        <v>0</v>
      </c>
      <c r="H12" s="54"/>
      <c r="I12" s="54">
        <f>-(E12+G12)</f>
        <v>4166.666666666667</v>
      </c>
      <c r="J12" s="56">
        <f t="shared" ref="J12:J75" si="0">IFERROR(-I12/E12,"NA")</f>
        <v>1</v>
      </c>
      <c r="K12" s="54">
        <f>-FV($E$7,1,E12,C12)</f>
        <v>1000000</v>
      </c>
    </row>
    <row r="13" spans="2:16" x14ac:dyDescent="0.3">
      <c r="B13" s="41">
        <f>B12+1</f>
        <v>2</v>
      </c>
      <c r="C13" s="52">
        <f t="shared" ref="C13:C76" si="1">IF(B13&gt;$G$5+$O$5,0,K12)</f>
        <v>1000000</v>
      </c>
      <c r="E13" s="54">
        <f t="shared" ref="E13:E76" si="2">IF(B13&gt;$G$5+$O$5,0,1)*IF(AND($O$4&gt;0,B13&lt;=$O$5),-$E$7*$E$4,PMT($E$7,$G$5,$E$4))</f>
        <v>-4166.666666666667</v>
      </c>
      <c r="F13" s="54"/>
      <c r="G13" s="54">
        <f t="shared" ref="G13:G76" si="3">IF(AND($O$4&gt;0,B13&lt;=$O$5),0,C13-K13)</f>
        <v>0</v>
      </c>
      <c r="H13" s="54"/>
      <c r="I13" s="54">
        <f t="shared" ref="I13:I76" si="4">-(E13+G13)</f>
        <v>4166.666666666667</v>
      </c>
      <c r="J13" s="56">
        <f t="shared" si="0"/>
        <v>1</v>
      </c>
      <c r="K13" s="54">
        <f t="shared" ref="K13:K76" si="5">-FV($E$7,1,E13,C13)</f>
        <v>1000000</v>
      </c>
    </row>
    <row r="14" spans="2:16" x14ac:dyDescent="0.3">
      <c r="B14" s="41">
        <f t="shared" ref="B14:B77" si="6">B13+1</f>
        <v>3</v>
      </c>
      <c r="C14" s="52">
        <f t="shared" si="1"/>
        <v>1000000</v>
      </c>
      <c r="E14" s="54">
        <f t="shared" si="2"/>
        <v>-4166.666666666667</v>
      </c>
      <c r="F14" s="54"/>
      <c r="G14" s="54">
        <f t="shared" si="3"/>
        <v>0</v>
      </c>
      <c r="H14" s="54"/>
      <c r="I14" s="54">
        <f t="shared" si="4"/>
        <v>4166.666666666667</v>
      </c>
      <c r="J14" s="56">
        <f t="shared" si="0"/>
        <v>1</v>
      </c>
      <c r="K14" s="54">
        <f t="shared" si="5"/>
        <v>1000000</v>
      </c>
    </row>
    <row r="15" spans="2:16" x14ac:dyDescent="0.3">
      <c r="B15" s="41">
        <f t="shared" si="6"/>
        <v>4</v>
      </c>
      <c r="C15" s="52">
        <f t="shared" si="1"/>
        <v>1000000</v>
      </c>
      <c r="E15" s="54">
        <f t="shared" si="2"/>
        <v>-4166.666666666667</v>
      </c>
      <c r="F15" s="54"/>
      <c r="G15" s="54">
        <f t="shared" si="3"/>
        <v>0</v>
      </c>
      <c r="H15" s="54"/>
      <c r="I15" s="54">
        <f t="shared" si="4"/>
        <v>4166.666666666667</v>
      </c>
      <c r="J15" s="56">
        <f t="shared" si="0"/>
        <v>1</v>
      </c>
      <c r="K15" s="54">
        <f t="shared" si="5"/>
        <v>1000000</v>
      </c>
    </row>
    <row r="16" spans="2:16" x14ac:dyDescent="0.3">
      <c r="B16" s="41">
        <f t="shared" si="6"/>
        <v>5</v>
      </c>
      <c r="C16" s="52">
        <f t="shared" si="1"/>
        <v>1000000</v>
      </c>
      <c r="E16" s="54">
        <f t="shared" si="2"/>
        <v>-4166.666666666667</v>
      </c>
      <c r="F16" s="54"/>
      <c r="G16" s="54">
        <f t="shared" si="3"/>
        <v>0</v>
      </c>
      <c r="H16" s="54"/>
      <c r="I16" s="54">
        <f t="shared" si="4"/>
        <v>4166.666666666667</v>
      </c>
      <c r="J16" s="56">
        <f t="shared" si="0"/>
        <v>1</v>
      </c>
      <c r="K16" s="54">
        <f t="shared" si="5"/>
        <v>1000000</v>
      </c>
    </row>
    <row r="17" spans="2:11" x14ac:dyDescent="0.3">
      <c r="B17" s="41">
        <f t="shared" si="6"/>
        <v>6</v>
      </c>
      <c r="C17" s="52">
        <f t="shared" si="1"/>
        <v>1000000</v>
      </c>
      <c r="E17" s="54">
        <f t="shared" si="2"/>
        <v>-4166.666666666667</v>
      </c>
      <c r="F17" s="54"/>
      <c r="G17" s="54">
        <f t="shared" si="3"/>
        <v>0</v>
      </c>
      <c r="H17" s="54"/>
      <c r="I17" s="54">
        <f t="shared" si="4"/>
        <v>4166.666666666667</v>
      </c>
      <c r="J17" s="56">
        <f t="shared" si="0"/>
        <v>1</v>
      </c>
      <c r="K17" s="54">
        <f t="shared" si="5"/>
        <v>1000000</v>
      </c>
    </row>
    <row r="18" spans="2:11" x14ac:dyDescent="0.3">
      <c r="B18" s="41">
        <f t="shared" si="6"/>
        <v>7</v>
      </c>
      <c r="C18" s="52">
        <f t="shared" si="1"/>
        <v>1000000</v>
      </c>
      <c r="E18" s="54">
        <f t="shared" si="2"/>
        <v>-4166.666666666667</v>
      </c>
      <c r="F18" s="54"/>
      <c r="G18" s="54">
        <f t="shared" si="3"/>
        <v>0</v>
      </c>
      <c r="H18" s="54"/>
      <c r="I18" s="54">
        <f t="shared" si="4"/>
        <v>4166.666666666667</v>
      </c>
      <c r="J18" s="56">
        <f t="shared" si="0"/>
        <v>1</v>
      </c>
      <c r="K18" s="54">
        <f t="shared" si="5"/>
        <v>1000000</v>
      </c>
    </row>
    <row r="19" spans="2:11" x14ac:dyDescent="0.3">
      <c r="B19" s="41">
        <f t="shared" si="6"/>
        <v>8</v>
      </c>
      <c r="C19" s="52">
        <f t="shared" si="1"/>
        <v>1000000</v>
      </c>
      <c r="E19" s="54">
        <f t="shared" si="2"/>
        <v>-4166.666666666667</v>
      </c>
      <c r="F19" s="54"/>
      <c r="G19" s="54">
        <f t="shared" si="3"/>
        <v>0</v>
      </c>
      <c r="H19" s="54"/>
      <c r="I19" s="54">
        <f t="shared" si="4"/>
        <v>4166.666666666667</v>
      </c>
      <c r="J19" s="56">
        <f t="shared" si="0"/>
        <v>1</v>
      </c>
      <c r="K19" s="54">
        <f t="shared" si="5"/>
        <v>1000000</v>
      </c>
    </row>
    <row r="20" spans="2:11" x14ac:dyDescent="0.3">
      <c r="B20" s="41">
        <f t="shared" si="6"/>
        <v>9</v>
      </c>
      <c r="C20" s="52">
        <f t="shared" si="1"/>
        <v>1000000</v>
      </c>
      <c r="E20" s="54">
        <f t="shared" si="2"/>
        <v>-4166.666666666667</v>
      </c>
      <c r="F20" s="54"/>
      <c r="G20" s="54">
        <f t="shared" si="3"/>
        <v>0</v>
      </c>
      <c r="H20" s="54"/>
      <c r="I20" s="54">
        <f t="shared" si="4"/>
        <v>4166.666666666667</v>
      </c>
      <c r="J20" s="56">
        <f t="shared" si="0"/>
        <v>1</v>
      </c>
      <c r="K20" s="54">
        <f t="shared" si="5"/>
        <v>1000000</v>
      </c>
    </row>
    <row r="21" spans="2:11" x14ac:dyDescent="0.3">
      <c r="B21" s="41">
        <f t="shared" si="6"/>
        <v>10</v>
      </c>
      <c r="C21" s="52">
        <f t="shared" si="1"/>
        <v>1000000</v>
      </c>
      <c r="E21" s="54">
        <f t="shared" si="2"/>
        <v>-4166.666666666667</v>
      </c>
      <c r="F21" s="54"/>
      <c r="G21" s="54">
        <f t="shared" si="3"/>
        <v>0</v>
      </c>
      <c r="H21" s="54"/>
      <c r="I21" s="54">
        <f t="shared" si="4"/>
        <v>4166.666666666667</v>
      </c>
      <c r="J21" s="56">
        <f t="shared" si="0"/>
        <v>1</v>
      </c>
      <c r="K21" s="54">
        <f t="shared" si="5"/>
        <v>1000000</v>
      </c>
    </row>
    <row r="22" spans="2:11" x14ac:dyDescent="0.3">
      <c r="B22" s="41">
        <f t="shared" si="6"/>
        <v>11</v>
      </c>
      <c r="C22" s="52">
        <f t="shared" si="1"/>
        <v>1000000</v>
      </c>
      <c r="E22" s="54">
        <f t="shared" si="2"/>
        <v>-4166.666666666667</v>
      </c>
      <c r="F22" s="54"/>
      <c r="G22" s="54">
        <f t="shared" si="3"/>
        <v>0</v>
      </c>
      <c r="H22" s="54"/>
      <c r="I22" s="54">
        <f t="shared" si="4"/>
        <v>4166.666666666667</v>
      </c>
      <c r="J22" s="56">
        <f t="shared" si="0"/>
        <v>1</v>
      </c>
      <c r="K22" s="54">
        <f t="shared" si="5"/>
        <v>1000000</v>
      </c>
    </row>
    <row r="23" spans="2:11" x14ac:dyDescent="0.3">
      <c r="B23" s="41">
        <f t="shared" si="6"/>
        <v>12</v>
      </c>
      <c r="C23" s="52">
        <f t="shared" si="1"/>
        <v>1000000</v>
      </c>
      <c r="E23" s="54">
        <f t="shared" si="2"/>
        <v>-4166.666666666667</v>
      </c>
      <c r="F23" s="54"/>
      <c r="G23" s="54">
        <f t="shared" si="3"/>
        <v>0</v>
      </c>
      <c r="H23" s="54"/>
      <c r="I23" s="54">
        <f t="shared" si="4"/>
        <v>4166.666666666667</v>
      </c>
      <c r="J23" s="56">
        <f t="shared" si="0"/>
        <v>1</v>
      </c>
      <c r="K23" s="54">
        <f t="shared" si="5"/>
        <v>1000000</v>
      </c>
    </row>
    <row r="24" spans="2:11" x14ac:dyDescent="0.3">
      <c r="B24" s="41">
        <f t="shared" si="6"/>
        <v>13</v>
      </c>
      <c r="C24" s="52">
        <f t="shared" si="1"/>
        <v>1000000</v>
      </c>
      <c r="E24" s="54">
        <f t="shared" si="2"/>
        <v>-5845.9004150797909</v>
      </c>
      <c r="F24" s="54"/>
      <c r="G24" s="54">
        <f t="shared" si="3"/>
        <v>1679.2337484131567</v>
      </c>
      <c r="H24" s="54"/>
      <c r="I24" s="54">
        <f t="shared" si="4"/>
        <v>4166.6666666666342</v>
      </c>
      <c r="J24" s="56">
        <f t="shared" si="0"/>
        <v>0.71275019600376877</v>
      </c>
      <c r="K24" s="54">
        <f t="shared" si="5"/>
        <v>998320.76625158684</v>
      </c>
    </row>
    <row r="25" spans="2:11" x14ac:dyDescent="0.3">
      <c r="B25" s="41">
        <f t="shared" si="6"/>
        <v>14</v>
      </c>
      <c r="C25" s="52">
        <f t="shared" si="1"/>
        <v>998320.76625158684</v>
      </c>
      <c r="E25" s="54">
        <f t="shared" si="2"/>
        <v>-5845.9004150797909</v>
      </c>
      <c r="F25" s="54"/>
      <c r="G25" s="54">
        <f t="shared" si="3"/>
        <v>1686.2305556981592</v>
      </c>
      <c r="H25" s="54"/>
      <c r="I25" s="54">
        <f t="shared" si="4"/>
        <v>4159.6698593816318</v>
      </c>
      <c r="J25" s="56">
        <f t="shared" si="0"/>
        <v>0.71155332182046005</v>
      </c>
      <c r="K25" s="54">
        <f t="shared" si="5"/>
        <v>996634.53569588868</v>
      </c>
    </row>
    <row r="26" spans="2:11" x14ac:dyDescent="0.3">
      <c r="B26" s="41">
        <f t="shared" si="6"/>
        <v>15</v>
      </c>
      <c r="C26" s="52">
        <f t="shared" si="1"/>
        <v>996634.53569588868</v>
      </c>
      <c r="E26" s="54">
        <f t="shared" si="2"/>
        <v>-5845.9004150797909</v>
      </c>
      <c r="F26" s="54"/>
      <c r="G26" s="54">
        <f t="shared" si="3"/>
        <v>1693.2565163469408</v>
      </c>
      <c r="H26" s="54"/>
      <c r="I26" s="54">
        <f t="shared" si="4"/>
        <v>4152.6438987328502</v>
      </c>
      <c r="J26" s="56">
        <f t="shared" si="0"/>
        <v>0.710351460661372</v>
      </c>
      <c r="K26" s="54">
        <f t="shared" si="5"/>
        <v>994941.27917954174</v>
      </c>
    </row>
    <row r="27" spans="2:11" x14ac:dyDescent="0.3">
      <c r="B27" s="41">
        <f t="shared" si="6"/>
        <v>16</v>
      </c>
      <c r="C27" s="52">
        <f t="shared" si="1"/>
        <v>994941.27917954174</v>
      </c>
      <c r="E27" s="54">
        <f t="shared" si="2"/>
        <v>-5845.9004150797909</v>
      </c>
      <c r="F27" s="54"/>
      <c r="G27" s="54">
        <f t="shared" si="3"/>
        <v>1700.3117518316722</v>
      </c>
      <c r="H27" s="54"/>
      <c r="I27" s="54">
        <f t="shared" si="4"/>
        <v>4145.5886632481188</v>
      </c>
      <c r="J27" s="56">
        <f t="shared" si="0"/>
        <v>0.70914459174746913</v>
      </c>
      <c r="K27" s="54">
        <f t="shared" si="5"/>
        <v>993240.96742771007</v>
      </c>
    </row>
    <row r="28" spans="2:11" x14ac:dyDescent="0.3">
      <c r="B28" s="41">
        <f t="shared" si="6"/>
        <v>17</v>
      </c>
      <c r="C28" s="52">
        <f t="shared" si="1"/>
        <v>993240.96742771007</v>
      </c>
      <c r="E28" s="54">
        <f t="shared" si="2"/>
        <v>-5845.9004150797909</v>
      </c>
      <c r="F28" s="54"/>
      <c r="G28" s="54">
        <f t="shared" si="3"/>
        <v>1707.3963841310469</v>
      </c>
      <c r="H28" s="54"/>
      <c r="I28" s="54">
        <f t="shared" si="4"/>
        <v>4138.504030948744</v>
      </c>
      <c r="J28" s="56">
        <f t="shared" si="0"/>
        <v>0.70793269421307059</v>
      </c>
      <c r="K28" s="54">
        <f t="shared" si="5"/>
        <v>991533.57104357902</v>
      </c>
    </row>
    <row r="29" spans="2:11" x14ac:dyDescent="0.3">
      <c r="B29" s="41">
        <f t="shared" si="6"/>
        <v>18</v>
      </c>
      <c r="C29" s="52">
        <f t="shared" si="1"/>
        <v>991533.57104357902</v>
      </c>
      <c r="E29" s="54">
        <f t="shared" si="2"/>
        <v>-5845.9004150797909</v>
      </c>
      <c r="F29" s="54"/>
      <c r="G29" s="54">
        <f t="shared" si="3"/>
        <v>1714.5105357315624</v>
      </c>
      <c r="H29" s="54"/>
      <c r="I29" s="54">
        <f t="shared" si="4"/>
        <v>4131.3898793482285</v>
      </c>
      <c r="J29" s="56">
        <f t="shared" si="0"/>
        <v>0.70671574710563023</v>
      </c>
      <c r="K29" s="54">
        <f t="shared" si="5"/>
        <v>989819.06050784746</v>
      </c>
    </row>
    <row r="30" spans="2:11" x14ac:dyDescent="0.3">
      <c r="B30" s="41">
        <f t="shared" si="6"/>
        <v>19</v>
      </c>
      <c r="C30" s="52">
        <f t="shared" si="1"/>
        <v>989819.06050784746</v>
      </c>
      <c r="E30" s="54">
        <f t="shared" si="2"/>
        <v>-5845.9004150797909</v>
      </c>
      <c r="F30" s="54"/>
      <c r="G30" s="54">
        <f t="shared" si="3"/>
        <v>1721.6543296304299</v>
      </c>
      <c r="H30" s="54"/>
      <c r="I30" s="54">
        <f t="shared" si="4"/>
        <v>4124.2460854493611</v>
      </c>
      <c r="J30" s="56">
        <f t="shared" si="0"/>
        <v>0.70549372938523947</v>
      </c>
      <c r="K30" s="54">
        <f t="shared" si="5"/>
        <v>988097.40617821703</v>
      </c>
    </row>
    <row r="31" spans="2:11" x14ac:dyDescent="0.3">
      <c r="B31" s="41">
        <f t="shared" si="6"/>
        <v>20</v>
      </c>
      <c r="C31" s="52">
        <f t="shared" si="1"/>
        <v>988097.40617821703</v>
      </c>
      <c r="E31" s="54">
        <f t="shared" si="2"/>
        <v>-5845.9004150797909</v>
      </c>
      <c r="F31" s="54"/>
      <c r="G31" s="54">
        <f t="shared" si="3"/>
        <v>1728.8278893372044</v>
      </c>
      <c r="H31" s="54"/>
      <c r="I31" s="54">
        <f t="shared" si="4"/>
        <v>4117.0725257425865</v>
      </c>
      <c r="J31" s="56">
        <f t="shared" si="0"/>
        <v>0.70426661992434791</v>
      </c>
      <c r="K31" s="54">
        <f t="shared" si="5"/>
        <v>986368.57828887983</v>
      </c>
    </row>
    <row r="32" spans="2:11" x14ac:dyDescent="0.3">
      <c r="B32" s="41">
        <f t="shared" si="6"/>
        <v>21</v>
      </c>
      <c r="C32" s="52">
        <f t="shared" si="1"/>
        <v>986368.57828887983</v>
      </c>
      <c r="E32" s="54">
        <f t="shared" si="2"/>
        <v>-5845.9004150797909</v>
      </c>
      <c r="F32" s="54"/>
      <c r="G32" s="54">
        <f t="shared" si="3"/>
        <v>1736.0313388761133</v>
      </c>
      <c r="H32" s="54"/>
      <c r="I32" s="54">
        <f t="shared" si="4"/>
        <v>4109.8690762036777</v>
      </c>
      <c r="J32" s="56">
        <f t="shared" si="0"/>
        <v>0.70303439750736529</v>
      </c>
      <c r="K32" s="54">
        <f t="shared" si="5"/>
        <v>984632.54695000371</v>
      </c>
    </row>
    <row r="33" spans="2:11" x14ac:dyDescent="0.3">
      <c r="B33" s="41">
        <f t="shared" si="6"/>
        <v>22</v>
      </c>
      <c r="C33" s="52">
        <f t="shared" si="1"/>
        <v>984632.54695000371</v>
      </c>
      <c r="E33" s="54">
        <f t="shared" si="2"/>
        <v>-5845.9004150797909</v>
      </c>
      <c r="F33" s="54"/>
      <c r="G33" s="54">
        <f t="shared" si="3"/>
        <v>1743.2648027881514</v>
      </c>
      <c r="H33" s="54"/>
      <c r="I33" s="54">
        <f t="shared" si="4"/>
        <v>4102.6356122916395</v>
      </c>
      <c r="J33" s="56">
        <f t="shared" si="0"/>
        <v>0.70179704083030336</v>
      </c>
      <c r="K33" s="54">
        <f t="shared" si="5"/>
        <v>982889.28214721556</v>
      </c>
    </row>
    <row r="34" spans="2:11" x14ac:dyDescent="0.3">
      <c r="B34" s="41">
        <f t="shared" si="6"/>
        <v>23</v>
      </c>
      <c r="C34" s="52">
        <f t="shared" si="1"/>
        <v>982889.28214721556</v>
      </c>
      <c r="E34" s="54">
        <f t="shared" si="2"/>
        <v>-5845.9004150797909</v>
      </c>
      <c r="F34" s="54"/>
      <c r="G34" s="54">
        <f t="shared" si="3"/>
        <v>1750.5284061330603</v>
      </c>
      <c r="H34" s="54"/>
      <c r="I34" s="54">
        <f t="shared" si="4"/>
        <v>4095.3720089467306</v>
      </c>
      <c r="J34" s="56">
        <f t="shared" si="0"/>
        <v>0.70055452850043676</v>
      </c>
      <c r="K34" s="54">
        <f t="shared" si="5"/>
        <v>981138.7537410825</v>
      </c>
    </row>
    <row r="35" spans="2:11" x14ac:dyDescent="0.3">
      <c r="B35" s="41">
        <f t="shared" si="6"/>
        <v>24</v>
      </c>
      <c r="C35" s="52">
        <f t="shared" si="1"/>
        <v>981138.7537410825</v>
      </c>
      <c r="E35" s="54">
        <f t="shared" si="2"/>
        <v>-5845.9004150797909</v>
      </c>
      <c r="F35" s="54"/>
      <c r="G35" s="54">
        <f t="shared" si="3"/>
        <v>1757.8222744920058</v>
      </c>
      <c r="H35" s="54"/>
      <c r="I35" s="54">
        <f t="shared" si="4"/>
        <v>4088.0781405877851</v>
      </c>
      <c r="J35" s="56">
        <f t="shared" si="0"/>
        <v>0.69930683903584534</v>
      </c>
      <c r="K35" s="54">
        <f t="shared" si="5"/>
        <v>979380.9314665905</v>
      </c>
    </row>
    <row r="36" spans="2:11" x14ac:dyDescent="0.3">
      <c r="B36" s="41">
        <f t="shared" si="6"/>
        <v>25</v>
      </c>
      <c r="C36" s="52">
        <f t="shared" si="1"/>
        <v>979380.9314665905</v>
      </c>
      <c r="E36" s="54">
        <f t="shared" si="2"/>
        <v>-5845.9004150797909</v>
      </c>
      <c r="F36" s="54"/>
      <c r="G36" s="54">
        <f t="shared" si="3"/>
        <v>1765.1465339689748</v>
      </c>
      <c r="H36" s="54"/>
      <c r="I36" s="54">
        <f t="shared" si="4"/>
        <v>4080.7538811108161</v>
      </c>
      <c r="J36" s="56">
        <f t="shared" si="0"/>
        <v>0.6980539508651753</v>
      </c>
      <c r="K36" s="54">
        <f t="shared" si="5"/>
        <v>977615.78493262152</v>
      </c>
    </row>
    <row r="37" spans="2:11" x14ac:dyDescent="0.3">
      <c r="B37" s="41">
        <f t="shared" si="6"/>
        <v>26</v>
      </c>
      <c r="C37" s="52">
        <f t="shared" si="1"/>
        <v>977615.78493262152</v>
      </c>
      <c r="E37" s="54">
        <f t="shared" si="2"/>
        <v>-5845.9004150797909</v>
      </c>
      <c r="F37" s="54"/>
      <c r="G37" s="54">
        <f t="shared" si="3"/>
        <v>1772.5013111939188</v>
      </c>
      <c r="H37" s="54"/>
      <c r="I37" s="54">
        <f t="shared" si="4"/>
        <v>4073.3991038858721</v>
      </c>
      <c r="J37" s="56">
        <f t="shared" si="0"/>
        <v>0.69679584232710101</v>
      </c>
      <c r="K37" s="54">
        <f t="shared" si="5"/>
        <v>975843.2836214276</v>
      </c>
    </row>
    <row r="38" spans="2:11" x14ac:dyDescent="0.3">
      <c r="B38" s="41">
        <f t="shared" si="6"/>
        <v>27</v>
      </c>
      <c r="C38" s="52">
        <f t="shared" si="1"/>
        <v>975843.2836214276</v>
      </c>
      <c r="E38" s="54">
        <f t="shared" si="2"/>
        <v>-5845.9004150797909</v>
      </c>
      <c r="F38" s="54"/>
      <c r="G38" s="54">
        <f t="shared" si="3"/>
        <v>1779.8867333238013</v>
      </c>
      <c r="H38" s="54"/>
      <c r="I38" s="54">
        <f t="shared" si="4"/>
        <v>4066.0136817559896</v>
      </c>
      <c r="J38" s="56">
        <f t="shared" si="0"/>
        <v>0.6955324916701463</v>
      </c>
      <c r="K38" s="54">
        <f t="shared" si="5"/>
        <v>974063.3968881038</v>
      </c>
    </row>
    <row r="39" spans="2:11" x14ac:dyDescent="0.3">
      <c r="B39" s="41">
        <f t="shared" si="6"/>
        <v>28</v>
      </c>
      <c r="C39" s="52">
        <f t="shared" si="1"/>
        <v>974063.3968881038</v>
      </c>
      <c r="E39" s="54">
        <f t="shared" si="2"/>
        <v>-5845.9004150797909</v>
      </c>
      <c r="F39" s="54"/>
      <c r="G39" s="54">
        <f t="shared" si="3"/>
        <v>1787.3029280460905</v>
      </c>
      <c r="H39" s="54"/>
      <c r="I39" s="54">
        <f t="shared" si="4"/>
        <v>4058.5974870337004</v>
      </c>
      <c r="J39" s="56">
        <f t="shared" si="0"/>
        <v>0.69426387705208703</v>
      </c>
      <c r="K39" s="54">
        <f t="shared" si="5"/>
        <v>972276.09396005771</v>
      </c>
    </row>
    <row r="40" spans="2:11" x14ac:dyDescent="0.3">
      <c r="B40" s="41">
        <f t="shared" si="6"/>
        <v>29</v>
      </c>
      <c r="C40" s="52">
        <f t="shared" si="1"/>
        <v>972276.09396005771</v>
      </c>
      <c r="E40" s="54">
        <f t="shared" si="2"/>
        <v>-5845.9004150797909</v>
      </c>
      <c r="F40" s="54"/>
      <c r="G40" s="54">
        <f t="shared" si="3"/>
        <v>1794.7500235795742</v>
      </c>
      <c r="H40" s="54"/>
      <c r="I40" s="54">
        <f t="shared" si="4"/>
        <v>4051.1503915002168</v>
      </c>
      <c r="J40" s="56">
        <f t="shared" si="0"/>
        <v>0.6929899765398112</v>
      </c>
      <c r="K40" s="54">
        <f t="shared" si="5"/>
        <v>970481.34393647814</v>
      </c>
    </row>
    <row r="41" spans="2:11" x14ac:dyDescent="0.3">
      <c r="B41" s="41">
        <f t="shared" si="6"/>
        <v>30</v>
      </c>
      <c r="C41" s="52">
        <f t="shared" si="1"/>
        <v>970481.34393647814</v>
      </c>
      <c r="E41" s="54">
        <f t="shared" si="2"/>
        <v>-5845.9004150797909</v>
      </c>
      <c r="F41" s="54"/>
      <c r="G41" s="54">
        <f t="shared" si="3"/>
        <v>1802.228148677852</v>
      </c>
      <c r="H41" s="54"/>
      <c r="I41" s="54">
        <f t="shared" si="4"/>
        <v>4043.6722664019389</v>
      </c>
      <c r="J41" s="56">
        <f t="shared" si="0"/>
        <v>0.69171076810872201</v>
      </c>
      <c r="K41" s="54">
        <f t="shared" si="5"/>
        <v>968679.11578780029</v>
      </c>
    </row>
    <row r="42" spans="2:11" x14ac:dyDescent="0.3">
      <c r="B42" s="41">
        <f t="shared" si="6"/>
        <v>31</v>
      </c>
      <c r="C42" s="52">
        <f t="shared" si="1"/>
        <v>968679.11578780029</v>
      </c>
      <c r="E42" s="54">
        <f t="shared" si="2"/>
        <v>-5845.9004150797909</v>
      </c>
      <c r="F42" s="54"/>
      <c r="G42" s="54">
        <f t="shared" si="3"/>
        <v>1809.7374326306162</v>
      </c>
      <c r="H42" s="54"/>
      <c r="I42" s="54">
        <f t="shared" si="4"/>
        <v>4036.1629824491747</v>
      </c>
      <c r="J42" s="56">
        <f t="shared" si="0"/>
        <v>0.69042622964251865</v>
      </c>
      <c r="K42" s="54">
        <f t="shared" si="5"/>
        <v>966869.37835516967</v>
      </c>
    </row>
    <row r="43" spans="2:11" x14ac:dyDescent="0.3">
      <c r="B43" s="41">
        <f t="shared" si="6"/>
        <v>32</v>
      </c>
      <c r="C43" s="52">
        <f t="shared" si="1"/>
        <v>966869.37835516967</v>
      </c>
      <c r="E43" s="54">
        <f t="shared" si="2"/>
        <v>-5845.9004150797909</v>
      </c>
      <c r="F43" s="54"/>
      <c r="G43" s="54">
        <f t="shared" si="3"/>
        <v>1817.2780052665621</v>
      </c>
      <c r="H43" s="54"/>
      <c r="I43" s="54">
        <f t="shared" si="4"/>
        <v>4028.6224098132288</v>
      </c>
      <c r="J43" s="56">
        <f t="shared" si="0"/>
        <v>0.68913633893269832</v>
      </c>
      <c r="K43" s="54">
        <f t="shared" si="5"/>
        <v>965052.10034990311</v>
      </c>
    </row>
    <row r="44" spans="2:11" x14ac:dyDescent="0.3">
      <c r="B44" s="41">
        <f t="shared" si="6"/>
        <v>33</v>
      </c>
      <c r="C44" s="52">
        <f t="shared" si="1"/>
        <v>965052.10034990311</v>
      </c>
      <c r="E44" s="54">
        <f t="shared" si="2"/>
        <v>-5845.9004150797909</v>
      </c>
      <c r="F44" s="54"/>
      <c r="G44" s="54">
        <f t="shared" si="3"/>
        <v>1824.8499969552504</v>
      </c>
      <c r="H44" s="54"/>
      <c r="I44" s="54">
        <f t="shared" si="4"/>
        <v>4021.0504181245406</v>
      </c>
      <c r="J44" s="56">
        <f t="shared" si="0"/>
        <v>0.68784107367823799</v>
      </c>
      <c r="K44" s="54">
        <f t="shared" si="5"/>
        <v>963227.25035294786</v>
      </c>
    </row>
    <row r="45" spans="2:11" x14ac:dyDescent="0.3">
      <c r="B45" s="41">
        <f t="shared" si="6"/>
        <v>34</v>
      </c>
      <c r="C45" s="52">
        <f t="shared" si="1"/>
        <v>963227.25035294786</v>
      </c>
      <c r="E45" s="54">
        <f t="shared" si="2"/>
        <v>-5845.9004150797909</v>
      </c>
      <c r="F45" s="54"/>
      <c r="G45" s="54">
        <f t="shared" si="3"/>
        <v>1832.453538609203</v>
      </c>
      <c r="H45" s="54"/>
      <c r="I45" s="54">
        <f t="shared" si="4"/>
        <v>4013.446876470588</v>
      </c>
      <c r="J45" s="56">
        <f t="shared" si="0"/>
        <v>0.68654041148523537</v>
      </c>
      <c r="K45" s="54">
        <f t="shared" si="5"/>
        <v>961394.79681433865</v>
      </c>
    </row>
    <row r="46" spans="2:11" x14ac:dyDescent="0.3">
      <c r="B46" s="41">
        <f t="shared" si="6"/>
        <v>35</v>
      </c>
      <c r="C46" s="52">
        <f t="shared" si="1"/>
        <v>961394.79681433865</v>
      </c>
      <c r="E46" s="54">
        <f t="shared" si="2"/>
        <v>-5845.9004150797909</v>
      </c>
      <c r="F46" s="54"/>
      <c r="G46" s="54">
        <f t="shared" si="3"/>
        <v>1840.0887616866967</v>
      </c>
      <c r="H46" s="54"/>
      <c r="I46" s="54">
        <f t="shared" si="4"/>
        <v>4005.8116533930943</v>
      </c>
      <c r="J46" s="56">
        <f t="shared" si="0"/>
        <v>0.68523432986643151</v>
      </c>
      <c r="K46" s="54">
        <f t="shared" si="5"/>
        <v>959554.70805265196</v>
      </c>
    </row>
    <row r="47" spans="2:11" x14ac:dyDescent="0.3">
      <c r="B47" s="41">
        <f t="shared" si="6"/>
        <v>36</v>
      </c>
      <c r="C47" s="52">
        <f t="shared" si="1"/>
        <v>959554.70805265196</v>
      </c>
      <c r="E47" s="54">
        <f t="shared" si="2"/>
        <v>-5845.9004150797909</v>
      </c>
      <c r="F47" s="54"/>
      <c r="G47" s="54">
        <f t="shared" si="3"/>
        <v>1847.7557981937425</v>
      </c>
      <c r="H47" s="54"/>
      <c r="I47" s="54">
        <f t="shared" si="4"/>
        <v>3998.1446168860484</v>
      </c>
      <c r="J47" s="56">
        <f t="shared" si="0"/>
        <v>0.68392280624087187</v>
      </c>
      <c r="K47" s="54">
        <f t="shared" si="5"/>
        <v>957706.95225445821</v>
      </c>
    </row>
    <row r="48" spans="2:11" x14ac:dyDescent="0.3">
      <c r="B48" s="41">
        <f t="shared" si="6"/>
        <v>37</v>
      </c>
      <c r="C48" s="52">
        <f t="shared" si="1"/>
        <v>957706.95225445821</v>
      </c>
      <c r="E48" s="54">
        <f t="shared" si="2"/>
        <v>-5845.9004150797909</v>
      </c>
      <c r="F48" s="54"/>
      <c r="G48" s="54">
        <f t="shared" si="3"/>
        <v>1855.454780686181</v>
      </c>
      <c r="H48" s="54"/>
      <c r="I48" s="54">
        <f t="shared" si="4"/>
        <v>3990.4456343936099</v>
      </c>
      <c r="J48" s="56">
        <f t="shared" si="0"/>
        <v>0.68260581793354824</v>
      </c>
      <c r="K48" s="54">
        <f t="shared" si="5"/>
        <v>955851.49747377203</v>
      </c>
    </row>
    <row r="49" spans="2:11" x14ac:dyDescent="0.3">
      <c r="B49" s="41">
        <f t="shared" si="6"/>
        <v>38</v>
      </c>
      <c r="C49" s="52">
        <f t="shared" si="1"/>
        <v>955851.49747377203</v>
      </c>
      <c r="E49" s="54">
        <f t="shared" si="2"/>
        <v>-5845.9004150797909</v>
      </c>
      <c r="F49" s="54"/>
      <c r="G49" s="54">
        <f t="shared" si="3"/>
        <v>1863.1858422723599</v>
      </c>
      <c r="H49" s="54"/>
      <c r="I49" s="54">
        <f t="shared" si="4"/>
        <v>3982.7145728074311</v>
      </c>
      <c r="J49" s="56">
        <f t="shared" si="0"/>
        <v>0.68128334217494035</v>
      </c>
      <c r="K49" s="54">
        <f t="shared" si="5"/>
        <v>953988.31163149967</v>
      </c>
    </row>
    <row r="50" spans="2:11" x14ac:dyDescent="0.3">
      <c r="B50" s="41">
        <f t="shared" si="6"/>
        <v>39</v>
      </c>
      <c r="C50" s="52">
        <f t="shared" si="1"/>
        <v>953988.31163149967</v>
      </c>
      <c r="E50" s="54">
        <f t="shared" si="2"/>
        <v>-5845.9004150797909</v>
      </c>
      <c r="F50" s="54"/>
      <c r="G50" s="54">
        <f t="shared" si="3"/>
        <v>1870.9491166152293</v>
      </c>
      <c r="H50" s="54"/>
      <c r="I50" s="54">
        <f t="shared" si="4"/>
        <v>3974.9512984645617</v>
      </c>
      <c r="J50" s="56">
        <f t="shared" si="0"/>
        <v>0.6799553561006576</v>
      </c>
      <c r="K50" s="54">
        <f t="shared" si="5"/>
        <v>952117.36251488444</v>
      </c>
    </row>
    <row r="51" spans="2:11" x14ac:dyDescent="0.3">
      <c r="B51" s="41">
        <f t="shared" si="6"/>
        <v>40</v>
      </c>
      <c r="C51" s="52">
        <f t="shared" si="1"/>
        <v>952117.36251488444</v>
      </c>
      <c r="E51" s="54">
        <f t="shared" si="2"/>
        <v>-5845.9004150797909</v>
      </c>
      <c r="F51" s="54"/>
      <c r="G51" s="54">
        <f t="shared" si="3"/>
        <v>1878.7447379344376</v>
      </c>
      <c r="H51" s="54"/>
      <c r="I51" s="54">
        <f t="shared" si="4"/>
        <v>3967.1556771453534</v>
      </c>
      <c r="J51" s="56">
        <f t="shared" si="0"/>
        <v>0.67862183675108079</v>
      </c>
      <c r="K51" s="54">
        <f t="shared" si="5"/>
        <v>950238.61777695001</v>
      </c>
    </row>
    <row r="52" spans="2:11" x14ac:dyDescent="0.3">
      <c r="B52" s="41">
        <f t="shared" si="6"/>
        <v>41</v>
      </c>
      <c r="C52" s="52">
        <f t="shared" si="1"/>
        <v>950238.61777695001</v>
      </c>
      <c r="E52" s="54">
        <f t="shared" si="2"/>
        <v>-5845.9004150797909</v>
      </c>
      <c r="F52" s="54"/>
      <c r="G52" s="54">
        <f t="shared" si="3"/>
        <v>1886.5728410091251</v>
      </c>
      <c r="H52" s="54"/>
      <c r="I52" s="54">
        <f t="shared" si="4"/>
        <v>3959.3275740706658</v>
      </c>
      <c r="J52" s="56">
        <f t="shared" si="0"/>
        <v>0.6772827610708837</v>
      </c>
      <c r="K52" s="54">
        <f t="shared" si="5"/>
        <v>948352.04493594088</v>
      </c>
    </row>
    <row r="53" spans="2:11" x14ac:dyDescent="0.3">
      <c r="B53" s="41">
        <f t="shared" si="6"/>
        <v>42</v>
      </c>
      <c r="C53" s="52">
        <f t="shared" si="1"/>
        <v>948352.04493594088</v>
      </c>
      <c r="E53" s="54">
        <f t="shared" si="2"/>
        <v>-5845.9004150797909</v>
      </c>
      <c r="F53" s="54"/>
      <c r="G53" s="54">
        <f t="shared" si="3"/>
        <v>1894.4335611800198</v>
      </c>
      <c r="H53" s="54"/>
      <c r="I53" s="54">
        <f t="shared" si="4"/>
        <v>3951.4668538997712</v>
      </c>
      <c r="J53" s="56">
        <f t="shared" si="0"/>
        <v>0.67593810590867509</v>
      </c>
      <c r="K53" s="54">
        <f t="shared" si="5"/>
        <v>946457.61137476086</v>
      </c>
    </row>
    <row r="54" spans="2:11" x14ac:dyDescent="0.3">
      <c r="B54" s="41">
        <f t="shared" si="6"/>
        <v>43</v>
      </c>
      <c r="C54" s="52">
        <f t="shared" si="1"/>
        <v>946457.61137476086</v>
      </c>
      <c r="E54" s="54">
        <f t="shared" si="2"/>
        <v>-5845.9004150797909</v>
      </c>
      <c r="F54" s="54"/>
      <c r="G54" s="54">
        <f t="shared" si="3"/>
        <v>1902.3270343516488</v>
      </c>
      <c r="H54" s="54"/>
      <c r="I54" s="54">
        <f t="shared" si="4"/>
        <v>3943.5733807281422</v>
      </c>
      <c r="J54" s="56">
        <f t="shared" si="0"/>
        <v>0.67458784801662008</v>
      </c>
      <c r="K54" s="54">
        <f t="shared" si="5"/>
        <v>944555.28434040921</v>
      </c>
    </row>
    <row r="55" spans="2:11" x14ac:dyDescent="0.3">
      <c r="B55" s="41">
        <f t="shared" si="6"/>
        <v>44</v>
      </c>
      <c r="C55" s="52">
        <f t="shared" si="1"/>
        <v>944555.28434040921</v>
      </c>
      <c r="E55" s="54">
        <f t="shared" si="2"/>
        <v>-5845.9004150797909</v>
      </c>
      <c r="F55" s="54"/>
      <c r="G55" s="54">
        <f t="shared" si="3"/>
        <v>1910.2533969947835</v>
      </c>
      <c r="H55" s="54"/>
      <c r="I55" s="54">
        <f t="shared" si="4"/>
        <v>3935.6470180850074</v>
      </c>
      <c r="J55" s="56">
        <f t="shared" si="0"/>
        <v>0.67323196405002217</v>
      </c>
      <c r="K55" s="54">
        <f t="shared" si="5"/>
        <v>942645.03094341443</v>
      </c>
    </row>
    <row r="56" spans="2:11" x14ac:dyDescent="0.3">
      <c r="B56" s="41">
        <f t="shared" si="6"/>
        <v>45</v>
      </c>
      <c r="C56" s="52">
        <f t="shared" si="1"/>
        <v>942645.03094341443</v>
      </c>
      <c r="E56" s="54">
        <f t="shared" si="2"/>
        <v>-5845.9004150797909</v>
      </c>
      <c r="F56" s="54"/>
      <c r="G56" s="54">
        <f t="shared" si="3"/>
        <v>1918.2127861488843</v>
      </c>
      <c r="H56" s="54"/>
      <c r="I56" s="54">
        <f t="shared" si="4"/>
        <v>3927.6876289309066</v>
      </c>
      <c r="J56" s="56">
        <f t="shared" si="0"/>
        <v>0.67187043056690476</v>
      </c>
      <c r="K56" s="54">
        <f t="shared" si="5"/>
        <v>940726.81815726554</v>
      </c>
    </row>
    <row r="57" spans="2:11" x14ac:dyDescent="0.3">
      <c r="B57" s="41">
        <f t="shared" si="6"/>
        <v>46</v>
      </c>
      <c r="C57" s="52">
        <f t="shared" si="1"/>
        <v>940726.81815726554</v>
      </c>
      <c r="E57" s="54">
        <f t="shared" si="2"/>
        <v>-5845.9004150797909</v>
      </c>
      <c r="F57" s="54"/>
      <c r="G57" s="54">
        <f t="shared" si="3"/>
        <v>1926.2053394245449</v>
      </c>
      <c r="H57" s="54"/>
      <c r="I57" s="54">
        <f t="shared" si="4"/>
        <v>3919.695075655246</v>
      </c>
      <c r="J57" s="56">
        <f t="shared" si="0"/>
        <v>0.67050322402759333</v>
      </c>
      <c r="K57" s="54">
        <f t="shared" si="5"/>
        <v>938800.612817841</v>
      </c>
    </row>
    <row r="58" spans="2:11" x14ac:dyDescent="0.3">
      <c r="B58" s="41">
        <f t="shared" si="6"/>
        <v>47</v>
      </c>
      <c r="C58" s="52">
        <f t="shared" si="1"/>
        <v>938800.612817841</v>
      </c>
      <c r="E58" s="54">
        <f t="shared" si="2"/>
        <v>-5845.9004150797909</v>
      </c>
      <c r="F58" s="54"/>
      <c r="G58" s="54">
        <f t="shared" si="3"/>
        <v>1934.2311950054718</v>
      </c>
      <c r="H58" s="54"/>
      <c r="I58" s="54">
        <f t="shared" si="4"/>
        <v>3911.6692200743191</v>
      </c>
      <c r="J58" s="56">
        <f t="shared" si="0"/>
        <v>0.66913032079437651</v>
      </c>
      <c r="K58" s="54">
        <f t="shared" si="5"/>
        <v>936866.38162283553</v>
      </c>
    </row>
    <row r="59" spans="2:11" x14ac:dyDescent="0.3">
      <c r="B59" s="41">
        <f t="shared" si="6"/>
        <v>48</v>
      </c>
      <c r="C59" s="52">
        <f t="shared" si="1"/>
        <v>936866.38162283553</v>
      </c>
      <c r="E59" s="54">
        <f t="shared" si="2"/>
        <v>-5845.9004150797909</v>
      </c>
      <c r="F59" s="54"/>
      <c r="G59" s="54">
        <f t="shared" si="3"/>
        <v>1942.290491651278</v>
      </c>
      <c r="H59" s="54"/>
      <c r="I59" s="54">
        <f t="shared" si="4"/>
        <v>3903.609923428513</v>
      </c>
      <c r="J59" s="56">
        <f t="shared" si="0"/>
        <v>0.66775169713102822</v>
      </c>
      <c r="K59" s="54">
        <f t="shared" si="5"/>
        <v>934924.09113118425</v>
      </c>
    </row>
    <row r="60" spans="2:11" x14ac:dyDescent="0.3">
      <c r="B60" s="41">
        <f t="shared" si="6"/>
        <v>49</v>
      </c>
      <c r="C60" s="52">
        <f t="shared" si="1"/>
        <v>934924.09113118425</v>
      </c>
      <c r="E60" s="54">
        <f t="shared" si="2"/>
        <v>-5845.9004150797909</v>
      </c>
      <c r="F60" s="54"/>
      <c r="G60" s="54">
        <f t="shared" si="3"/>
        <v>1950.3833686998114</v>
      </c>
      <c r="H60" s="54"/>
      <c r="I60" s="54">
        <f t="shared" si="4"/>
        <v>3895.5170463799795</v>
      </c>
      <c r="J60" s="56">
        <f t="shared" si="0"/>
        <v>0.66636732920240982</v>
      </c>
      <c r="K60" s="54">
        <f t="shared" si="5"/>
        <v>932973.70776248444</v>
      </c>
    </row>
    <row r="61" spans="2:11" x14ac:dyDescent="0.3">
      <c r="B61" s="41">
        <f t="shared" si="6"/>
        <v>50</v>
      </c>
      <c r="C61" s="52">
        <f t="shared" si="1"/>
        <v>932973.70776248444</v>
      </c>
      <c r="E61" s="54">
        <f t="shared" si="2"/>
        <v>-5845.9004150797909</v>
      </c>
      <c r="F61" s="54"/>
      <c r="G61" s="54">
        <f t="shared" si="3"/>
        <v>1958.5099660694832</v>
      </c>
      <c r="H61" s="54"/>
      <c r="I61" s="54">
        <f t="shared" si="4"/>
        <v>3887.3904490103077</v>
      </c>
      <c r="J61" s="56">
        <f t="shared" si="0"/>
        <v>0.66497719307407133</v>
      </c>
      <c r="K61" s="54">
        <f t="shared" si="5"/>
        <v>931015.19779641496</v>
      </c>
    </row>
    <row r="62" spans="2:11" x14ac:dyDescent="0.3">
      <c r="B62" s="41">
        <f t="shared" si="6"/>
        <v>51</v>
      </c>
      <c r="C62" s="52">
        <f t="shared" si="1"/>
        <v>931015.19779641496</v>
      </c>
      <c r="E62" s="54">
        <f t="shared" si="2"/>
        <v>-5845.9004150797909</v>
      </c>
      <c r="F62" s="54"/>
      <c r="G62" s="54">
        <f t="shared" si="3"/>
        <v>1966.6704242613632</v>
      </c>
      <c r="H62" s="54"/>
      <c r="I62" s="54">
        <f t="shared" si="4"/>
        <v>3879.2299908184277</v>
      </c>
      <c r="J62" s="56">
        <f t="shared" si="0"/>
        <v>0.66358126471189294</v>
      </c>
      <c r="K62" s="54">
        <f t="shared" si="5"/>
        <v>929048.52737215359</v>
      </c>
    </row>
    <row r="63" spans="2:11" x14ac:dyDescent="0.3">
      <c r="B63" s="41">
        <f t="shared" si="6"/>
        <v>52</v>
      </c>
      <c r="C63" s="52">
        <f t="shared" si="1"/>
        <v>929048.52737215359</v>
      </c>
      <c r="E63" s="54">
        <f t="shared" si="2"/>
        <v>-5845.9004150797909</v>
      </c>
      <c r="F63" s="54"/>
      <c r="G63" s="54">
        <f t="shared" si="3"/>
        <v>1974.8648843624396</v>
      </c>
      <c r="H63" s="54"/>
      <c r="I63" s="54">
        <f t="shared" si="4"/>
        <v>3871.0355307173513</v>
      </c>
      <c r="J63" s="56">
        <f t="shared" si="0"/>
        <v>0.66217951998152802</v>
      </c>
      <c r="K63" s="54">
        <f t="shared" si="5"/>
        <v>927073.66248779115</v>
      </c>
    </row>
    <row r="64" spans="2:11" x14ac:dyDescent="0.3">
      <c r="B64" s="41">
        <f t="shared" si="6"/>
        <v>53</v>
      </c>
      <c r="C64" s="52">
        <f t="shared" si="1"/>
        <v>927073.66248779115</v>
      </c>
      <c r="E64" s="54">
        <f t="shared" si="2"/>
        <v>-5845.9004150797909</v>
      </c>
      <c r="F64" s="54"/>
      <c r="G64" s="54">
        <f t="shared" si="3"/>
        <v>1983.0934880473651</v>
      </c>
      <c r="H64" s="54"/>
      <c r="I64" s="54">
        <f t="shared" si="4"/>
        <v>3862.8069270324258</v>
      </c>
      <c r="J64" s="56">
        <f t="shared" si="0"/>
        <v>0.66077193464810369</v>
      </c>
      <c r="K64" s="54">
        <f t="shared" si="5"/>
        <v>925090.56899974379</v>
      </c>
    </row>
    <row r="65" spans="2:11" x14ac:dyDescent="0.3">
      <c r="B65" s="41">
        <f t="shared" si="6"/>
        <v>54</v>
      </c>
      <c r="C65" s="52">
        <f t="shared" si="1"/>
        <v>925090.56899974379</v>
      </c>
      <c r="E65" s="54">
        <f t="shared" si="2"/>
        <v>-5845.9004150797909</v>
      </c>
      <c r="F65" s="54"/>
      <c r="G65" s="54">
        <f t="shared" si="3"/>
        <v>1991.3563775809016</v>
      </c>
      <c r="H65" s="54"/>
      <c r="I65" s="54">
        <f t="shared" si="4"/>
        <v>3854.5440374988893</v>
      </c>
      <c r="J65" s="56">
        <f t="shared" si="0"/>
        <v>0.65935848437580313</v>
      </c>
      <c r="K65" s="54">
        <f t="shared" si="5"/>
        <v>923099.21262216289</v>
      </c>
    </row>
    <row r="66" spans="2:11" x14ac:dyDescent="0.3">
      <c r="B66" s="41">
        <f t="shared" si="6"/>
        <v>55</v>
      </c>
      <c r="C66" s="52">
        <f t="shared" si="1"/>
        <v>923099.21262216289</v>
      </c>
      <c r="E66" s="54">
        <f t="shared" si="2"/>
        <v>-5845.9004150797909</v>
      </c>
      <c r="F66" s="54"/>
      <c r="G66" s="54">
        <f t="shared" si="3"/>
        <v>1999.6536958208308</v>
      </c>
      <c r="H66" s="54"/>
      <c r="I66" s="54">
        <f t="shared" si="4"/>
        <v>3846.2467192589602</v>
      </c>
      <c r="J66" s="56">
        <f t="shared" si="0"/>
        <v>0.65793914472736748</v>
      </c>
      <c r="K66" s="54">
        <f t="shared" si="5"/>
        <v>921099.55892634206</v>
      </c>
    </row>
    <row r="67" spans="2:11" x14ac:dyDescent="0.3">
      <c r="B67" s="41">
        <f t="shared" si="6"/>
        <v>56</v>
      </c>
      <c r="C67" s="52">
        <f t="shared" si="1"/>
        <v>921099.55892634206</v>
      </c>
      <c r="E67" s="54">
        <f t="shared" si="2"/>
        <v>-5845.9004150797909</v>
      </c>
      <c r="F67" s="54"/>
      <c r="G67" s="54">
        <f t="shared" si="3"/>
        <v>2007.9855862200493</v>
      </c>
      <c r="H67" s="54"/>
      <c r="I67" s="54">
        <f t="shared" si="4"/>
        <v>3837.9148288597416</v>
      </c>
      <c r="J67" s="56">
        <f t="shared" si="0"/>
        <v>0.65651389116373748</v>
      </c>
      <c r="K67" s="54">
        <f t="shared" si="5"/>
        <v>919091.57334012201</v>
      </c>
    </row>
    <row r="68" spans="2:11" x14ac:dyDescent="0.3">
      <c r="B68" s="41">
        <f t="shared" si="6"/>
        <v>57</v>
      </c>
      <c r="C68" s="52">
        <f t="shared" si="1"/>
        <v>919091.57334012201</v>
      </c>
      <c r="E68" s="54">
        <f t="shared" si="2"/>
        <v>-5845.9004150797909</v>
      </c>
      <c r="F68" s="54"/>
      <c r="G68" s="54">
        <f t="shared" si="3"/>
        <v>2016.3521928292466</v>
      </c>
      <c r="H68" s="54"/>
      <c r="I68" s="54">
        <f t="shared" si="4"/>
        <v>3829.5482222505443</v>
      </c>
      <c r="J68" s="56">
        <f t="shared" si="0"/>
        <v>0.6550826990435954</v>
      </c>
      <c r="K68" s="54">
        <f t="shared" si="5"/>
        <v>917075.22114729276</v>
      </c>
    </row>
    <row r="69" spans="2:11" x14ac:dyDescent="0.3">
      <c r="B69" s="41">
        <f t="shared" si="6"/>
        <v>58</v>
      </c>
      <c r="C69" s="52">
        <f t="shared" si="1"/>
        <v>917075.22114729276</v>
      </c>
      <c r="E69" s="54">
        <f t="shared" si="2"/>
        <v>-5845.9004150797909</v>
      </c>
      <c r="F69" s="54"/>
      <c r="G69" s="54">
        <f t="shared" si="3"/>
        <v>2024.753660299466</v>
      </c>
      <c r="H69" s="54"/>
      <c r="I69" s="54">
        <f t="shared" si="4"/>
        <v>3821.146754780325</v>
      </c>
      <c r="J69" s="56">
        <f t="shared" si="0"/>
        <v>0.65364554362292704</v>
      </c>
      <c r="K69" s="54">
        <f t="shared" si="5"/>
        <v>915050.46748699329</v>
      </c>
    </row>
    <row r="70" spans="2:11" x14ac:dyDescent="0.3">
      <c r="B70" s="41">
        <f t="shared" si="6"/>
        <v>59</v>
      </c>
      <c r="C70" s="52">
        <f t="shared" si="1"/>
        <v>915050.46748699329</v>
      </c>
      <c r="E70" s="54">
        <f t="shared" si="2"/>
        <v>-5845.9004150797909</v>
      </c>
      <c r="F70" s="54"/>
      <c r="G70" s="54">
        <f t="shared" si="3"/>
        <v>2033.1901338839671</v>
      </c>
      <c r="H70" s="54"/>
      <c r="I70" s="54">
        <f t="shared" si="4"/>
        <v>3812.7102811958239</v>
      </c>
      <c r="J70" s="56">
        <f t="shared" si="0"/>
        <v>0.65220240005470298</v>
      </c>
      <c r="K70" s="54">
        <f t="shared" si="5"/>
        <v>913017.27735310933</v>
      </c>
    </row>
    <row r="71" spans="2:11" x14ac:dyDescent="0.3">
      <c r="B71" s="41">
        <f t="shared" si="6"/>
        <v>60</v>
      </c>
      <c r="C71" s="52">
        <f t="shared" si="1"/>
        <v>913017.27735310933</v>
      </c>
      <c r="E71" s="54">
        <f t="shared" si="2"/>
        <v>-5845.9004150797909</v>
      </c>
      <c r="F71" s="54"/>
      <c r="G71" s="54">
        <f t="shared" si="3"/>
        <v>2041.6617594418349</v>
      </c>
      <c r="H71" s="54"/>
      <c r="I71" s="54">
        <f t="shared" si="4"/>
        <v>3804.2386556379561</v>
      </c>
      <c r="J71" s="56">
        <f t="shared" si="0"/>
        <v>0.65075324338826113</v>
      </c>
      <c r="K71" s="54">
        <f t="shared" si="5"/>
        <v>910975.61559366749</v>
      </c>
    </row>
    <row r="72" spans="2:11" x14ac:dyDescent="0.3">
      <c r="B72" s="41">
        <f t="shared" si="6"/>
        <v>61</v>
      </c>
      <c r="C72" s="52">
        <f t="shared" si="1"/>
        <v>910975.61559366749</v>
      </c>
      <c r="E72" s="54">
        <f t="shared" si="2"/>
        <v>-5845.9004150797909</v>
      </c>
      <c r="F72" s="54"/>
      <c r="G72" s="54">
        <f t="shared" si="3"/>
        <v>2050.1686834394932</v>
      </c>
      <c r="H72" s="54"/>
      <c r="I72" s="54">
        <f t="shared" si="4"/>
        <v>3795.7317316402978</v>
      </c>
      <c r="J72" s="56">
        <f t="shared" si="0"/>
        <v>0.64929804856904827</v>
      </c>
      <c r="K72" s="54">
        <f t="shared" si="5"/>
        <v>908925.446910228</v>
      </c>
    </row>
    <row r="73" spans="2:11" x14ac:dyDescent="0.3">
      <c r="B73" s="41">
        <f t="shared" si="6"/>
        <v>62</v>
      </c>
      <c r="C73" s="52">
        <f t="shared" si="1"/>
        <v>908925.446910228</v>
      </c>
      <c r="E73" s="54">
        <f t="shared" si="2"/>
        <v>-5845.9004150797909</v>
      </c>
      <c r="F73" s="54"/>
      <c r="G73" s="54">
        <f t="shared" si="3"/>
        <v>2058.7110529538477</v>
      </c>
      <c r="H73" s="54"/>
      <c r="I73" s="54">
        <f t="shared" si="4"/>
        <v>3787.1893621259433</v>
      </c>
      <c r="J73" s="56">
        <f t="shared" si="0"/>
        <v>0.64783679043808207</v>
      </c>
      <c r="K73" s="54">
        <f t="shared" si="5"/>
        <v>906866.73585727415</v>
      </c>
    </row>
    <row r="74" spans="2:11" x14ac:dyDescent="0.3">
      <c r="B74" s="41">
        <f t="shared" si="6"/>
        <v>63</v>
      </c>
      <c r="C74" s="52">
        <f t="shared" si="1"/>
        <v>906866.73585727415</v>
      </c>
      <c r="E74" s="54">
        <f t="shared" si="2"/>
        <v>-5845.9004150797909</v>
      </c>
      <c r="F74" s="54"/>
      <c r="G74" s="54">
        <f t="shared" si="3"/>
        <v>2067.2890156744979</v>
      </c>
      <c r="H74" s="54"/>
      <c r="I74" s="54">
        <f t="shared" si="4"/>
        <v>3778.611399405293</v>
      </c>
      <c r="J74" s="56">
        <f t="shared" si="0"/>
        <v>0.64636944373157246</v>
      </c>
      <c r="K74" s="54">
        <f t="shared" si="5"/>
        <v>904799.44684159965</v>
      </c>
    </row>
    <row r="75" spans="2:11" x14ac:dyDescent="0.3">
      <c r="B75" s="41">
        <f t="shared" si="6"/>
        <v>64</v>
      </c>
      <c r="C75" s="52">
        <f t="shared" si="1"/>
        <v>904799.44684159965</v>
      </c>
      <c r="E75" s="54">
        <f t="shared" si="2"/>
        <v>-5845.9004150797909</v>
      </c>
      <c r="F75" s="54"/>
      <c r="G75" s="54">
        <f t="shared" si="3"/>
        <v>2075.9027199064149</v>
      </c>
      <c r="H75" s="54"/>
      <c r="I75" s="54">
        <f t="shared" si="4"/>
        <v>3769.9976951733761</v>
      </c>
      <c r="J75" s="56">
        <f t="shared" si="0"/>
        <v>0.64489598308046425</v>
      </c>
      <c r="K75" s="54">
        <f t="shared" si="5"/>
        <v>902723.54412169324</v>
      </c>
    </row>
    <row r="76" spans="2:11" x14ac:dyDescent="0.3">
      <c r="B76" s="41">
        <f t="shared" si="6"/>
        <v>65</v>
      </c>
      <c r="C76" s="52">
        <f t="shared" si="1"/>
        <v>902723.54412169324</v>
      </c>
      <c r="E76" s="54">
        <f t="shared" si="2"/>
        <v>-5845.9004150797909</v>
      </c>
      <c r="F76" s="54"/>
      <c r="G76" s="54">
        <f t="shared" si="3"/>
        <v>2084.5523145727348</v>
      </c>
      <c r="H76" s="54"/>
      <c r="I76" s="54">
        <f t="shared" si="4"/>
        <v>3761.3481005070562</v>
      </c>
      <c r="J76" s="56">
        <f t="shared" ref="J76:J139" si="7">IFERROR(-I76/E76,"NA")</f>
        <v>0.64341638300995885</v>
      </c>
      <c r="K76" s="54">
        <f t="shared" si="5"/>
        <v>900638.9918071205</v>
      </c>
    </row>
    <row r="77" spans="2:11" x14ac:dyDescent="0.3">
      <c r="B77" s="41">
        <f t="shared" si="6"/>
        <v>66</v>
      </c>
      <c r="C77" s="52">
        <f t="shared" ref="C77:C140" si="8">IF(B77&gt;$G$5+$O$5,0,K76)</f>
        <v>900638.9918071205</v>
      </c>
      <c r="E77" s="54">
        <f t="shared" ref="E77:E140" si="9">IF(B77&gt;$G$5+$O$5,0,1)*IF(AND($O$4&gt;0,B77&lt;=$O$5),-$E$7*$E$4,PMT($E$7,$G$5,$E$4))</f>
        <v>-5845.9004150797909</v>
      </c>
      <c r="F77" s="54"/>
      <c r="G77" s="54">
        <f t="shared" ref="G77:G140" si="10">IF(AND($O$4&gt;0,B77&lt;=$O$5),0,C77-K77)</f>
        <v>2093.2379492167383</v>
      </c>
      <c r="H77" s="54"/>
      <c r="I77" s="54">
        <f t="shared" ref="I77:I140" si="11">-(E77+G77)</f>
        <v>3752.6624658630526</v>
      </c>
      <c r="J77" s="56">
        <f t="shared" si="7"/>
        <v>0.6419306179391755</v>
      </c>
      <c r="K77" s="54">
        <f t="shared" ref="K77:K140" si="12">-FV($E$7,1,E77,C77)</f>
        <v>898545.75385790376</v>
      </c>
    </row>
    <row r="78" spans="2:11" x14ac:dyDescent="0.3">
      <c r="B78" s="41">
        <f t="shared" ref="B78:B141" si="13">B77+1</f>
        <v>67</v>
      </c>
      <c r="C78" s="52">
        <f t="shared" si="8"/>
        <v>898545.75385790376</v>
      </c>
      <c r="E78" s="54">
        <f t="shared" si="9"/>
        <v>-5845.9004150797909</v>
      </c>
      <c r="F78" s="54"/>
      <c r="G78" s="54">
        <f t="shared" si="10"/>
        <v>2101.9597740052268</v>
      </c>
      <c r="H78" s="54"/>
      <c r="I78" s="54">
        <f t="shared" si="11"/>
        <v>3743.9406410745642</v>
      </c>
      <c r="J78" s="56">
        <f t="shared" si="7"/>
        <v>0.6404386621805741</v>
      </c>
      <c r="K78" s="54">
        <f t="shared" si="12"/>
        <v>896443.79408389854</v>
      </c>
    </row>
    <row r="79" spans="2:11" x14ac:dyDescent="0.3">
      <c r="B79" s="41">
        <f t="shared" si="13"/>
        <v>68</v>
      </c>
      <c r="C79" s="52">
        <f t="shared" si="8"/>
        <v>896443.79408389854</v>
      </c>
      <c r="E79" s="54">
        <f t="shared" si="9"/>
        <v>-5845.9004150797909</v>
      </c>
      <c r="F79" s="54"/>
      <c r="G79" s="54">
        <f t="shared" si="10"/>
        <v>2110.717939730268</v>
      </c>
      <c r="H79" s="54"/>
      <c r="I79" s="54">
        <f t="shared" si="11"/>
        <v>3735.182475349523</v>
      </c>
      <c r="J79" s="56">
        <f t="shared" si="7"/>
        <v>0.63894048993965646</v>
      </c>
      <c r="K79" s="54">
        <f t="shared" si="12"/>
        <v>894333.07614416827</v>
      </c>
    </row>
    <row r="80" spans="2:11" x14ac:dyDescent="0.3">
      <c r="B80" s="41">
        <f t="shared" si="13"/>
        <v>69</v>
      </c>
      <c r="C80" s="52">
        <f t="shared" si="8"/>
        <v>894333.07614416827</v>
      </c>
      <c r="E80" s="54">
        <f t="shared" si="9"/>
        <v>-5845.9004150797909</v>
      </c>
      <c r="F80" s="54"/>
      <c r="G80" s="54">
        <f t="shared" si="10"/>
        <v>2119.5125978124561</v>
      </c>
      <c r="H80" s="54"/>
      <c r="I80" s="54">
        <f t="shared" si="11"/>
        <v>3726.3878172673349</v>
      </c>
      <c r="J80" s="56">
        <f t="shared" si="7"/>
        <v>0.63743607531440871</v>
      </c>
      <c r="K80" s="54">
        <f t="shared" si="12"/>
        <v>892213.56354635581</v>
      </c>
    </row>
    <row r="81" spans="2:11" x14ac:dyDescent="0.3">
      <c r="B81" s="41">
        <f t="shared" si="13"/>
        <v>70</v>
      </c>
      <c r="C81" s="52">
        <f t="shared" si="8"/>
        <v>892213.56354635581</v>
      </c>
      <c r="E81" s="54">
        <f t="shared" si="9"/>
        <v>-5845.9004150797909</v>
      </c>
      <c r="F81" s="54"/>
      <c r="G81" s="54">
        <f t="shared" si="10"/>
        <v>2128.3439003033563</v>
      </c>
      <c r="H81" s="54"/>
      <c r="I81" s="54">
        <f t="shared" si="11"/>
        <v>3717.5565147764346</v>
      </c>
      <c r="J81" s="56">
        <f t="shared" si="7"/>
        <v>0.63592539229488287</v>
      </c>
      <c r="K81" s="54">
        <f t="shared" si="12"/>
        <v>890085.21964605246</v>
      </c>
    </row>
    <row r="82" spans="2:11" x14ac:dyDescent="0.3">
      <c r="B82" s="41">
        <f t="shared" si="13"/>
        <v>71</v>
      </c>
      <c r="C82" s="52">
        <f t="shared" si="8"/>
        <v>890085.21964605246</v>
      </c>
      <c r="E82" s="54">
        <f t="shared" si="9"/>
        <v>-5845.9004150797909</v>
      </c>
      <c r="F82" s="54"/>
      <c r="G82" s="54">
        <f t="shared" si="10"/>
        <v>2137.2119998879498</v>
      </c>
      <c r="H82" s="54"/>
      <c r="I82" s="54">
        <f t="shared" si="11"/>
        <v>3708.6884151918412</v>
      </c>
      <c r="J82" s="56">
        <f t="shared" si="7"/>
        <v>0.63440841476277887</v>
      </c>
      <c r="K82" s="54">
        <f t="shared" si="12"/>
        <v>887948.00764616451</v>
      </c>
    </row>
    <row r="83" spans="2:11" x14ac:dyDescent="0.3">
      <c r="B83" s="41">
        <f t="shared" si="13"/>
        <v>72</v>
      </c>
      <c r="C83" s="52">
        <f t="shared" si="8"/>
        <v>887948.00764616451</v>
      </c>
      <c r="E83" s="54">
        <f t="shared" si="9"/>
        <v>-5845.9004150797909</v>
      </c>
      <c r="F83" s="54"/>
      <c r="G83" s="54">
        <f t="shared" si="10"/>
        <v>2146.1170498874271</v>
      </c>
      <c r="H83" s="54"/>
      <c r="I83" s="54">
        <f t="shared" si="11"/>
        <v>3699.7833651923638</v>
      </c>
      <c r="J83" s="56">
        <f t="shared" si="7"/>
        <v>0.63288511649096668</v>
      </c>
      <c r="K83" s="54">
        <f t="shared" si="12"/>
        <v>885801.89059627708</v>
      </c>
    </row>
    <row r="84" spans="2:11" x14ac:dyDescent="0.3">
      <c r="B84" s="41">
        <f t="shared" si="13"/>
        <v>73</v>
      </c>
      <c r="C84" s="52">
        <f t="shared" si="8"/>
        <v>885801.89059627708</v>
      </c>
      <c r="E84" s="54">
        <f t="shared" si="9"/>
        <v>-5845.9004150797909</v>
      </c>
      <c r="F84" s="54"/>
      <c r="G84" s="54">
        <f t="shared" si="10"/>
        <v>2155.0592042619828</v>
      </c>
      <c r="H84" s="54"/>
      <c r="I84" s="54">
        <f t="shared" si="11"/>
        <v>3690.8412108178081</v>
      </c>
      <c r="J84" s="56">
        <f t="shared" si="7"/>
        <v>0.63135547114300816</v>
      </c>
      <c r="K84" s="54">
        <f t="shared" si="12"/>
        <v>883646.8313920151</v>
      </c>
    </row>
    <row r="85" spans="2:11" x14ac:dyDescent="0.3">
      <c r="B85" s="41">
        <f t="shared" si="13"/>
        <v>74</v>
      </c>
      <c r="C85" s="52">
        <f t="shared" si="8"/>
        <v>883646.8313920151</v>
      </c>
      <c r="E85" s="54">
        <f t="shared" si="9"/>
        <v>-5845.9004150797909</v>
      </c>
      <c r="F85" s="54"/>
      <c r="G85" s="54">
        <f t="shared" si="10"/>
        <v>2164.0386176130269</v>
      </c>
      <c r="H85" s="54"/>
      <c r="I85" s="54">
        <f t="shared" si="11"/>
        <v>3681.8617974667641</v>
      </c>
      <c r="J85" s="56">
        <f t="shared" si="7"/>
        <v>0.6298194522727788</v>
      </c>
      <c r="K85" s="54">
        <f t="shared" si="12"/>
        <v>881482.79277440207</v>
      </c>
    </row>
    <row r="86" spans="2:11" x14ac:dyDescent="0.3">
      <c r="B86" s="41">
        <f t="shared" si="13"/>
        <v>75</v>
      </c>
      <c r="C86" s="52">
        <f t="shared" si="8"/>
        <v>881482.79277440207</v>
      </c>
      <c r="E86" s="54">
        <f t="shared" si="9"/>
        <v>-5845.9004150797909</v>
      </c>
      <c r="F86" s="54"/>
      <c r="G86" s="54">
        <f t="shared" si="10"/>
        <v>2173.0554451864446</v>
      </c>
      <c r="H86" s="54"/>
      <c r="I86" s="54">
        <f t="shared" si="11"/>
        <v>3672.8449698933464</v>
      </c>
      <c r="J86" s="56">
        <f t="shared" si="7"/>
        <v>0.62827703332391027</v>
      </c>
      <c r="K86" s="54">
        <f t="shared" si="12"/>
        <v>879309.73732921563</v>
      </c>
    </row>
    <row r="87" spans="2:11" x14ac:dyDescent="0.3">
      <c r="B87" s="41">
        <f t="shared" si="13"/>
        <v>76</v>
      </c>
      <c r="C87" s="52">
        <f t="shared" si="8"/>
        <v>879309.73732921563</v>
      </c>
      <c r="E87" s="54">
        <f t="shared" si="9"/>
        <v>-5845.9004150797909</v>
      </c>
      <c r="F87" s="54"/>
      <c r="G87" s="54">
        <f t="shared" si="10"/>
        <v>2182.1098428746918</v>
      </c>
      <c r="H87" s="54"/>
      <c r="I87" s="54">
        <f t="shared" si="11"/>
        <v>3663.7905722050991</v>
      </c>
      <c r="J87" s="56">
        <f t="shared" si="7"/>
        <v>0.62672818762943161</v>
      </c>
      <c r="K87" s="54">
        <f t="shared" si="12"/>
        <v>877127.62748634093</v>
      </c>
    </row>
    <row r="88" spans="2:11" x14ac:dyDescent="0.3">
      <c r="B88" s="41">
        <f t="shared" si="13"/>
        <v>77</v>
      </c>
      <c r="C88" s="52">
        <f t="shared" si="8"/>
        <v>877127.62748634093</v>
      </c>
      <c r="E88" s="54">
        <f t="shared" si="9"/>
        <v>-5845.9004150797909</v>
      </c>
      <c r="F88" s="54"/>
      <c r="G88" s="54">
        <f t="shared" si="10"/>
        <v>2191.2019672200549</v>
      </c>
      <c r="H88" s="54"/>
      <c r="I88" s="54">
        <f t="shared" si="11"/>
        <v>3654.698447859736</v>
      </c>
      <c r="J88" s="56">
        <f t="shared" si="7"/>
        <v>0.62517288841121199</v>
      </c>
      <c r="K88" s="54">
        <f t="shared" si="12"/>
        <v>874936.42551912088</v>
      </c>
    </row>
    <row r="89" spans="2:11" x14ac:dyDescent="0.3">
      <c r="B89" s="41">
        <f t="shared" si="13"/>
        <v>78</v>
      </c>
      <c r="C89" s="52">
        <f t="shared" si="8"/>
        <v>874936.42551912088</v>
      </c>
      <c r="E89" s="54">
        <f t="shared" si="9"/>
        <v>-5845.9004150797909</v>
      </c>
      <c r="F89" s="54"/>
      <c r="G89" s="54">
        <f t="shared" si="10"/>
        <v>2200.331975416746</v>
      </c>
      <c r="H89" s="54"/>
      <c r="I89" s="54">
        <f t="shared" si="11"/>
        <v>3645.568439663045</v>
      </c>
      <c r="J89" s="56">
        <f t="shared" si="7"/>
        <v>0.62361110877960213</v>
      </c>
      <c r="K89" s="54">
        <f t="shared" si="12"/>
        <v>872736.09354370413</v>
      </c>
    </row>
    <row r="90" spans="2:11" x14ac:dyDescent="0.3">
      <c r="B90" s="41">
        <f t="shared" si="13"/>
        <v>79</v>
      </c>
      <c r="C90" s="52">
        <f t="shared" si="8"/>
        <v>872736.09354370413</v>
      </c>
      <c r="E90" s="54">
        <f t="shared" si="9"/>
        <v>-5845.9004150797909</v>
      </c>
      <c r="F90" s="54"/>
      <c r="G90" s="54">
        <f t="shared" si="10"/>
        <v>2209.5000253143953</v>
      </c>
      <c r="H90" s="54"/>
      <c r="I90" s="54">
        <f t="shared" si="11"/>
        <v>3636.4003897653956</v>
      </c>
      <c r="J90" s="56">
        <f t="shared" si="7"/>
        <v>0.62204282173283687</v>
      </c>
      <c r="K90" s="54">
        <f t="shared" si="12"/>
        <v>870526.59351838974</v>
      </c>
    </row>
    <row r="91" spans="2:11" x14ac:dyDescent="0.3">
      <c r="B91" s="41">
        <f t="shared" si="13"/>
        <v>80</v>
      </c>
      <c r="C91" s="52">
        <f t="shared" si="8"/>
        <v>870526.59351838974</v>
      </c>
      <c r="E91" s="54">
        <f t="shared" si="9"/>
        <v>-5845.9004150797909</v>
      </c>
      <c r="F91" s="54"/>
      <c r="G91" s="54">
        <f t="shared" si="10"/>
        <v>2218.7062754197977</v>
      </c>
      <c r="H91" s="54"/>
      <c r="I91" s="54">
        <f t="shared" si="11"/>
        <v>3627.1941396599932</v>
      </c>
      <c r="J91" s="56">
        <f t="shared" si="7"/>
        <v>0.62046800015673642</v>
      </c>
      <c r="K91" s="54">
        <f t="shared" si="12"/>
        <v>868307.88724296994</v>
      </c>
    </row>
    <row r="92" spans="2:11" x14ac:dyDescent="0.3">
      <c r="B92" s="41">
        <f t="shared" si="13"/>
        <v>81</v>
      </c>
      <c r="C92" s="52">
        <f t="shared" si="8"/>
        <v>868307.88724296994</v>
      </c>
      <c r="E92" s="54">
        <f t="shared" si="9"/>
        <v>-5845.9004150797909</v>
      </c>
      <c r="F92" s="54"/>
      <c r="G92" s="54">
        <f t="shared" si="10"/>
        <v>2227.9508849007543</v>
      </c>
      <c r="H92" s="54"/>
      <c r="I92" s="54">
        <f t="shared" si="11"/>
        <v>3617.9495301790366</v>
      </c>
      <c r="J92" s="56">
        <f t="shared" si="7"/>
        <v>0.61888661682404922</v>
      </c>
      <c r="K92" s="54">
        <f t="shared" si="12"/>
        <v>866079.93635806919</v>
      </c>
    </row>
    <row r="93" spans="2:11" x14ac:dyDescent="0.3">
      <c r="B93" s="41">
        <f t="shared" si="13"/>
        <v>82</v>
      </c>
      <c r="C93" s="52">
        <f t="shared" si="8"/>
        <v>866079.93635806919</v>
      </c>
      <c r="E93" s="54">
        <f t="shared" si="9"/>
        <v>-5845.9004150797909</v>
      </c>
      <c r="F93" s="54"/>
      <c r="G93" s="54">
        <f t="shared" si="10"/>
        <v>2237.2340135878185</v>
      </c>
      <c r="H93" s="54"/>
      <c r="I93" s="54">
        <f t="shared" si="11"/>
        <v>3608.6664014919725</v>
      </c>
      <c r="J93" s="56">
        <f t="shared" si="7"/>
        <v>0.61729864439415316</v>
      </c>
      <c r="K93" s="54">
        <f t="shared" si="12"/>
        <v>863842.70234448137</v>
      </c>
    </row>
    <row r="94" spans="2:11" x14ac:dyDescent="0.3">
      <c r="B94" s="41">
        <f t="shared" si="13"/>
        <v>83</v>
      </c>
      <c r="C94" s="52">
        <f t="shared" si="8"/>
        <v>863842.70234448137</v>
      </c>
      <c r="E94" s="54">
        <f t="shared" si="9"/>
        <v>-5845.9004150797909</v>
      </c>
      <c r="F94" s="54"/>
      <c r="G94" s="54">
        <f t="shared" si="10"/>
        <v>2246.5558219777886</v>
      </c>
      <c r="H94" s="54"/>
      <c r="I94" s="54">
        <f t="shared" si="11"/>
        <v>3599.3445931020024</v>
      </c>
      <c r="J94" s="56">
        <f t="shared" si="7"/>
        <v>0.61570405541245865</v>
      </c>
      <c r="K94" s="54">
        <f t="shared" si="12"/>
        <v>861596.14652250358</v>
      </c>
    </row>
    <row r="95" spans="2:11" x14ac:dyDescent="0.3">
      <c r="B95" s="41">
        <f t="shared" si="13"/>
        <v>84</v>
      </c>
      <c r="C95" s="52">
        <f t="shared" si="8"/>
        <v>861596.14652250358</v>
      </c>
      <c r="E95" s="54">
        <f t="shared" si="9"/>
        <v>-5845.9004150797909</v>
      </c>
      <c r="F95" s="54"/>
      <c r="G95" s="54">
        <f t="shared" si="10"/>
        <v>2255.9164712360362</v>
      </c>
      <c r="H95" s="54"/>
      <c r="I95" s="54">
        <f t="shared" si="11"/>
        <v>3589.9839438437548</v>
      </c>
      <c r="J95" s="56">
        <f t="shared" si="7"/>
        <v>0.61410282231000934</v>
      </c>
      <c r="K95" s="54">
        <f t="shared" si="12"/>
        <v>859340.23005126754</v>
      </c>
    </row>
    <row r="96" spans="2:11" x14ac:dyDescent="0.3">
      <c r="B96" s="41">
        <f t="shared" si="13"/>
        <v>85</v>
      </c>
      <c r="C96" s="52">
        <f t="shared" si="8"/>
        <v>859340.23005126754</v>
      </c>
      <c r="E96" s="54">
        <f t="shared" si="9"/>
        <v>-5845.9004150797909</v>
      </c>
      <c r="F96" s="54"/>
      <c r="G96" s="54">
        <f t="shared" si="10"/>
        <v>2265.3161231995327</v>
      </c>
      <c r="H96" s="54"/>
      <c r="I96" s="54">
        <f t="shared" si="11"/>
        <v>3580.5842918802582</v>
      </c>
      <c r="J96" s="56">
        <f t="shared" si="7"/>
        <v>0.61249491740296547</v>
      </c>
      <c r="K96" s="54">
        <f t="shared" si="12"/>
        <v>857074.91392806801</v>
      </c>
    </row>
    <row r="97" spans="2:11" x14ac:dyDescent="0.3">
      <c r="B97" s="41">
        <f t="shared" si="13"/>
        <v>86</v>
      </c>
      <c r="C97" s="52">
        <f t="shared" si="8"/>
        <v>857074.91392806801</v>
      </c>
      <c r="E97" s="54">
        <f t="shared" si="9"/>
        <v>-5845.9004150797909</v>
      </c>
      <c r="F97" s="54"/>
      <c r="G97" s="54">
        <f t="shared" si="10"/>
        <v>2274.7549403795274</v>
      </c>
      <c r="H97" s="54"/>
      <c r="I97" s="54">
        <f t="shared" si="11"/>
        <v>3571.1454747002635</v>
      </c>
      <c r="J97" s="56">
        <f t="shared" si="7"/>
        <v>0.61088031289214506</v>
      </c>
      <c r="K97" s="54">
        <f t="shared" si="12"/>
        <v>854800.15898768848</v>
      </c>
    </row>
    <row r="98" spans="2:11" x14ac:dyDescent="0.3">
      <c r="B98" s="41">
        <f t="shared" si="13"/>
        <v>87</v>
      </c>
      <c r="C98" s="52">
        <f t="shared" si="8"/>
        <v>854800.15898768848</v>
      </c>
      <c r="E98" s="54">
        <f t="shared" si="9"/>
        <v>-5845.9004150797909</v>
      </c>
      <c r="F98" s="54"/>
      <c r="G98" s="54">
        <f t="shared" si="10"/>
        <v>2284.2330859644571</v>
      </c>
      <c r="H98" s="54"/>
      <c r="I98" s="54">
        <f t="shared" si="11"/>
        <v>3561.6673291153338</v>
      </c>
      <c r="J98" s="56">
        <f t="shared" si="7"/>
        <v>0.6092589808625265</v>
      </c>
      <c r="K98" s="54">
        <f t="shared" si="12"/>
        <v>852515.92590172403</v>
      </c>
    </row>
    <row r="99" spans="2:11" x14ac:dyDescent="0.3">
      <c r="B99" s="41">
        <f t="shared" si="13"/>
        <v>88</v>
      </c>
      <c r="C99" s="52">
        <f t="shared" si="8"/>
        <v>852515.92590172403</v>
      </c>
      <c r="E99" s="54">
        <f t="shared" si="9"/>
        <v>-5845.9004150797909</v>
      </c>
      <c r="F99" s="54"/>
      <c r="G99" s="54">
        <f t="shared" si="10"/>
        <v>2293.7507238226244</v>
      </c>
      <c r="H99" s="54"/>
      <c r="I99" s="54">
        <f t="shared" si="11"/>
        <v>3552.1496912571665</v>
      </c>
      <c r="J99" s="56">
        <f t="shared" si="7"/>
        <v>0.60763089328279007</v>
      </c>
      <c r="K99" s="54">
        <f t="shared" si="12"/>
        <v>850222.1751779014</v>
      </c>
    </row>
    <row r="100" spans="2:11" x14ac:dyDescent="0.3">
      <c r="B100" s="41">
        <f t="shared" si="13"/>
        <v>89</v>
      </c>
      <c r="C100" s="52">
        <f t="shared" si="8"/>
        <v>850222.1751779014</v>
      </c>
      <c r="E100" s="54">
        <f t="shared" si="9"/>
        <v>-5845.9004150797909</v>
      </c>
      <c r="F100" s="54"/>
      <c r="G100" s="54">
        <f t="shared" si="10"/>
        <v>2303.308018505224</v>
      </c>
      <c r="H100" s="54"/>
      <c r="I100" s="54">
        <f t="shared" si="11"/>
        <v>3542.5923965745669</v>
      </c>
      <c r="J100" s="56">
        <f t="shared" si="7"/>
        <v>0.60599602200480074</v>
      </c>
      <c r="K100" s="54">
        <f t="shared" si="12"/>
        <v>847918.86715939618</v>
      </c>
    </row>
    <row r="101" spans="2:11" x14ac:dyDescent="0.3">
      <c r="B101" s="41">
        <f t="shared" si="13"/>
        <v>90</v>
      </c>
      <c r="C101" s="52">
        <f t="shared" si="8"/>
        <v>847918.86715939618</v>
      </c>
      <c r="E101" s="54">
        <f t="shared" si="9"/>
        <v>-5845.9004150797909</v>
      </c>
      <c r="F101" s="54"/>
      <c r="G101" s="54">
        <f t="shared" si="10"/>
        <v>2312.9051352490205</v>
      </c>
      <c r="H101" s="54"/>
      <c r="I101" s="54">
        <f t="shared" si="11"/>
        <v>3532.9952798307704</v>
      </c>
      <c r="J101" s="56">
        <f t="shared" si="7"/>
        <v>0.60435433876314992</v>
      </c>
      <c r="K101" s="54">
        <f t="shared" si="12"/>
        <v>845605.96202414716</v>
      </c>
    </row>
    <row r="102" spans="2:11" x14ac:dyDescent="0.3">
      <c r="B102" s="41">
        <f t="shared" si="13"/>
        <v>91</v>
      </c>
      <c r="C102" s="52">
        <f t="shared" si="8"/>
        <v>845605.96202414716</v>
      </c>
      <c r="E102" s="54">
        <f t="shared" si="9"/>
        <v>-5845.9004150797909</v>
      </c>
      <c r="F102" s="54"/>
      <c r="G102" s="54">
        <f t="shared" si="10"/>
        <v>2322.5422399791423</v>
      </c>
      <c r="H102" s="54"/>
      <c r="I102" s="54">
        <f t="shared" si="11"/>
        <v>3523.3581751006486</v>
      </c>
      <c r="J102" s="56">
        <f t="shared" si="7"/>
        <v>0.60270581517467714</v>
      </c>
      <c r="K102" s="54">
        <f t="shared" si="12"/>
        <v>843283.41978416801</v>
      </c>
    </row>
    <row r="103" spans="2:11" x14ac:dyDescent="0.3">
      <c r="B103" s="41">
        <f t="shared" si="13"/>
        <v>92</v>
      </c>
      <c r="C103" s="52">
        <f t="shared" si="8"/>
        <v>843283.41978416801</v>
      </c>
      <c r="E103" s="54">
        <f t="shared" si="9"/>
        <v>-5845.9004150797909</v>
      </c>
      <c r="F103" s="54"/>
      <c r="G103" s="54">
        <f t="shared" si="10"/>
        <v>2332.2194993124576</v>
      </c>
      <c r="H103" s="54"/>
      <c r="I103" s="54">
        <f t="shared" si="11"/>
        <v>3513.6809157673333</v>
      </c>
      <c r="J103" s="56">
        <f t="shared" si="7"/>
        <v>0.60105042273789311</v>
      </c>
      <c r="K103" s="54">
        <f t="shared" si="12"/>
        <v>840951.20028485556</v>
      </c>
    </row>
    <row r="104" spans="2:11" x14ac:dyDescent="0.3">
      <c r="B104" s="41">
        <f t="shared" si="13"/>
        <v>93</v>
      </c>
      <c r="C104" s="52">
        <f t="shared" si="8"/>
        <v>840951.20028485556</v>
      </c>
      <c r="E104" s="54">
        <f t="shared" si="9"/>
        <v>-5845.9004150797909</v>
      </c>
      <c r="F104" s="54"/>
      <c r="G104" s="54">
        <f t="shared" si="10"/>
        <v>2341.9370805595536</v>
      </c>
      <c r="H104" s="54"/>
      <c r="I104" s="54">
        <f t="shared" si="11"/>
        <v>3503.9633345202374</v>
      </c>
      <c r="J104" s="56">
        <f t="shared" si="7"/>
        <v>0.59938813283264103</v>
      </c>
      <c r="K104" s="54">
        <f t="shared" si="12"/>
        <v>838609.263204296</v>
      </c>
    </row>
    <row r="105" spans="2:11" x14ac:dyDescent="0.3">
      <c r="B105" s="41">
        <f t="shared" si="13"/>
        <v>94</v>
      </c>
      <c r="C105" s="52">
        <f t="shared" si="8"/>
        <v>838609.263204296</v>
      </c>
      <c r="E105" s="54">
        <f t="shared" si="9"/>
        <v>-5845.9004150797909</v>
      </c>
      <c r="F105" s="54"/>
      <c r="G105" s="54">
        <f t="shared" si="10"/>
        <v>2351.6951517285779</v>
      </c>
      <c r="H105" s="54"/>
      <c r="I105" s="54">
        <f t="shared" si="11"/>
        <v>3494.205263351213</v>
      </c>
      <c r="J105" s="56">
        <f t="shared" si="7"/>
        <v>0.59771891671943922</v>
      </c>
      <c r="K105" s="54">
        <f t="shared" si="12"/>
        <v>836257.56805256743</v>
      </c>
    </row>
    <row r="106" spans="2:11" x14ac:dyDescent="0.3">
      <c r="B106" s="41">
        <f t="shared" si="13"/>
        <v>95</v>
      </c>
      <c r="C106" s="52">
        <f t="shared" si="8"/>
        <v>836257.56805256743</v>
      </c>
      <c r="E106" s="54">
        <f t="shared" si="9"/>
        <v>-5845.9004150797909</v>
      </c>
      <c r="F106" s="54"/>
      <c r="G106" s="54">
        <f t="shared" si="10"/>
        <v>2361.4938815274509</v>
      </c>
      <c r="H106" s="54"/>
      <c r="I106" s="54">
        <f t="shared" si="11"/>
        <v>3484.4065335523401</v>
      </c>
      <c r="J106" s="56">
        <f t="shared" si="7"/>
        <v>0.59604274553910297</v>
      </c>
      <c r="K106" s="54">
        <f t="shared" si="12"/>
        <v>833896.07417103997</v>
      </c>
    </row>
    <row r="107" spans="2:11" x14ac:dyDescent="0.3">
      <c r="B107" s="41">
        <f t="shared" si="13"/>
        <v>96</v>
      </c>
      <c r="C107" s="52">
        <f t="shared" si="8"/>
        <v>833896.07417103997</v>
      </c>
      <c r="E107" s="54">
        <f t="shared" si="9"/>
        <v>-5845.9004150797909</v>
      </c>
      <c r="F107" s="54"/>
      <c r="G107" s="54">
        <f t="shared" si="10"/>
        <v>2371.3334393671248</v>
      </c>
      <c r="H107" s="54"/>
      <c r="I107" s="54">
        <f t="shared" si="11"/>
        <v>3474.5669757126661</v>
      </c>
      <c r="J107" s="56">
        <f t="shared" si="7"/>
        <v>0.59435959031218655</v>
      </c>
      <c r="K107" s="54">
        <f t="shared" si="12"/>
        <v>831524.74073167285</v>
      </c>
    </row>
    <row r="108" spans="2:11" x14ac:dyDescent="0.3">
      <c r="B108" s="41">
        <f t="shared" si="13"/>
        <v>97</v>
      </c>
      <c r="C108" s="52">
        <f t="shared" si="8"/>
        <v>831524.74073167285</v>
      </c>
      <c r="E108" s="54">
        <f t="shared" si="9"/>
        <v>-5845.9004150797909</v>
      </c>
      <c r="F108" s="54"/>
      <c r="G108" s="54">
        <f t="shared" si="10"/>
        <v>2381.2139953644946</v>
      </c>
      <c r="H108" s="54"/>
      <c r="I108" s="54">
        <f t="shared" si="11"/>
        <v>3464.6864197152963</v>
      </c>
      <c r="J108" s="56">
        <f t="shared" si="7"/>
        <v>0.59266942193848626</v>
      </c>
      <c r="K108" s="54">
        <f t="shared" si="12"/>
        <v>829143.52673630835</v>
      </c>
    </row>
    <row r="109" spans="2:11" x14ac:dyDescent="0.3">
      <c r="B109" s="41">
        <f t="shared" si="13"/>
        <v>98</v>
      </c>
      <c r="C109" s="52">
        <f t="shared" si="8"/>
        <v>829143.52673630835</v>
      </c>
      <c r="E109" s="54">
        <f t="shared" si="9"/>
        <v>-5845.9004150797909</v>
      </c>
      <c r="F109" s="54"/>
      <c r="G109" s="54">
        <f t="shared" si="10"/>
        <v>2391.1357203451917</v>
      </c>
      <c r="H109" s="54"/>
      <c r="I109" s="54">
        <f t="shared" si="11"/>
        <v>3454.7646947345993</v>
      </c>
      <c r="J109" s="56">
        <f t="shared" si="7"/>
        <v>0.59097221119656129</v>
      </c>
      <c r="K109" s="54">
        <f t="shared" si="12"/>
        <v>826752.39101596316</v>
      </c>
    </row>
    <row r="110" spans="2:11" x14ac:dyDescent="0.3">
      <c r="B110" s="41">
        <f t="shared" si="13"/>
        <v>99</v>
      </c>
      <c r="C110" s="52">
        <f t="shared" si="8"/>
        <v>826752.39101596316</v>
      </c>
      <c r="E110" s="54">
        <f t="shared" si="9"/>
        <v>-5845.9004150797909</v>
      </c>
      <c r="F110" s="54"/>
      <c r="G110" s="54">
        <f t="shared" si="10"/>
        <v>2401.0987858466106</v>
      </c>
      <c r="H110" s="54"/>
      <c r="I110" s="54">
        <f t="shared" si="11"/>
        <v>3444.8016292331804</v>
      </c>
      <c r="J110" s="56">
        <f t="shared" si="7"/>
        <v>0.58926792874321687</v>
      </c>
      <c r="K110" s="54">
        <f t="shared" si="12"/>
        <v>824351.29223011655</v>
      </c>
    </row>
    <row r="111" spans="2:11" x14ac:dyDescent="0.3">
      <c r="B111" s="41">
        <f t="shared" si="13"/>
        <v>100</v>
      </c>
      <c r="C111" s="52">
        <f t="shared" si="8"/>
        <v>824351.29223011655</v>
      </c>
      <c r="E111" s="54">
        <f t="shared" si="9"/>
        <v>-5845.9004150797909</v>
      </c>
      <c r="F111" s="54"/>
      <c r="G111" s="54">
        <f t="shared" si="10"/>
        <v>2411.103364120936</v>
      </c>
      <c r="H111" s="54"/>
      <c r="I111" s="54">
        <f t="shared" si="11"/>
        <v>3434.7970509588549</v>
      </c>
      <c r="J111" s="56">
        <f t="shared" si="7"/>
        <v>0.58755654511298638</v>
      </c>
      <c r="K111" s="54">
        <f t="shared" si="12"/>
        <v>821940.18886599562</v>
      </c>
    </row>
    <row r="112" spans="2:11" x14ac:dyDescent="0.3">
      <c r="B112" s="41">
        <f t="shared" si="13"/>
        <v>101</v>
      </c>
      <c r="C112" s="52">
        <f t="shared" si="8"/>
        <v>821940.18886599562</v>
      </c>
      <c r="E112" s="54">
        <f t="shared" si="9"/>
        <v>-5845.9004150797909</v>
      </c>
      <c r="F112" s="54"/>
      <c r="G112" s="54">
        <f t="shared" si="10"/>
        <v>2421.1496281381696</v>
      </c>
      <c r="H112" s="54"/>
      <c r="I112" s="54">
        <f t="shared" si="11"/>
        <v>3424.7507869416213</v>
      </c>
      <c r="J112" s="56">
        <f t="shared" si="7"/>
        <v>0.58583803071761298</v>
      </c>
      <c r="K112" s="54">
        <f t="shared" si="12"/>
        <v>819519.03923785745</v>
      </c>
    </row>
    <row r="113" spans="2:11" x14ac:dyDescent="0.3">
      <c r="B113" s="41">
        <f t="shared" si="13"/>
        <v>102</v>
      </c>
      <c r="C113" s="52">
        <f t="shared" si="8"/>
        <v>819519.03923785745</v>
      </c>
      <c r="E113" s="54">
        <f t="shared" si="9"/>
        <v>-5845.9004150797909</v>
      </c>
      <c r="F113" s="54"/>
      <c r="G113" s="54">
        <f t="shared" si="10"/>
        <v>2431.237751588691</v>
      </c>
      <c r="H113" s="54"/>
      <c r="I113" s="54">
        <f t="shared" si="11"/>
        <v>3414.6626634910999</v>
      </c>
      <c r="J113" s="56">
        <f t="shared" si="7"/>
        <v>0.58411235584561239</v>
      </c>
      <c r="K113" s="54">
        <f t="shared" si="12"/>
        <v>817087.80148626876</v>
      </c>
    </row>
    <row r="114" spans="2:11" x14ac:dyDescent="0.3">
      <c r="B114" s="41">
        <f t="shared" si="13"/>
        <v>103</v>
      </c>
      <c r="C114" s="52">
        <f t="shared" si="8"/>
        <v>817087.80148626876</v>
      </c>
      <c r="E114" s="54">
        <f t="shared" si="9"/>
        <v>-5845.9004150797909</v>
      </c>
      <c r="F114" s="54"/>
      <c r="G114" s="54">
        <f t="shared" si="10"/>
        <v>2441.3679088869831</v>
      </c>
      <c r="H114" s="54"/>
      <c r="I114" s="54">
        <f t="shared" si="11"/>
        <v>3404.5325061928079</v>
      </c>
      <c r="J114" s="56">
        <f t="shared" si="7"/>
        <v>0.58237949066163475</v>
      </c>
      <c r="K114" s="54">
        <f t="shared" si="12"/>
        <v>814646.43357738177</v>
      </c>
    </row>
    <row r="115" spans="2:11" x14ac:dyDescent="0.3">
      <c r="B115" s="41">
        <f t="shared" si="13"/>
        <v>104</v>
      </c>
      <c r="C115" s="52">
        <f t="shared" si="8"/>
        <v>814646.43357738177</v>
      </c>
      <c r="E115" s="54">
        <f t="shared" si="9"/>
        <v>-5845.9004150797909</v>
      </c>
      <c r="F115" s="54"/>
      <c r="G115" s="54">
        <f t="shared" si="10"/>
        <v>2451.5402751740767</v>
      </c>
      <c r="H115" s="54"/>
      <c r="I115" s="54">
        <f t="shared" si="11"/>
        <v>3394.3601399057143</v>
      </c>
      <c r="J115" s="56">
        <f t="shared" si="7"/>
        <v>0.58063940520604718</v>
      </c>
      <c r="K115" s="54">
        <f t="shared" si="12"/>
        <v>812194.8933022077</v>
      </c>
    </row>
    <row r="116" spans="2:11" x14ac:dyDescent="0.3">
      <c r="B116" s="41">
        <f t="shared" si="13"/>
        <v>105</v>
      </c>
      <c r="C116" s="52">
        <f t="shared" si="8"/>
        <v>812194.8933022077</v>
      </c>
      <c r="E116" s="54">
        <f t="shared" si="9"/>
        <v>-5845.9004150797909</v>
      </c>
      <c r="F116" s="54"/>
      <c r="G116" s="54">
        <f t="shared" si="10"/>
        <v>2461.7550263205776</v>
      </c>
      <c r="H116" s="54"/>
      <c r="I116" s="54">
        <f t="shared" si="11"/>
        <v>3384.1453887592133</v>
      </c>
      <c r="J116" s="56">
        <f t="shared" si="7"/>
        <v>0.57889206939441562</v>
      </c>
      <c r="K116" s="54">
        <f t="shared" si="12"/>
        <v>809733.13827588712</v>
      </c>
    </row>
    <row r="117" spans="2:11" x14ac:dyDescent="0.3">
      <c r="B117" s="41">
        <f t="shared" si="13"/>
        <v>106</v>
      </c>
      <c r="C117" s="52">
        <f t="shared" si="8"/>
        <v>809733.13827588712</v>
      </c>
      <c r="E117" s="54">
        <f t="shared" si="9"/>
        <v>-5845.9004150797909</v>
      </c>
      <c r="F117" s="54"/>
      <c r="G117" s="54">
        <f t="shared" si="10"/>
        <v>2472.0123389302753</v>
      </c>
      <c r="H117" s="54"/>
      <c r="I117" s="54">
        <f t="shared" si="11"/>
        <v>3373.8880761495157</v>
      </c>
      <c r="J117" s="56">
        <f t="shared" si="7"/>
        <v>0.57713745301688746</v>
      </c>
      <c r="K117" s="54">
        <f t="shared" si="12"/>
        <v>807261.12593695684</v>
      </c>
    </row>
    <row r="118" spans="2:11" x14ac:dyDescent="0.3">
      <c r="B118" s="41">
        <f t="shared" si="13"/>
        <v>107</v>
      </c>
      <c r="C118" s="52">
        <f t="shared" si="8"/>
        <v>807261.12593695684</v>
      </c>
      <c r="E118" s="54">
        <f t="shared" si="9"/>
        <v>-5845.9004150797909</v>
      </c>
      <c r="F118" s="54"/>
      <c r="G118" s="54">
        <f t="shared" si="10"/>
        <v>2482.3123903424712</v>
      </c>
      <c r="H118" s="54"/>
      <c r="I118" s="54">
        <f t="shared" si="11"/>
        <v>3363.5880247373198</v>
      </c>
      <c r="J118" s="56">
        <f t="shared" si="7"/>
        <v>0.57537552573779349</v>
      </c>
      <c r="K118" s="54">
        <f t="shared" si="12"/>
        <v>804778.81354661437</v>
      </c>
    </row>
    <row r="119" spans="2:11" x14ac:dyDescent="0.3">
      <c r="B119" s="41">
        <f t="shared" si="13"/>
        <v>108</v>
      </c>
      <c r="C119" s="52">
        <f t="shared" si="8"/>
        <v>804778.81354661437</v>
      </c>
      <c r="E119" s="54">
        <f t="shared" si="9"/>
        <v>-5845.9004150797909</v>
      </c>
      <c r="F119" s="54"/>
      <c r="G119" s="54">
        <f t="shared" si="10"/>
        <v>2492.6553586355876</v>
      </c>
      <c r="H119" s="54"/>
      <c r="I119" s="54">
        <f t="shared" si="11"/>
        <v>3353.2450564442033</v>
      </c>
      <c r="J119" s="56">
        <f t="shared" si="7"/>
        <v>0.57360625709503033</v>
      </c>
      <c r="K119" s="54">
        <f t="shared" si="12"/>
        <v>802286.15818797878</v>
      </c>
    </row>
    <row r="120" spans="2:11" x14ac:dyDescent="0.3">
      <c r="B120" s="41">
        <f t="shared" si="13"/>
        <v>109</v>
      </c>
      <c r="C120" s="52">
        <f t="shared" si="8"/>
        <v>802286.15818797878</v>
      </c>
      <c r="E120" s="54">
        <f t="shared" si="9"/>
        <v>-5845.9004150797909</v>
      </c>
      <c r="F120" s="54"/>
      <c r="G120" s="54">
        <f t="shared" si="10"/>
        <v>2503.0414226298453</v>
      </c>
      <c r="H120" s="54"/>
      <c r="I120" s="54">
        <f t="shared" si="11"/>
        <v>3342.8589924499456</v>
      </c>
      <c r="J120" s="56">
        <f t="shared" si="7"/>
        <v>0.57182961649960284</v>
      </c>
      <c r="K120" s="54">
        <f t="shared" si="12"/>
        <v>799783.11676534894</v>
      </c>
    </row>
    <row r="121" spans="2:11" x14ac:dyDescent="0.3">
      <c r="B121" s="41">
        <f t="shared" si="13"/>
        <v>110</v>
      </c>
      <c r="C121" s="52">
        <f t="shared" si="8"/>
        <v>799783.11676534894</v>
      </c>
      <c r="E121" s="54">
        <f t="shared" si="9"/>
        <v>-5845.9004150797909</v>
      </c>
      <c r="F121" s="54"/>
      <c r="G121" s="54">
        <f t="shared" si="10"/>
        <v>2513.4707618908724</v>
      </c>
      <c r="H121" s="54"/>
      <c r="I121" s="54">
        <f t="shared" si="11"/>
        <v>3332.4296531889186</v>
      </c>
      <c r="J121" s="56">
        <f t="shared" si="7"/>
        <v>0.57004557323500593</v>
      </c>
      <c r="K121" s="54">
        <f t="shared" si="12"/>
        <v>797269.64600345807</v>
      </c>
    </row>
    <row r="122" spans="2:11" x14ac:dyDescent="0.3">
      <c r="B122" s="41">
        <f t="shared" si="13"/>
        <v>111</v>
      </c>
      <c r="C122" s="52">
        <f t="shared" si="8"/>
        <v>797269.64600345807</v>
      </c>
      <c r="E122" s="54">
        <f t="shared" si="9"/>
        <v>-5845.9004150797909</v>
      </c>
      <c r="F122" s="54"/>
      <c r="G122" s="54">
        <f t="shared" si="10"/>
        <v>2523.9435567320324</v>
      </c>
      <c r="H122" s="54"/>
      <c r="I122" s="54">
        <f t="shared" si="11"/>
        <v>3321.9568583477585</v>
      </c>
      <c r="J122" s="56">
        <f t="shared" si="7"/>
        <v>0.56825409645682734</v>
      </c>
      <c r="K122" s="54">
        <f t="shared" si="12"/>
        <v>794745.70244672603</v>
      </c>
    </row>
    <row r="123" spans="2:11" x14ac:dyDescent="0.3">
      <c r="B123" s="41">
        <f t="shared" si="13"/>
        <v>112</v>
      </c>
      <c r="C123" s="52">
        <f t="shared" si="8"/>
        <v>794745.70244672603</v>
      </c>
      <c r="E123" s="54">
        <f t="shared" si="9"/>
        <v>-5845.9004150797909</v>
      </c>
      <c r="F123" s="54"/>
      <c r="G123" s="54">
        <f t="shared" si="10"/>
        <v>2534.4599882183829</v>
      </c>
      <c r="H123" s="54"/>
      <c r="I123" s="54">
        <f t="shared" si="11"/>
        <v>3311.440426861408</v>
      </c>
      <c r="J123" s="56">
        <f t="shared" si="7"/>
        <v>0.56645515519206979</v>
      </c>
      <c r="K123" s="54">
        <f t="shared" si="12"/>
        <v>792211.24245850765</v>
      </c>
    </row>
    <row r="124" spans="2:11" x14ac:dyDescent="0.3">
      <c r="B124" s="41">
        <f t="shared" si="13"/>
        <v>113</v>
      </c>
      <c r="C124" s="52">
        <f t="shared" si="8"/>
        <v>792211.24245850765</v>
      </c>
      <c r="E124" s="54">
        <f t="shared" si="9"/>
        <v>-5845.9004150797909</v>
      </c>
      <c r="F124" s="54"/>
      <c r="G124" s="54">
        <f t="shared" si="10"/>
        <v>2545.0202381693525</v>
      </c>
      <c r="H124" s="54"/>
      <c r="I124" s="54">
        <f t="shared" si="11"/>
        <v>3300.8801769104384</v>
      </c>
      <c r="J124" s="56">
        <f t="shared" si="7"/>
        <v>0.56464871833869323</v>
      </c>
      <c r="K124" s="54">
        <f t="shared" si="12"/>
        <v>789666.2222203383</v>
      </c>
    </row>
    <row r="125" spans="2:11" x14ac:dyDescent="0.3">
      <c r="B125" s="41">
        <f t="shared" si="13"/>
        <v>114</v>
      </c>
      <c r="C125" s="52">
        <f t="shared" si="8"/>
        <v>789666.2222203383</v>
      </c>
      <c r="E125" s="54">
        <f t="shared" si="9"/>
        <v>-5845.9004150797909</v>
      </c>
      <c r="F125" s="54"/>
      <c r="G125" s="54">
        <f t="shared" si="10"/>
        <v>2555.624489161768</v>
      </c>
      <c r="H125" s="54"/>
      <c r="I125" s="54">
        <f t="shared" si="11"/>
        <v>3290.2759259180229</v>
      </c>
      <c r="J125" s="56">
        <f t="shared" si="7"/>
        <v>0.56283475466509703</v>
      </c>
      <c r="K125" s="54">
        <f t="shared" si="12"/>
        <v>787110.59773117653</v>
      </c>
    </row>
    <row r="126" spans="2:11" x14ac:dyDescent="0.3">
      <c r="B126" s="41">
        <f t="shared" si="13"/>
        <v>115</v>
      </c>
      <c r="C126" s="52">
        <f t="shared" si="8"/>
        <v>787110.59773117653</v>
      </c>
      <c r="E126" s="54">
        <f t="shared" si="9"/>
        <v>-5845.9004150797909</v>
      </c>
      <c r="F126" s="54"/>
      <c r="G126" s="54">
        <f t="shared" si="10"/>
        <v>2566.2729245332303</v>
      </c>
      <c r="H126" s="54"/>
      <c r="I126" s="54">
        <f t="shared" si="11"/>
        <v>3279.6274905465607</v>
      </c>
      <c r="J126" s="56">
        <f t="shared" si="7"/>
        <v>0.56101323280954263</v>
      </c>
      <c r="K126" s="54">
        <f t="shared" si="12"/>
        <v>784544.3248066433</v>
      </c>
    </row>
    <row r="127" spans="2:11" x14ac:dyDescent="0.3">
      <c r="B127" s="41">
        <f t="shared" si="13"/>
        <v>116</v>
      </c>
      <c r="C127" s="52">
        <f t="shared" si="8"/>
        <v>784544.3248066433</v>
      </c>
      <c r="E127" s="54">
        <f t="shared" si="9"/>
        <v>-5845.9004150797909</v>
      </c>
      <c r="F127" s="54"/>
      <c r="G127" s="54">
        <f t="shared" si="10"/>
        <v>2576.9657283854904</v>
      </c>
      <c r="H127" s="54"/>
      <c r="I127" s="54">
        <f t="shared" si="11"/>
        <v>3268.9346866943006</v>
      </c>
      <c r="J127" s="56">
        <f t="shared" si="7"/>
        <v>0.55918412127957584</v>
      </c>
      <c r="K127" s="54">
        <f t="shared" si="12"/>
        <v>781967.35907825781</v>
      </c>
    </row>
    <row r="128" spans="2:11" x14ac:dyDescent="0.3">
      <c r="B128" s="41">
        <f t="shared" si="13"/>
        <v>117</v>
      </c>
      <c r="C128" s="52">
        <f t="shared" si="8"/>
        <v>781967.35907825781</v>
      </c>
      <c r="E128" s="54">
        <f t="shared" si="9"/>
        <v>-5845.9004150797909</v>
      </c>
      <c r="F128" s="54"/>
      <c r="G128" s="54">
        <f t="shared" si="10"/>
        <v>2587.7030855870107</v>
      </c>
      <c r="H128" s="54"/>
      <c r="I128" s="54">
        <f t="shared" si="11"/>
        <v>3258.1973294927802</v>
      </c>
      <c r="J128" s="56">
        <f t="shared" si="7"/>
        <v>0.55734738845158871</v>
      </c>
      <c r="K128" s="54">
        <f t="shared" si="12"/>
        <v>779379.6559926708</v>
      </c>
    </row>
    <row r="129" spans="2:11" x14ac:dyDescent="0.3">
      <c r="B129" s="41">
        <f t="shared" si="13"/>
        <v>118</v>
      </c>
      <c r="C129" s="52">
        <f t="shared" si="8"/>
        <v>779379.6559926708</v>
      </c>
      <c r="E129" s="54">
        <f t="shared" si="9"/>
        <v>-5845.9004150797909</v>
      </c>
      <c r="F129" s="54"/>
      <c r="G129" s="54">
        <f t="shared" si="10"/>
        <v>2598.4851817770395</v>
      </c>
      <c r="H129" s="54"/>
      <c r="I129" s="54">
        <f t="shared" si="11"/>
        <v>3247.4152333027514</v>
      </c>
      <c r="J129" s="56">
        <f t="shared" si="7"/>
        <v>0.55550300257012286</v>
      </c>
      <c r="K129" s="54">
        <f t="shared" si="12"/>
        <v>776781.17081089376</v>
      </c>
    </row>
    <row r="130" spans="2:11" x14ac:dyDescent="0.3">
      <c r="B130" s="41">
        <f t="shared" si="13"/>
        <v>119</v>
      </c>
      <c r="C130" s="52">
        <f t="shared" si="8"/>
        <v>776781.17081089376</v>
      </c>
      <c r="E130" s="54">
        <f t="shared" si="9"/>
        <v>-5845.9004150797909</v>
      </c>
      <c r="F130" s="54"/>
      <c r="G130" s="54">
        <f t="shared" si="10"/>
        <v>2609.3122033677064</v>
      </c>
      <c r="H130" s="54"/>
      <c r="I130" s="54">
        <f t="shared" si="11"/>
        <v>3236.5882117120846</v>
      </c>
      <c r="J130" s="56">
        <f t="shared" si="7"/>
        <v>0.55365093174751046</v>
      </c>
      <c r="K130" s="54">
        <f t="shared" si="12"/>
        <v>774171.85860752605</v>
      </c>
    </row>
    <row r="131" spans="2:11" x14ac:dyDescent="0.3">
      <c r="B131" s="41">
        <f t="shared" si="13"/>
        <v>120</v>
      </c>
      <c r="C131" s="52">
        <f t="shared" si="8"/>
        <v>774171.85860752605</v>
      </c>
      <c r="E131" s="54">
        <f t="shared" si="9"/>
        <v>-5845.9004150797909</v>
      </c>
      <c r="F131" s="54"/>
      <c r="G131" s="54">
        <f t="shared" si="10"/>
        <v>2620.1843375484459</v>
      </c>
      <c r="H131" s="54"/>
      <c r="I131" s="54">
        <f t="shared" si="11"/>
        <v>3225.716077531345</v>
      </c>
      <c r="J131" s="56">
        <f t="shared" si="7"/>
        <v>0.55179114396311812</v>
      </c>
      <c r="K131" s="54">
        <f t="shared" si="12"/>
        <v>771551.67426997761</v>
      </c>
    </row>
    <row r="132" spans="2:11" x14ac:dyDescent="0.3">
      <c r="B132" s="41">
        <f t="shared" si="13"/>
        <v>121</v>
      </c>
      <c r="C132" s="52">
        <f t="shared" si="8"/>
        <v>771551.67426997761</v>
      </c>
      <c r="E132" s="54">
        <f t="shared" si="9"/>
        <v>-5845.9004150797909</v>
      </c>
      <c r="F132" s="54"/>
      <c r="G132" s="54">
        <f t="shared" si="10"/>
        <v>2631.1017722882098</v>
      </c>
      <c r="H132" s="54"/>
      <c r="I132" s="54">
        <f t="shared" si="11"/>
        <v>3214.7986427915812</v>
      </c>
      <c r="J132" s="56">
        <f t="shared" si="7"/>
        <v>0.54992360706296817</v>
      </c>
      <c r="K132" s="54">
        <f t="shared" si="12"/>
        <v>768920.5724976894</v>
      </c>
    </row>
    <row r="133" spans="2:11" x14ac:dyDescent="0.3">
      <c r="B133" s="41">
        <f t="shared" si="13"/>
        <v>122</v>
      </c>
      <c r="C133" s="52">
        <f t="shared" si="8"/>
        <v>768920.5724976894</v>
      </c>
      <c r="E133" s="54">
        <f t="shared" si="9"/>
        <v>-5845.9004150797909</v>
      </c>
      <c r="F133" s="54"/>
      <c r="G133" s="54">
        <f t="shared" si="10"/>
        <v>2642.0646963394247</v>
      </c>
      <c r="H133" s="54"/>
      <c r="I133" s="54">
        <f t="shared" si="11"/>
        <v>3203.8357187403662</v>
      </c>
      <c r="J133" s="56">
        <f t="shared" si="7"/>
        <v>0.54804828875906142</v>
      </c>
      <c r="K133" s="54">
        <f t="shared" si="12"/>
        <v>766278.50780134997</v>
      </c>
    </row>
    <row r="134" spans="2:11" x14ac:dyDescent="0.3">
      <c r="B134" s="41">
        <f t="shared" si="13"/>
        <v>123</v>
      </c>
      <c r="C134" s="52">
        <f t="shared" si="8"/>
        <v>766278.50780134997</v>
      </c>
      <c r="E134" s="54">
        <f t="shared" si="9"/>
        <v>-5845.9004150797909</v>
      </c>
      <c r="F134" s="54"/>
      <c r="G134" s="54">
        <f t="shared" si="10"/>
        <v>2653.0732992407866</v>
      </c>
      <c r="H134" s="54"/>
      <c r="I134" s="54">
        <f t="shared" si="11"/>
        <v>3192.8271158390044</v>
      </c>
      <c r="J134" s="56">
        <f t="shared" si="7"/>
        <v>0.54616515662889975</v>
      </c>
      <c r="K134" s="54">
        <f t="shared" si="12"/>
        <v>763625.43450210919</v>
      </c>
    </row>
    <row r="135" spans="2:11" x14ac:dyDescent="0.3">
      <c r="B135" s="41">
        <f t="shared" si="13"/>
        <v>124</v>
      </c>
      <c r="C135" s="52">
        <f t="shared" si="8"/>
        <v>763625.43450210919</v>
      </c>
      <c r="E135" s="54">
        <f t="shared" si="9"/>
        <v>-5845.9004150797909</v>
      </c>
      <c r="F135" s="54"/>
      <c r="G135" s="54">
        <f t="shared" si="10"/>
        <v>2664.1277713209856</v>
      </c>
      <c r="H135" s="54"/>
      <c r="I135" s="54">
        <f t="shared" si="11"/>
        <v>3181.7726437588053</v>
      </c>
      <c r="J135" s="56">
        <f t="shared" si="7"/>
        <v>0.54427417811484857</v>
      </c>
      <c r="K135" s="54">
        <f t="shared" si="12"/>
        <v>760961.3067307882</v>
      </c>
    </row>
    <row r="136" spans="2:11" x14ac:dyDescent="0.3">
      <c r="B136" s="41">
        <f t="shared" si="13"/>
        <v>125</v>
      </c>
      <c r="C136" s="52">
        <f t="shared" si="8"/>
        <v>760961.3067307882</v>
      </c>
      <c r="E136" s="54">
        <f t="shared" si="9"/>
        <v>-5845.9004150797909</v>
      </c>
      <c r="F136" s="54"/>
      <c r="G136" s="54">
        <f t="shared" si="10"/>
        <v>2675.2283037015004</v>
      </c>
      <c r="H136" s="54"/>
      <c r="I136" s="54">
        <f t="shared" si="11"/>
        <v>3170.6721113782905</v>
      </c>
      <c r="J136" s="56">
        <f t="shared" si="7"/>
        <v>0.54237532052365867</v>
      </c>
      <c r="K136" s="54">
        <f t="shared" si="12"/>
        <v>758286.0784270867</v>
      </c>
    </row>
    <row r="137" spans="2:11" x14ac:dyDescent="0.3">
      <c r="B137" s="41">
        <f t="shared" si="13"/>
        <v>126</v>
      </c>
      <c r="C137" s="52">
        <f t="shared" si="8"/>
        <v>758286.0784270867</v>
      </c>
      <c r="E137" s="54">
        <f t="shared" si="9"/>
        <v>-5845.9004150797909</v>
      </c>
      <c r="F137" s="54"/>
      <c r="G137" s="54">
        <f t="shared" si="10"/>
        <v>2686.3750883003231</v>
      </c>
      <c r="H137" s="54"/>
      <c r="I137" s="54">
        <f t="shared" si="11"/>
        <v>3159.5253267794678</v>
      </c>
      <c r="J137" s="56">
        <f t="shared" si="7"/>
        <v>0.54046855102582914</v>
      </c>
      <c r="K137" s="54">
        <f t="shared" si="12"/>
        <v>755599.70333878638</v>
      </c>
    </row>
    <row r="138" spans="2:11" x14ac:dyDescent="0.3">
      <c r="B138" s="41">
        <f t="shared" si="13"/>
        <v>127</v>
      </c>
      <c r="C138" s="52">
        <f t="shared" si="8"/>
        <v>755599.70333878638</v>
      </c>
      <c r="E138" s="54">
        <f t="shared" si="9"/>
        <v>-5845.9004150797909</v>
      </c>
      <c r="F138" s="54"/>
      <c r="G138" s="54">
        <f t="shared" si="10"/>
        <v>2697.56831783487</v>
      </c>
      <c r="H138" s="54"/>
      <c r="I138" s="54">
        <f t="shared" si="11"/>
        <v>3148.332097244921</v>
      </c>
      <c r="J138" s="56">
        <f t="shared" si="7"/>
        <v>0.53855383665510992</v>
      </c>
      <c r="K138" s="54">
        <f t="shared" si="12"/>
        <v>752902.13502095151</v>
      </c>
    </row>
    <row r="139" spans="2:11" x14ac:dyDescent="0.3">
      <c r="B139" s="41">
        <f t="shared" si="13"/>
        <v>128</v>
      </c>
      <c r="C139" s="52">
        <f t="shared" si="8"/>
        <v>752902.13502095151</v>
      </c>
      <c r="E139" s="54">
        <f t="shared" si="9"/>
        <v>-5845.9004150797909</v>
      </c>
      <c r="F139" s="54"/>
      <c r="G139" s="54">
        <f t="shared" si="10"/>
        <v>2708.8081858258229</v>
      </c>
      <c r="H139" s="54"/>
      <c r="I139" s="54">
        <f t="shared" si="11"/>
        <v>3137.0922292539681</v>
      </c>
      <c r="J139" s="56">
        <f t="shared" si="7"/>
        <v>0.53663114430784398</v>
      </c>
      <c r="K139" s="54">
        <f t="shared" si="12"/>
        <v>750193.32683512568</v>
      </c>
    </row>
    <row r="140" spans="2:11" x14ac:dyDescent="0.3">
      <c r="B140" s="41">
        <f t="shared" si="13"/>
        <v>129</v>
      </c>
      <c r="C140" s="52">
        <f t="shared" si="8"/>
        <v>750193.32683512568</v>
      </c>
      <c r="E140" s="54">
        <f t="shared" si="9"/>
        <v>-5845.9004150797909</v>
      </c>
      <c r="F140" s="54"/>
      <c r="G140" s="54">
        <f t="shared" si="10"/>
        <v>2720.0948866001563</v>
      </c>
      <c r="H140" s="54"/>
      <c r="I140" s="54">
        <f t="shared" si="11"/>
        <v>3125.8055284796346</v>
      </c>
      <c r="J140" s="56">
        <f t="shared" ref="J140:J203" si="14">IFERROR(-I140/E140,"NA")</f>
        <v>0.53470044074244982</v>
      </c>
      <c r="K140" s="54">
        <f t="shared" si="12"/>
        <v>747473.23194852553</v>
      </c>
    </row>
    <row r="141" spans="2:11" x14ac:dyDescent="0.3">
      <c r="B141" s="41">
        <f t="shared" si="13"/>
        <v>130</v>
      </c>
      <c r="C141" s="52">
        <f t="shared" ref="C141:C204" si="15">IF(B141&gt;$G$5+$O$5,0,K140)</f>
        <v>747473.23194852553</v>
      </c>
      <c r="E141" s="54">
        <f t="shared" ref="E141:E204" si="16">IF(B141&gt;$G$5+$O$5,0,1)*IF(AND($O$4&gt;0,B141&lt;=$O$5),-$E$7*$E$4,PMT($E$7,$G$5,$E$4))</f>
        <v>-5845.9004150797909</v>
      </c>
      <c r="F141" s="54"/>
      <c r="G141" s="54">
        <f t="shared" ref="G141:G204" si="17">IF(AND($O$4&gt;0,B141&lt;=$O$5),0,C141-K141)</f>
        <v>2731.4286152942805</v>
      </c>
      <c r="H141" s="54"/>
      <c r="I141" s="54">
        <f t="shared" ref="I141:I204" si="18">-(E141+G141)</f>
        <v>3114.4717997855105</v>
      </c>
      <c r="J141" s="56">
        <f t="shared" si="14"/>
        <v>0.53276169257888406</v>
      </c>
      <c r="K141" s="54">
        <f t="shared" ref="K141:K204" si="19">-FV($E$7,1,E141,C141)</f>
        <v>744741.80333323125</v>
      </c>
    </row>
    <row r="142" spans="2:11" x14ac:dyDescent="0.3">
      <c r="B142" s="41">
        <f t="shared" ref="B142:B205" si="20">B141+1</f>
        <v>131</v>
      </c>
      <c r="C142" s="52">
        <f t="shared" si="15"/>
        <v>744741.80333323125</v>
      </c>
      <c r="E142" s="54">
        <f t="shared" si="16"/>
        <v>-5845.9004150797909</v>
      </c>
      <c r="F142" s="54"/>
      <c r="G142" s="54">
        <f t="shared" si="17"/>
        <v>2742.8095678579994</v>
      </c>
      <c r="H142" s="54"/>
      <c r="I142" s="54">
        <f t="shared" si="18"/>
        <v>3103.0908472217916</v>
      </c>
      <c r="J142" s="56">
        <f t="shared" si="14"/>
        <v>0.53081486629796404</v>
      </c>
      <c r="K142" s="54">
        <f t="shared" si="19"/>
        <v>741998.99376537325</v>
      </c>
    </row>
    <row r="143" spans="2:11" x14ac:dyDescent="0.3">
      <c r="B143" s="41">
        <f t="shared" si="20"/>
        <v>132</v>
      </c>
      <c r="C143" s="52">
        <f t="shared" si="15"/>
        <v>741998.99376537325</v>
      </c>
      <c r="E143" s="54">
        <f t="shared" si="16"/>
        <v>-5845.9004150797909</v>
      </c>
      <c r="F143" s="54"/>
      <c r="G143" s="54">
        <f t="shared" si="17"/>
        <v>2754.2379410574213</v>
      </c>
      <c r="H143" s="54"/>
      <c r="I143" s="54">
        <f t="shared" si="18"/>
        <v>3091.6624740223697</v>
      </c>
      <c r="J143" s="56">
        <f t="shared" si="14"/>
        <v>0.52885992824086991</v>
      </c>
      <c r="K143" s="54">
        <f t="shared" si="19"/>
        <v>739244.75582431583</v>
      </c>
    </row>
    <row r="144" spans="2:11" x14ac:dyDescent="0.3">
      <c r="B144" s="41">
        <f t="shared" si="20"/>
        <v>133</v>
      </c>
      <c r="C144" s="52">
        <f t="shared" si="15"/>
        <v>739244.75582431583</v>
      </c>
      <c r="E144" s="54">
        <f t="shared" si="16"/>
        <v>-5845.9004150797909</v>
      </c>
      <c r="F144" s="54"/>
      <c r="G144" s="54">
        <f t="shared" si="17"/>
        <v>2765.7139324784512</v>
      </c>
      <c r="H144" s="54"/>
      <c r="I144" s="54">
        <f t="shared" si="18"/>
        <v>3080.1864826013398</v>
      </c>
      <c r="J144" s="56">
        <f t="shared" si="14"/>
        <v>0.52689684460854747</v>
      </c>
      <c r="K144" s="54">
        <f t="shared" si="19"/>
        <v>736479.04189183738</v>
      </c>
    </row>
    <row r="145" spans="2:11" x14ac:dyDescent="0.3">
      <c r="B145" s="41">
        <f t="shared" si="20"/>
        <v>134</v>
      </c>
      <c r="C145" s="52">
        <f t="shared" si="15"/>
        <v>736479.04189183738</v>
      </c>
      <c r="E145" s="54">
        <f t="shared" si="16"/>
        <v>-5845.9004150797909</v>
      </c>
      <c r="F145" s="54"/>
      <c r="G145" s="54">
        <f t="shared" si="17"/>
        <v>2777.237740530516</v>
      </c>
      <c r="H145" s="54"/>
      <c r="I145" s="54">
        <f t="shared" si="18"/>
        <v>3068.6626745492749</v>
      </c>
      <c r="J145" s="56">
        <f t="shared" si="14"/>
        <v>0.52492558146107093</v>
      </c>
      <c r="K145" s="54">
        <f t="shared" si="19"/>
        <v>733701.80415130686</v>
      </c>
    </row>
    <row r="146" spans="2:11" x14ac:dyDescent="0.3">
      <c r="B146" s="41">
        <f t="shared" si="20"/>
        <v>135</v>
      </c>
      <c r="C146" s="52">
        <f t="shared" si="15"/>
        <v>733701.80415130686</v>
      </c>
      <c r="E146" s="54">
        <f t="shared" si="16"/>
        <v>-5845.9004150797909</v>
      </c>
      <c r="F146" s="54"/>
      <c r="G146" s="54">
        <f t="shared" si="17"/>
        <v>2788.8095644493587</v>
      </c>
      <c r="H146" s="54"/>
      <c r="I146" s="54">
        <f t="shared" si="18"/>
        <v>3057.0908506304322</v>
      </c>
      <c r="J146" s="56">
        <f t="shared" si="14"/>
        <v>0.52294610471716463</v>
      </c>
      <c r="K146" s="54">
        <f t="shared" si="19"/>
        <v>730912.9945868575</v>
      </c>
    </row>
    <row r="147" spans="2:11" x14ac:dyDescent="0.3">
      <c r="B147" s="41">
        <f t="shared" si="20"/>
        <v>136</v>
      </c>
      <c r="C147" s="52">
        <f t="shared" si="15"/>
        <v>730912.9945868575</v>
      </c>
      <c r="E147" s="54">
        <f t="shared" si="16"/>
        <v>-5845.9004150797909</v>
      </c>
      <c r="F147" s="54"/>
      <c r="G147" s="54">
        <f t="shared" si="17"/>
        <v>2800.4296043012291</v>
      </c>
      <c r="H147" s="54"/>
      <c r="I147" s="54">
        <f t="shared" si="18"/>
        <v>3045.4708107785618</v>
      </c>
      <c r="J147" s="56">
        <f t="shared" si="14"/>
        <v>0.52095838015348639</v>
      </c>
      <c r="K147" s="54">
        <f t="shared" si="19"/>
        <v>728112.56498255627</v>
      </c>
    </row>
    <row r="148" spans="2:11" x14ac:dyDescent="0.3">
      <c r="B148" s="41">
        <f t="shared" si="20"/>
        <v>137</v>
      </c>
      <c r="C148" s="52">
        <f t="shared" si="15"/>
        <v>728112.56498255627</v>
      </c>
      <c r="E148" s="54">
        <f t="shared" si="16"/>
        <v>-5845.9004150797909</v>
      </c>
      <c r="F148" s="54"/>
      <c r="G148" s="54">
        <f t="shared" si="17"/>
        <v>2812.0980609857943</v>
      </c>
      <c r="H148" s="54"/>
      <c r="I148" s="54">
        <f t="shared" si="18"/>
        <v>3033.8023540939967</v>
      </c>
      <c r="J148" s="56">
        <f t="shared" si="14"/>
        <v>0.51896237340412998</v>
      </c>
      <c r="K148" s="54">
        <f t="shared" si="19"/>
        <v>725300.46692157048</v>
      </c>
    </row>
    <row r="149" spans="2:11" x14ac:dyDescent="0.3">
      <c r="B149" s="41">
        <f t="shared" si="20"/>
        <v>138</v>
      </c>
      <c r="C149" s="52">
        <f t="shared" si="15"/>
        <v>725300.46692157048</v>
      </c>
      <c r="E149" s="54">
        <f t="shared" si="16"/>
        <v>-5845.9004150797909</v>
      </c>
      <c r="F149" s="54"/>
      <c r="G149" s="54">
        <f t="shared" si="17"/>
        <v>2823.8151362398639</v>
      </c>
      <c r="H149" s="54"/>
      <c r="I149" s="54">
        <f t="shared" si="18"/>
        <v>3022.085278839927</v>
      </c>
      <c r="J149" s="56">
        <f t="shared" si="14"/>
        <v>0.51695804995998695</v>
      </c>
      <c r="K149" s="54">
        <f t="shared" si="19"/>
        <v>722476.65178533061</v>
      </c>
    </row>
    <row r="150" spans="2:11" x14ac:dyDescent="0.3">
      <c r="B150" s="41">
        <f t="shared" si="20"/>
        <v>139</v>
      </c>
      <c r="C150" s="52">
        <f t="shared" si="15"/>
        <v>722476.65178533061</v>
      </c>
      <c r="E150" s="54">
        <f t="shared" si="16"/>
        <v>-5845.9004150797909</v>
      </c>
      <c r="F150" s="54"/>
      <c r="G150" s="54">
        <f t="shared" si="17"/>
        <v>2835.5810326408828</v>
      </c>
      <c r="H150" s="54"/>
      <c r="I150" s="54">
        <f t="shared" si="18"/>
        <v>3010.3193824389082</v>
      </c>
      <c r="J150" s="56">
        <f t="shared" si="14"/>
        <v>0.5149453751681502</v>
      </c>
      <c r="K150" s="54">
        <f t="shared" si="19"/>
        <v>719641.07075268973</v>
      </c>
    </row>
    <row r="151" spans="2:11" x14ac:dyDescent="0.3">
      <c r="B151" s="41">
        <f t="shared" si="20"/>
        <v>140</v>
      </c>
      <c r="C151" s="52">
        <f t="shared" si="15"/>
        <v>719641.07075268973</v>
      </c>
      <c r="E151" s="54">
        <f t="shared" si="16"/>
        <v>-5845.9004150797909</v>
      </c>
      <c r="F151" s="54"/>
      <c r="G151" s="54">
        <f t="shared" si="17"/>
        <v>2847.3959536103066</v>
      </c>
      <c r="H151" s="54"/>
      <c r="I151" s="54">
        <f t="shared" si="18"/>
        <v>2998.5044614694843</v>
      </c>
      <c r="J151" s="56">
        <f t="shared" si="14"/>
        <v>0.512924314231336</v>
      </c>
      <c r="K151" s="54">
        <f t="shared" si="19"/>
        <v>716793.67479907942</v>
      </c>
    </row>
    <row r="152" spans="2:11" x14ac:dyDescent="0.3">
      <c r="B152" s="41">
        <f t="shared" si="20"/>
        <v>141</v>
      </c>
      <c r="C152" s="52">
        <f t="shared" si="15"/>
        <v>716793.67479907942</v>
      </c>
      <c r="E152" s="54">
        <f t="shared" si="16"/>
        <v>-5845.9004150797909</v>
      </c>
      <c r="F152" s="54"/>
      <c r="G152" s="54">
        <f t="shared" si="17"/>
        <v>2859.2601034169784</v>
      </c>
      <c r="H152" s="54"/>
      <c r="I152" s="54">
        <f t="shared" si="18"/>
        <v>2986.6403116628126</v>
      </c>
      <c r="J152" s="56">
        <f t="shared" si="14"/>
        <v>0.51089483220730636</v>
      </c>
      <c r="K152" s="54">
        <f t="shared" si="19"/>
        <v>713934.41469566245</v>
      </c>
    </row>
    <row r="153" spans="2:11" x14ac:dyDescent="0.3">
      <c r="B153" s="41">
        <f t="shared" si="20"/>
        <v>142</v>
      </c>
      <c r="C153" s="52">
        <f t="shared" si="15"/>
        <v>713934.41469566245</v>
      </c>
      <c r="E153" s="54">
        <f t="shared" si="16"/>
        <v>-5845.9004150797909</v>
      </c>
      <c r="F153" s="54"/>
      <c r="G153" s="54">
        <f t="shared" si="17"/>
        <v>2871.1736871812027</v>
      </c>
      <c r="H153" s="54"/>
      <c r="I153" s="54">
        <f t="shared" si="18"/>
        <v>2974.7267278985883</v>
      </c>
      <c r="J153" s="56">
        <f t="shared" si="14"/>
        <v>0.50885689400817236</v>
      </c>
      <c r="K153" s="54">
        <f t="shared" si="19"/>
        <v>711063.24100848124</v>
      </c>
    </row>
    <row r="154" spans="2:11" x14ac:dyDescent="0.3">
      <c r="B154" s="41">
        <f t="shared" si="20"/>
        <v>143</v>
      </c>
      <c r="C154" s="52">
        <f t="shared" si="15"/>
        <v>711063.24100848124</v>
      </c>
      <c r="E154" s="54">
        <f t="shared" si="16"/>
        <v>-5845.9004150797909</v>
      </c>
      <c r="F154" s="54"/>
      <c r="G154" s="54">
        <f t="shared" si="17"/>
        <v>2883.1369108777726</v>
      </c>
      <c r="H154" s="54"/>
      <c r="I154" s="54">
        <f t="shared" si="18"/>
        <v>2962.7635042020183</v>
      </c>
      <c r="J154" s="56">
        <f t="shared" si="14"/>
        <v>0.50681046439987631</v>
      </c>
      <c r="K154" s="54">
        <f t="shared" si="19"/>
        <v>708180.10409760347</v>
      </c>
    </row>
    <row r="155" spans="2:11" x14ac:dyDescent="0.3">
      <c r="B155" s="41">
        <f t="shared" si="20"/>
        <v>144</v>
      </c>
      <c r="C155" s="52">
        <f t="shared" si="15"/>
        <v>708180.10409760347</v>
      </c>
      <c r="E155" s="54">
        <f t="shared" si="16"/>
        <v>-5845.9004150797909</v>
      </c>
      <c r="F155" s="54"/>
      <c r="G155" s="54">
        <f t="shared" si="17"/>
        <v>2895.1499813398113</v>
      </c>
      <c r="H155" s="54"/>
      <c r="I155" s="54">
        <f t="shared" si="18"/>
        <v>2950.7504337399796</v>
      </c>
      <c r="J155" s="56">
        <f t="shared" si="14"/>
        <v>0.50475550800153424</v>
      </c>
      <c r="K155" s="54">
        <f t="shared" si="19"/>
        <v>705284.95411626366</v>
      </c>
    </row>
    <row r="156" spans="2:11" x14ac:dyDescent="0.3">
      <c r="B156" s="41">
        <f t="shared" si="20"/>
        <v>145</v>
      </c>
      <c r="C156" s="52">
        <f t="shared" si="15"/>
        <v>705284.95411626366</v>
      </c>
      <c r="E156" s="54">
        <f t="shared" si="16"/>
        <v>-5845.9004150797909</v>
      </c>
      <c r="F156" s="54"/>
      <c r="G156" s="54">
        <f t="shared" si="17"/>
        <v>2907.2131062620319</v>
      </c>
      <c r="H156" s="54"/>
      <c r="I156" s="54">
        <f t="shared" si="18"/>
        <v>2938.687308817759</v>
      </c>
      <c r="J156" s="56">
        <f t="shared" si="14"/>
        <v>0.50269198928487879</v>
      </c>
      <c r="K156" s="54">
        <f t="shared" si="19"/>
        <v>702377.74101000163</v>
      </c>
    </row>
    <row r="157" spans="2:11" x14ac:dyDescent="0.3">
      <c r="B157" s="41">
        <f t="shared" si="20"/>
        <v>146</v>
      </c>
      <c r="C157" s="52">
        <f t="shared" si="15"/>
        <v>702377.74101000163</v>
      </c>
      <c r="E157" s="54">
        <f t="shared" si="16"/>
        <v>-5845.9004150797909</v>
      </c>
      <c r="F157" s="54"/>
      <c r="G157" s="54">
        <f t="shared" si="17"/>
        <v>2919.3264942048118</v>
      </c>
      <c r="H157" s="54"/>
      <c r="I157" s="54">
        <f t="shared" si="18"/>
        <v>2926.5739208749792</v>
      </c>
      <c r="J157" s="56">
        <f t="shared" si="14"/>
        <v>0.50061987257356222</v>
      </c>
      <c r="K157" s="54">
        <f t="shared" si="19"/>
        <v>699458.41451579682</v>
      </c>
    </row>
    <row r="158" spans="2:11" x14ac:dyDescent="0.3">
      <c r="B158" s="41">
        <f t="shared" si="20"/>
        <v>147</v>
      </c>
      <c r="C158" s="52">
        <f t="shared" si="15"/>
        <v>699458.41451579682</v>
      </c>
      <c r="E158" s="54">
        <f t="shared" si="16"/>
        <v>-5845.9004150797909</v>
      </c>
      <c r="F158" s="54"/>
      <c r="G158" s="54">
        <f t="shared" si="17"/>
        <v>2931.4903545973357</v>
      </c>
      <c r="H158" s="54"/>
      <c r="I158" s="54">
        <f t="shared" si="18"/>
        <v>2914.4100604824553</v>
      </c>
      <c r="J158" s="56">
        <f t="shared" si="14"/>
        <v>0.49853912204261802</v>
      </c>
      <c r="K158" s="54">
        <f t="shared" si="19"/>
        <v>696526.92416119948</v>
      </c>
    </row>
    <row r="159" spans="2:11" x14ac:dyDescent="0.3">
      <c r="B159" s="41">
        <f t="shared" si="20"/>
        <v>148</v>
      </c>
      <c r="C159" s="52">
        <f t="shared" si="15"/>
        <v>696526.92416119948</v>
      </c>
      <c r="E159" s="54">
        <f t="shared" si="16"/>
        <v>-5845.9004150797909</v>
      </c>
      <c r="F159" s="54"/>
      <c r="G159" s="54">
        <f t="shared" si="17"/>
        <v>2943.7048977414379</v>
      </c>
      <c r="H159" s="54"/>
      <c r="I159" s="54">
        <f t="shared" si="18"/>
        <v>2902.1955173383531</v>
      </c>
      <c r="J159" s="56">
        <f t="shared" si="14"/>
        <v>0.49644970171780473</v>
      </c>
      <c r="K159" s="54">
        <f t="shared" si="19"/>
        <v>693583.21926345804</v>
      </c>
    </row>
    <row r="160" spans="2:11" x14ac:dyDescent="0.3">
      <c r="B160" s="41">
        <f t="shared" si="20"/>
        <v>149</v>
      </c>
      <c r="C160" s="52">
        <f t="shared" si="15"/>
        <v>693583.21926345804</v>
      </c>
      <c r="E160" s="54">
        <f t="shared" si="16"/>
        <v>-5845.9004150797909</v>
      </c>
      <c r="F160" s="54"/>
      <c r="G160" s="54">
        <f t="shared" si="17"/>
        <v>2955.9703348154435</v>
      </c>
      <c r="H160" s="54"/>
      <c r="I160" s="54">
        <f t="shared" si="18"/>
        <v>2889.9300802643475</v>
      </c>
      <c r="J160" s="56">
        <f t="shared" si="14"/>
        <v>0.49435157547494807</v>
      </c>
      <c r="K160" s="54">
        <f t="shared" si="19"/>
        <v>690627.2489286426</v>
      </c>
    </row>
    <row r="161" spans="2:11" x14ac:dyDescent="0.3">
      <c r="B161" s="41">
        <f t="shared" si="20"/>
        <v>150</v>
      </c>
      <c r="C161" s="52">
        <f t="shared" si="15"/>
        <v>690627.2489286426</v>
      </c>
      <c r="E161" s="54">
        <f t="shared" si="16"/>
        <v>-5845.9004150797909</v>
      </c>
      <c r="F161" s="54"/>
      <c r="G161" s="54">
        <f t="shared" si="17"/>
        <v>2968.286877877079</v>
      </c>
      <c r="H161" s="54"/>
      <c r="I161" s="54">
        <f t="shared" si="18"/>
        <v>2877.613537202712</v>
      </c>
      <c r="J161" s="56">
        <f t="shared" si="14"/>
        <v>0.49224470703944334</v>
      </c>
      <c r="K161" s="54">
        <f t="shared" si="19"/>
        <v>687658.96205076552</v>
      </c>
    </row>
    <row r="162" spans="2:11" x14ac:dyDescent="0.3">
      <c r="B162" s="41">
        <f t="shared" si="20"/>
        <v>151</v>
      </c>
      <c r="C162" s="52">
        <f t="shared" si="15"/>
        <v>687658.96205076552</v>
      </c>
      <c r="E162" s="54">
        <f t="shared" si="16"/>
        <v>-5845.9004150797909</v>
      </c>
      <c r="F162" s="54"/>
      <c r="G162" s="54">
        <f t="shared" si="17"/>
        <v>2980.6547398682451</v>
      </c>
      <c r="H162" s="54"/>
      <c r="I162" s="54">
        <f t="shared" si="18"/>
        <v>2865.2456752115459</v>
      </c>
      <c r="J162" s="56">
        <f t="shared" si="14"/>
        <v>0.49012905998543904</v>
      </c>
      <c r="K162" s="54">
        <f t="shared" si="19"/>
        <v>684678.30731089727</v>
      </c>
    </row>
    <row r="163" spans="2:11" x14ac:dyDescent="0.3">
      <c r="B163" s="41">
        <f t="shared" si="20"/>
        <v>152</v>
      </c>
      <c r="C163" s="52">
        <f t="shared" si="15"/>
        <v>684678.30731089727</v>
      </c>
      <c r="E163" s="54">
        <f t="shared" si="16"/>
        <v>-5845.9004150797909</v>
      </c>
      <c r="F163" s="54"/>
      <c r="G163" s="54">
        <f t="shared" si="17"/>
        <v>2993.0741346176947</v>
      </c>
      <c r="H163" s="54"/>
      <c r="I163" s="54">
        <f t="shared" si="18"/>
        <v>2852.8262804620963</v>
      </c>
      <c r="J163" s="56">
        <f t="shared" si="14"/>
        <v>0.48800459773537863</v>
      </c>
      <c r="K163" s="54">
        <f t="shared" si="19"/>
        <v>681685.23317627958</v>
      </c>
    </row>
    <row r="164" spans="2:11" x14ac:dyDescent="0.3">
      <c r="B164" s="41">
        <f t="shared" si="20"/>
        <v>153</v>
      </c>
      <c r="C164" s="52">
        <f t="shared" si="15"/>
        <v>681685.23317627958</v>
      </c>
      <c r="E164" s="54">
        <f t="shared" si="16"/>
        <v>-5845.9004150797909</v>
      </c>
      <c r="F164" s="54"/>
      <c r="G164" s="54">
        <f t="shared" si="17"/>
        <v>3005.5452768453397</v>
      </c>
      <c r="H164" s="54"/>
      <c r="I164" s="54">
        <f t="shared" si="18"/>
        <v>2840.3551382344513</v>
      </c>
      <c r="J164" s="56">
        <f t="shared" si="14"/>
        <v>0.48587128355926384</v>
      </c>
      <c r="K164" s="54">
        <f t="shared" si="19"/>
        <v>678679.68789943424</v>
      </c>
    </row>
    <row r="165" spans="2:11" x14ac:dyDescent="0.3">
      <c r="B165" s="41">
        <f t="shared" si="20"/>
        <v>154</v>
      </c>
      <c r="C165" s="52">
        <f t="shared" si="15"/>
        <v>678679.68789943424</v>
      </c>
      <c r="E165" s="54">
        <f t="shared" si="16"/>
        <v>-5845.9004150797909</v>
      </c>
      <c r="F165" s="54"/>
      <c r="G165" s="54">
        <f t="shared" si="17"/>
        <v>3018.0683821655111</v>
      </c>
      <c r="H165" s="54"/>
      <c r="I165" s="54">
        <f t="shared" si="18"/>
        <v>2827.8320329142798</v>
      </c>
      <c r="J165" s="56">
        <f t="shared" si="14"/>
        <v>0.48372908057409708</v>
      </c>
      <c r="K165" s="54">
        <f t="shared" si="19"/>
        <v>675661.61951726873</v>
      </c>
    </row>
    <row r="166" spans="2:11" x14ac:dyDescent="0.3">
      <c r="B166" s="41">
        <f t="shared" si="20"/>
        <v>155</v>
      </c>
      <c r="C166" s="52">
        <f t="shared" si="15"/>
        <v>675661.61951726873</v>
      </c>
      <c r="E166" s="54">
        <f t="shared" si="16"/>
        <v>-5845.9004150797909</v>
      </c>
      <c r="F166" s="54"/>
      <c r="G166" s="54">
        <f t="shared" si="17"/>
        <v>3030.6436670911498</v>
      </c>
      <c r="H166" s="54"/>
      <c r="I166" s="54">
        <f t="shared" si="18"/>
        <v>2815.2567479886411</v>
      </c>
      <c r="J166" s="56">
        <f t="shared" si="14"/>
        <v>0.48157795174316453</v>
      </c>
      <c r="K166" s="54">
        <f t="shared" si="19"/>
        <v>672630.97585017758</v>
      </c>
    </row>
    <row r="167" spans="2:11" x14ac:dyDescent="0.3">
      <c r="B167" s="41">
        <f t="shared" si="20"/>
        <v>156</v>
      </c>
      <c r="C167" s="52">
        <f t="shared" si="15"/>
        <v>672630.97585017758</v>
      </c>
      <c r="E167" s="54">
        <f t="shared" si="16"/>
        <v>-5845.9004150797909</v>
      </c>
      <c r="F167" s="54"/>
      <c r="G167" s="54">
        <f t="shared" si="17"/>
        <v>3043.2713490374153</v>
      </c>
      <c r="H167" s="54"/>
      <c r="I167" s="54">
        <f t="shared" si="18"/>
        <v>2802.6290660423756</v>
      </c>
      <c r="J167" s="56">
        <f t="shared" si="14"/>
        <v>0.47941785987541874</v>
      </c>
      <c r="K167" s="54">
        <f t="shared" si="19"/>
        <v>669587.70450114016</v>
      </c>
    </row>
    <row r="168" spans="2:11" x14ac:dyDescent="0.3">
      <c r="B168" s="41">
        <f t="shared" si="20"/>
        <v>157</v>
      </c>
      <c r="C168" s="52">
        <f t="shared" si="15"/>
        <v>669587.70450114016</v>
      </c>
      <c r="E168" s="54">
        <f t="shared" si="16"/>
        <v>-5845.9004150797909</v>
      </c>
      <c r="F168" s="54"/>
      <c r="G168" s="54">
        <f t="shared" si="17"/>
        <v>3055.951646325062</v>
      </c>
      <c r="H168" s="54"/>
      <c r="I168" s="54">
        <f t="shared" si="18"/>
        <v>2789.9487687547289</v>
      </c>
      <c r="J168" s="56">
        <f t="shared" si="14"/>
        <v>0.47724876762490126</v>
      </c>
      <c r="K168" s="54">
        <f t="shared" si="19"/>
        <v>666531.7528548151</v>
      </c>
    </row>
    <row r="169" spans="2:11" x14ac:dyDescent="0.3">
      <c r="B169" s="41">
        <f t="shared" si="20"/>
        <v>158</v>
      </c>
      <c r="C169" s="52">
        <f t="shared" si="15"/>
        <v>666531.7528548151</v>
      </c>
      <c r="E169" s="54">
        <f t="shared" si="16"/>
        <v>-5845.9004150797909</v>
      </c>
      <c r="F169" s="54"/>
      <c r="G169" s="54">
        <f t="shared" si="17"/>
        <v>3068.6847781847464</v>
      </c>
      <c r="H169" s="54"/>
      <c r="I169" s="54">
        <f t="shared" si="18"/>
        <v>2777.2156368950446</v>
      </c>
      <c r="J169" s="56">
        <f t="shared" si="14"/>
        <v>0.47507063749000561</v>
      </c>
      <c r="K169" s="54">
        <f t="shared" si="19"/>
        <v>663463.06807663036</v>
      </c>
    </row>
    <row r="170" spans="2:11" x14ac:dyDescent="0.3">
      <c r="B170" s="41">
        <f t="shared" si="20"/>
        <v>159</v>
      </c>
      <c r="C170" s="52">
        <f t="shared" si="15"/>
        <v>663463.06807663036</v>
      </c>
      <c r="E170" s="54">
        <f t="shared" si="16"/>
        <v>-5845.9004150797909</v>
      </c>
      <c r="F170" s="54"/>
      <c r="G170" s="54">
        <f t="shared" si="17"/>
        <v>3081.4709647605196</v>
      </c>
      <c r="H170" s="54"/>
      <c r="I170" s="54">
        <f t="shared" si="18"/>
        <v>2764.4294503192714</v>
      </c>
      <c r="J170" s="56">
        <f t="shared" si="14"/>
        <v>0.47288343181288001</v>
      </c>
      <c r="K170" s="54">
        <f t="shared" si="19"/>
        <v>660381.59711186984</v>
      </c>
    </row>
    <row r="171" spans="2:11" x14ac:dyDescent="0.3">
      <c r="B171" s="41">
        <f t="shared" si="20"/>
        <v>160</v>
      </c>
      <c r="C171" s="52">
        <f t="shared" si="15"/>
        <v>660381.59711186984</v>
      </c>
      <c r="E171" s="54">
        <f t="shared" si="16"/>
        <v>-5845.9004150797909</v>
      </c>
      <c r="F171" s="54"/>
      <c r="G171" s="54">
        <f t="shared" si="17"/>
        <v>3094.310427113669</v>
      </c>
      <c r="H171" s="54"/>
      <c r="I171" s="54">
        <f t="shared" si="18"/>
        <v>2751.589987966122</v>
      </c>
      <c r="J171" s="56">
        <f t="shared" si="14"/>
        <v>0.47068711277877034</v>
      </c>
      <c r="K171" s="54">
        <f t="shared" si="19"/>
        <v>657287.28668475617</v>
      </c>
    </row>
    <row r="172" spans="2:11" x14ac:dyDescent="0.3">
      <c r="B172" s="41">
        <f t="shared" si="20"/>
        <v>161</v>
      </c>
      <c r="C172" s="52">
        <f t="shared" si="15"/>
        <v>657287.28668475617</v>
      </c>
      <c r="E172" s="54">
        <f t="shared" si="16"/>
        <v>-5845.9004150797909</v>
      </c>
      <c r="F172" s="54"/>
      <c r="G172" s="54">
        <f t="shared" si="17"/>
        <v>3107.2033872266766</v>
      </c>
      <c r="H172" s="54"/>
      <c r="I172" s="54">
        <f t="shared" si="18"/>
        <v>2738.6970278531144</v>
      </c>
      <c r="J172" s="56">
        <f t="shared" si="14"/>
        <v>0.46848164241534274</v>
      </c>
      <c r="K172" s="54">
        <f t="shared" si="19"/>
        <v>654180.08329752949</v>
      </c>
    </row>
    <row r="173" spans="2:11" x14ac:dyDescent="0.3">
      <c r="B173" s="41">
        <f t="shared" si="20"/>
        <v>162</v>
      </c>
      <c r="C173" s="52">
        <f t="shared" si="15"/>
        <v>654180.08329752949</v>
      </c>
      <c r="E173" s="54">
        <f t="shared" si="16"/>
        <v>-5845.9004150797909</v>
      </c>
      <c r="F173" s="54"/>
      <c r="G173" s="54">
        <f t="shared" si="17"/>
        <v>3120.1500680067111</v>
      </c>
      <c r="H173" s="54"/>
      <c r="I173" s="54">
        <f t="shared" si="18"/>
        <v>2725.7503470730799</v>
      </c>
      <c r="J173" s="56">
        <f t="shared" si="14"/>
        <v>0.46626698259208643</v>
      </c>
      <c r="K173" s="54">
        <f t="shared" si="19"/>
        <v>651059.93322952278</v>
      </c>
    </row>
    <row r="174" spans="2:11" x14ac:dyDescent="0.3">
      <c r="B174" s="41">
        <f t="shared" si="20"/>
        <v>163</v>
      </c>
      <c r="C174" s="52">
        <f t="shared" si="15"/>
        <v>651059.93322952278</v>
      </c>
      <c r="E174" s="54">
        <f t="shared" si="16"/>
        <v>-5845.9004150797909</v>
      </c>
      <c r="F174" s="54"/>
      <c r="G174" s="54">
        <f t="shared" si="17"/>
        <v>3133.1506932901684</v>
      </c>
      <c r="H174" s="54"/>
      <c r="I174" s="54">
        <f t="shared" si="18"/>
        <v>2712.7497217896225</v>
      </c>
      <c r="J174" s="56">
        <f t="shared" si="14"/>
        <v>0.46404309501953706</v>
      </c>
      <c r="K174" s="54">
        <f t="shared" si="19"/>
        <v>647926.78253623261</v>
      </c>
    </row>
    <row r="175" spans="2:11" x14ac:dyDescent="0.3">
      <c r="B175" s="41">
        <f t="shared" si="20"/>
        <v>164</v>
      </c>
      <c r="C175" s="52">
        <f t="shared" si="15"/>
        <v>647926.78253623261</v>
      </c>
      <c r="E175" s="54">
        <f t="shared" si="16"/>
        <v>-5845.9004150797909</v>
      </c>
      <c r="F175" s="54"/>
      <c r="G175" s="54">
        <f t="shared" si="17"/>
        <v>3146.2054878454655</v>
      </c>
      <c r="H175" s="54"/>
      <c r="I175" s="54">
        <f t="shared" si="18"/>
        <v>2699.6949272343254</v>
      </c>
      <c r="J175" s="56">
        <f t="shared" si="14"/>
        <v>0.46180994124879854</v>
      </c>
      <c r="K175" s="54">
        <f t="shared" si="19"/>
        <v>644780.57704838715</v>
      </c>
    </row>
    <row r="176" spans="2:11" x14ac:dyDescent="0.3">
      <c r="B176" s="41">
        <f t="shared" si="20"/>
        <v>165</v>
      </c>
      <c r="C176" s="52">
        <f t="shared" si="15"/>
        <v>644780.57704838715</v>
      </c>
      <c r="E176" s="54">
        <f t="shared" si="16"/>
        <v>-5845.9004150797909</v>
      </c>
      <c r="F176" s="54"/>
      <c r="G176" s="54">
        <f t="shared" si="17"/>
        <v>3159.3146773781627</v>
      </c>
      <c r="H176" s="54"/>
      <c r="I176" s="54">
        <f t="shared" si="18"/>
        <v>2686.5857377016282</v>
      </c>
      <c r="J176" s="56">
        <f t="shared" si="14"/>
        <v>0.45956748267066722</v>
      </c>
      <c r="K176" s="54">
        <f t="shared" si="19"/>
        <v>641621.26237100898</v>
      </c>
    </row>
    <row r="177" spans="2:11" x14ac:dyDescent="0.3">
      <c r="B177" s="41">
        <f t="shared" si="20"/>
        <v>166</v>
      </c>
      <c r="C177" s="52">
        <f t="shared" si="15"/>
        <v>641621.26237100898</v>
      </c>
      <c r="E177" s="54">
        <f t="shared" si="16"/>
        <v>-5845.9004150797909</v>
      </c>
      <c r="F177" s="54"/>
      <c r="G177" s="54">
        <f t="shared" si="17"/>
        <v>3172.478488533874</v>
      </c>
      <c r="H177" s="54"/>
      <c r="I177" s="54">
        <f t="shared" si="18"/>
        <v>2673.4219265459169</v>
      </c>
      <c r="J177" s="56">
        <f t="shared" si="14"/>
        <v>0.45731568051513366</v>
      </c>
      <c r="K177" s="54">
        <f t="shared" si="19"/>
        <v>638448.78388247511</v>
      </c>
    </row>
    <row r="178" spans="2:11" x14ac:dyDescent="0.3">
      <c r="B178" s="41">
        <f t="shared" si="20"/>
        <v>167</v>
      </c>
      <c r="C178" s="52">
        <f t="shared" si="15"/>
        <v>638448.78388247511</v>
      </c>
      <c r="E178" s="54">
        <f t="shared" si="16"/>
        <v>-5845.9004150797909</v>
      </c>
      <c r="F178" s="54"/>
      <c r="G178" s="54">
        <f t="shared" si="17"/>
        <v>3185.6971489028074</v>
      </c>
      <c r="H178" s="54"/>
      <c r="I178" s="54">
        <f t="shared" si="18"/>
        <v>2660.2032661769836</v>
      </c>
      <c r="J178" s="56">
        <f t="shared" si="14"/>
        <v>0.45505449585060614</v>
      </c>
      <c r="K178" s="54">
        <f t="shared" si="19"/>
        <v>635263.0867335723</v>
      </c>
    </row>
    <row r="179" spans="2:11" x14ac:dyDescent="0.3">
      <c r="B179" s="41">
        <f t="shared" si="20"/>
        <v>168</v>
      </c>
      <c r="C179" s="52">
        <f t="shared" si="15"/>
        <v>635263.0867335723</v>
      </c>
      <c r="E179" s="54">
        <f t="shared" si="16"/>
        <v>-5845.9004150797909</v>
      </c>
      <c r="F179" s="54"/>
      <c r="G179" s="54">
        <f t="shared" si="17"/>
        <v>3198.9708870232571</v>
      </c>
      <c r="H179" s="54"/>
      <c r="I179" s="54">
        <f t="shared" si="18"/>
        <v>2646.9295280565339</v>
      </c>
      <c r="J179" s="56">
        <f t="shared" si="14"/>
        <v>0.45278388958331339</v>
      </c>
      <c r="K179" s="54">
        <f t="shared" si="19"/>
        <v>632064.11584654904</v>
      </c>
    </row>
    <row r="180" spans="2:11" x14ac:dyDescent="0.3">
      <c r="B180" s="41">
        <f t="shared" si="20"/>
        <v>169</v>
      </c>
      <c r="C180" s="52">
        <f t="shared" si="15"/>
        <v>632064.11584654904</v>
      </c>
      <c r="E180" s="54">
        <f t="shared" si="16"/>
        <v>-5845.9004150797909</v>
      </c>
      <c r="F180" s="54"/>
      <c r="G180" s="54">
        <f t="shared" si="17"/>
        <v>3212.2999323857948</v>
      </c>
      <c r="H180" s="54"/>
      <c r="I180" s="54">
        <f t="shared" si="18"/>
        <v>2633.6004826939961</v>
      </c>
      <c r="J180" s="56">
        <f t="shared" si="14"/>
        <v>0.45050382245658732</v>
      </c>
      <c r="K180" s="54">
        <f t="shared" si="19"/>
        <v>628851.81591416325</v>
      </c>
    </row>
    <row r="181" spans="2:11" x14ac:dyDescent="0.3">
      <c r="B181" s="41">
        <f t="shared" si="20"/>
        <v>170</v>
      </c>
      <c r="C181" s="52">
        <f t="shared" si="15"/>
        <v>628851.81591416325</v>
      </c>
      <c r="E181" s="54">
        <f t="shared" si="16"/>
        <v>-5845.9004150797909</v>
      </c>
      <c r="F181" s="54"/>
      <c r="G181" s="54">
        <f t="shared" si="17"/>
        <v>3225.6845154374605</v>
      </c>
      <c r="H181" s="54"/>
      <c r="I181" s="54">
        <f t="shared" si="18"/>
        <v>2620.2158996423304</v>
      </c>
      <c r="J181" s="56">
        <f t="shared" si="14"/>
        <v>0.44821425505014645</v>
      </c>
      <c r="K181" s="54">
        <f t="shared" si="19"/>
        <v>625626.13139872579</v>
      </c>
    </row>
    <row r="182" spans="2:11" x14ac:dyDescent="0.3">
      <c r="B182" s="41">
        <f t="shared" si="20"/>
        <v>171</v>
      </c>
      <c r="C182" s="52">
        <f t="shared" si="15"/>
        <v>625626.13139872579</v>
      </c>
      <c r="E182" s="54">
        <f t="shared" si="16"/>
        <v>-5845.9004150797909</v>
      </c>
      <c r="F182" s="54"/>
      <c r="G182" s="54">
        <f t="shared" si="17"/>
        <v>3239.1248675851384</v>
      </c>
      <c r="H182" s="54"/>
      <c r="I182" s="54">
        <f t="shared" si="18"/>
        <v>2606.7755474946525</v>
      </c>
      <c r="J182" s="56">
        <f t="shared" si="14"/>
        <v>0.44591514777951835</v>
      </c>
      <c r="K182" s="54">
        <f t="shared" si="19"/>
        <v>622387.00653114065</v>
      </c>
    </row>
    <row r="183" spans="2:11" x14ac:dyDescent="0.3">
      <c r="B183" s="41">
        <f t="shared" si="20"/>
        <v>172</v>
      </c>
      <c r="C183" s="52">
        <f t="shared" si="15"/>
        <v>622387.00653114065</v>
      </c>
      <c r="E183" s="54">
        <f t="shared" si="16"/>
        <v>-5845.9004150797909</v>
      </c>
      <c r="F183" s="54"/>
      <c r="G183" s="54">
        <f t="shared" si="17"/>
        <v>3252.6212212000974</v>
      </c>
      <c r="H183" s="54"/>
      <c r="I183" s="54">
        <f t="shared" si="18"/>
        <v>2593.2791938796936</v>
      </c>
      <c r="J183" s="56">
        <f t="shared" si="14"/>
        <v>0.44360646089526273</v>
      </c>
      <c r="K183" s="54">
        <f t="shared" si="19"/>
        <v>619134.38530994055</v>
      </c>
    </row>
    <row r="184" spans="2:11" x14ac:dyDescent="0.3">
      <c r="B184" s="41">
        <f t="shared" si="20"/>
        <v>173</v>
      </c>
      <c r="C184" s="52">
        <f t="shared" si="15"/>
        <v>619134.38530994055</v>
      </c>
      <c r="E184" s="54">
        <f t="shared" si="16"/>
        <v>-5845.9004150797909</v>
      </c>
      <c r="F184" s="54"/>
      <c r="G184" s="54">
        <f t="shared" si="17"/>
        <v>3266.1738096217159</v>
      </c>
      <c r="H184" s="54"/>
      <c r="I184" s="54">
        <f t="shared" si="18"/>
        <v>2579.726605458075</v>
      </c>
      <c r="J184" s="56">
        <f t="shared" si="14"/>
        <v>0.44128815448233466</v>
      </c>
      <c r="K184" s="54">
        <f t="shared" si="19"/>
        <v>615868.21150031884</v>
      </c>
    </row>
    <row r="185" spans="2:11" x14ac:dyDescent="0.3">
      <c r="B185" s="41">
        <f t="shared" si="20"/>
        <v>174</v>
      </c>
      <c r="C185" s="52">
        <f t="shared" si="15"/>
        <v>615868.21150031884</v>
      </c>
      <c r="E185" s="54">
        <f t="shared" si="16"/>
        <v>-5845.9004150797909</v>
      </c>
      <c r="F185" s="54"/>
      <c r="G185" s="54">
        <f t="shared" si="17"/>
        <v>3279.7828671617899</v>
      </c>
      <c r="H185" s="54"/>
      <c r="I185" s="54">
        <f t="shared" si="18"/>
        <v>2566.117547918001</v>
      </c>
      <c r="J185" s="56">
        <f t="shared" si="14"/>
        <v>0.4389601884593472</v>
      </c>
      <c r="K185" s="54">
        <f t="shared" si="19"/>
        <v>612588.42863315705</v>
      </c>
    </row>
    <row r="186" spans="2:11" x14ac:dyDescent="0.3">
      <c r="B186" s="41">
        <f t="shared" si="20"/>
        <v>175</v>
      </c>
      <c r="C186" s="52">
        <f t="shared" si="15"/>
        <v>612588.42863315705</v>
      </c>
      <c r="E186" s="54">
        <f t="shared" si="16"/>
        <v>-5845.9004150797909</v>
      </c>
      <c r="F186" s="54"/>
      <c r="G186" s="54">
        <f t="shared" si="17"/>
        <v>3293.4486291082576</v>
      </c>
      <c r="H186" s="54"/>
      <c r="I186" s="54">
        <f t="shared" si="18"/>
        <v>2552.4517859715334</v>
      </c>
      <c r="J186" s="56">
        <f t="shared" si="14"/>
        <v>0.4366225225779346</v>
      </c>
      <c r="K186" s="54">
        <f t="shared" si="19"/>
        <v>609294.98000404879</v>
      </c>
    </row>
    <row r="187" spans="2:11" x14ac:dyDescent="0.3">
      <c r="B187" s="41">
        <f t="shared" si="20"/>
        <v>176</v>
      </c>
      <c r="C187" s="52">
        <f t="shared" si="15"/>
        <v>609294.98000404879</v>
      </c>
      <c r="E187" s="54">
        <f t="shared" si="16"/>
        <v>-5845.9004150797909</v>
      </c>
      <c r="F187" s="54"/>
      <c r="G187" s="54">
        <f t="shared" si="17"/>
        <v>3307.1713317296235</v>
      </c>
      <c r="H187" s="54"/>
      <c r="I187" s="54">
        <f t="shared" si="18"/>
        <v>2538.7290833501675</v>
      </c>
      <c r="J187" s="56">
        <f t="shared" si="14"/>
        <v>0.4342751164219954</v>
      </c>
      <c r="K187" s="54">
        <f t="shared" si="19"/>
        <v>605987.80867231917</v>
      </c>
    </row>
    <row r="188" spans="2:11" x14ac:dyDescent="0.3">
      <c r="B188" s="41">
        <f t="shared" si="20"/>
        <v>177</v>
      </c>
      <c r="C188" s="52">
        <f t="shared" si="15"/>
        <v>605987.80867231917</v>
      </c>
      <c r="E188" s="54">
        <f t="shared" si="16"/>
        <v>-5845.9004150797909</v>
      </c>
      <c r="F188" s="54"/>
      <c r="G188" s="54">
        <f t="shared" si="17"/>
        <v>3320.9512122784508</v>
      </c>
      <c r="H188" s="54"/>
      <c r="I188" s="54">
        <f t="shared" si="18"/>
        <v>2524.9492028013401</v>
      </c>
      <c r="J188" s="56">
        <f t="shared" si="14"/>
        <v>0.43191792940709495</v>
      </c>
      <c r="K188" s="54">
        <f t="shared" si="19"/>
        <v>602666.85746004072</v>
      </c>
    </row>
    <row r="189" spans="2:11" x14ac:dyDescent="0.3">
      <c r="B189" s="41">
        <f t="shared" si="20"/>
        <v>178</v>
      </c>
      <c r="C189" s="52">
        <f t="shared" si="15"/>
        <v>602666.85746004072</v>
      </c>
      <c r="E189" s="54">
        <f t="shared" si="16"/>
        <v>-5845.9004150797909</v>
      </c>
      <c r="F189" s="54"/>
      <c r="G189" s="54">
        <f t="shared" si="17"/>
        <v>3334.788508996251</v>
      </c>
      <c r="H189" s="54"/>
      <c r="I189" s="54">
        <f t="shared" si="18"/>
        <v>2511.1119060835399</v>
      </c>
      <c r="J189" s="56">
        <f t="shared" si="14"/>
        <v>0.42955092077962903</v>
      </c>
      <c r="K189" s="54">
        <f t="shared" si="19"/>
        <v>599332.06895104446</v>
      </c>
    </row>
    <row r="190" spans="2:11" x14ac:dyDescent="0.3">
      <c r="B190" s="41">
        <f t="shared" si="20"/>
        <v>179</v>
      </c>
      <c r="C190" s="52">
        <f t="shared" si="15"/>
        <v>599332.06895104446</v>
      </c>
      <c r="E190" s="54">
        <f t="shared" si="16"/>
        <v>-5845.9004150797909</v>
      </c>
      <c r="F190" s="54"/>
      <c r="G190" s="54">
        <f t="shared" si="17"/>
        <v>3348.6834611170925</v>
      </c>
      <c r="H190" s="54"/>
      <c r="I190" s="54">
        <f t="shared" si="18"/>
        <v>2497.2169539626984</v>
      </c>
      <c r="J190" s="56">
        <f t="shared" si="14"/>
        <v>0.42717404961620675</v>
      </c>
      <c r="K190" s="54">
        <f t="shared" si="19"/>
        <v>595983.38548992737</v>
      </c>
    </row>
    <row r="191" spans="2:11" x14ac:dyDescent="0.3">
      <c r="B191" s="41">
        <f t="shared" si="20"/>
        <v>180</v>
      </c>
      <c r="C191" s="52">
        <f t="shared" si="15"/>
        <v>595983.38548992737</v>
      </c>
      <c r="E191" s="54">
        <f t="shared" si="16"/>
        <v>-5845.9004150797909</v>
      </c>
      <c r="F191" s="54"/>
      <c r="G191" s="54">
        <f t="shared" si="17"/>
        <v>3362.6363088717917</v>
      </c>
      <c r="H191" s="54"/>
      <c r="I191" s="54">
        <f t="shared" si="18"/>
        <v>2483.2641062079992</v>
      </c>
      <c r="J191" s="56">
        <f t="shared" si="14"/>
        <v>0.42478727482293333</v>
      </c>
      <c r="K191" s="54">
        <f t="shared" si="19"/>
        <v>592620.74918105558</v>
      </c>
    </row>
    <row r="192" spans="2:11" x14ac:dyDescent="0.3">
      <c r="B192" s="41">
        <f t="shared" si="20"/>
        <v>181</v>
      </c>
      <c r="C192" s="52">
        <f t="shared" si="15"/>
        <v>592620.74918105558</v>
      </c>
      <c r="E192" s="54">
        <f t="shared" si="16"/>
        <v>-5845.9004150797909</v>
      </c>
      <c r="F192" s="54"/>
      <c r="G192" s="54">
        <f t="shared" si="17"/>
        <v>3376.6472934921039</v>
      </c>
      <c r="H192" s="54"/>
      <c r="I192" s="54">
        <f t="shared" si="18"/>
        <v>2469.253121587687</v>
      </c>
      <c r="J192" s="56">
        <f t="shared" si="14"/>
        <v>0.42239055513469331</v>
      </c>
      <c r="K192" s="54">
        <f t="shared" si="19"/>
        <v>589244.10188756348</v>
      </c>
    </row>
    <row r="193" spans="2:11" x14ac:dyDescent="0.3">
      <c r="B193" s="41">
        <f t="shared" si="20"/>
        <v>182</v>
      </c>
      <c r="C193" s="52">
        <f t="shared" si="15"/>
        <v>589244.10188756348</v>
      </c>
      <c r="E193" s="54">
        <f t="shared" si="16"/>
        <v>-5845.9004150797909</v>
      </c>
      <c r="F193" s="54"/>
      <c r="G193" s="54">
        <f t="shared" si="17"/>
        <v>3390.7166572149144</v>
      </c>
      <c r="H193" s="54"/>
      <c r="I193" s="54">
        <f t="shared" si="18"/>
        <v>2455.1837578648765</v>
      </c>
      <c r="J193" s="56">
        <f t="shared" si="14"/>
        <v>0.41998384911443376</v>
      </c>
      <c r="K193" s="54">
        <f t="shared" si="19"/>
        <v>585853.38523034856</v>
      </c>
    </row>
    <row r="194" spans="2:11" x14ac:dyDescent="0.3">
      <c r="B194" s="41">
        <f t="shared" si="20"/>
        <v>183</v>
      </c>
      <c r="C194" s="52">
        <f t="shared" si="15"/>
        <v>585853.38523034856</v>
      </c>
      <c r="E194" s="54">
        <f t="shared" si="16"/>
        <v>-5845.9004150797909</v>
      </c>
      <c r="F194" s="54"/>
      <c r="G194" s="54">
        <f t="shared" si="17"/>
        <v>3404.8446432866622</v>
      </c>
      <c r="H194" s="54"/>
      <c r="I194" s="54">
        <f t="shared" si="18"/>
        <v>2441.0557717931288</v>
      </c>
      <c r="J194" s="56">
        <f t="shared" si="14"/>
        <v>0.4175671151524073</v>
      </c>
      <c r="K194" s="54">
        <f t="shared" si="19"/>
        <v>582448.5405870619</v>
      </c>
    </row>
    <row r="195" spans="2:11" x14ac:dyDescent="0.3">
      <c r="B195" s="41">
        <f t="shared" si="20"/>
        <v>184</v>
      </c>
      <c r="C195" s="52">
        <f t="shared" si="15"/>
        <v>582448.5405870619</v>
      </c>
      <c r="E195" s="54">
        <f t="shared" si="16"/>
        <v>-5845.9004150797909</v>
      </c>
      <c r="F195" s="54"/>
      <c r="G195" s="54">
        <f t="shared" si="17"/>
        <v>3419.031495967065</v>
      </c>
      <c r="H195" s="54"/>
      <c r="I195" s="54">
        <f t="shared" si="18"/>
        <v>2426.868919112726</v>
      </c>
      <c r="J195" s="56">
        <f t="shared" si="14"/>
        <v>0.41514031146553521</v>
      </c>
      <c r="K195" s="54">
        <f t="shared" si="19"/>
        <v>579029.50909109483</v>
      </c>
    </row>
    <row r="196" spans="2:11" x14ac:dyDescent="0.3">
      <c r="B196" s="41">
        <f t="shared" si="20"/>
        <v>185</v>
      </c>
      <c r="C196" s="52">
        <f t="shared" si="15"/>
        <v>579029.50909109483</v>
      </c>
      <c r="E196" s="54">
        <f t="shared" si="16"/>
        <v>-5845.9004150797909</v>
      </c>
      <c r="F196" s="54"/>
      <c r="G196" s="54">
        <f t="shared" si="17"/>
        <v>3433.2774605335435</v>
      </c>
      <c r="H196" s="54"/>
      <c r="I196" s="54">
        <f t="shared" si="18"/>
        <v>2412.6229545462475</v>
      </c>
      <c r="J196" s="56">
        <f t="shared" si="14"/>
        <v>0.4127033960966503</v>
      </c>
      <c r="K196" s="54">
        <f t="shared" si="19"/>
        <v>575596.23163056129</v>
      </c>
    </row>
    <row r="197" spans="2:11" x14ac:dyDescent="0.3">
      <c r="B197" s="41">
        <f t="shared" si="20"/>
        <v>186</v>
      </c>
      <c r="C197" s="52">
        <f t="shared" si="15"/>
        <v>575596.23163056129</v>
      </c>
      <c r="E197" s="54">
        <f t="shared" si="16"/>
        <v>-5845.9004150797909</v>
      </c>
      <c r="F197" s="54"/>
      <c r="G197" s="54">
        <f t="shared" si="17"/>
        <v>3447.5827832857613</v>
      </c>
      <c r="H197" s="54"/>
      <c r="I197" s="54">
        <f t="shared" si="18"/>
        <v>2398.3176317940297</v>
      </c>
      <c r="J197" s="56">
        <f t="shared" si="14"/>
        <v>0.4102563269137206</v>
      </c>
      <c r="K197" s="54">
        <f t="shared" si="19"/>
        <v>572148.64884727553</v>
      </c>
    </row>
    <row r="198" spans="2:11" x14ac:dyDescent="0.3">
      <c r="B198" s="41">
        <f t="shared" si="20"/>
        <v>187</v>
      </c>
      <c r="C198" s="52">
        <f t="shared" si="15"/>
        <v>572148.64884727553</v>
      </c>
      <c r="E198" s="54">
        <f t="shared" si="16"/>
        <v>-5845.9004150797909</v>
      </c>
      <c r="F198" s="54"/>
      <c r="G198" s="54">
        <f t="shared" si="17"/>
        <v>3461.9477115494665</v>
      </c>
      <c r="H198" s="54"/>
      <c r="I198" s="54">
        <f t="shared" si="18"/>
        <v>2383.9527035303245</v>
      </c>
      <c r="J198" s="56">
        <f t="shared" si="14"/>
        <v>0.40779906160919194</v>
      </c>
      <c r="K198" s="54">
        <f t="shared" si="19"/>
        <v>568686.70113572606</v>
      </c>
    </row>
    <row r="199" spans="2:11" x14ac:dyDescent="0.3">
      <c r="B199" s="41">
        <f t="shared" si="20"/>
        <v>188</v>
      </c>
      <c r="C199" s="52">
        <f t="shared" si="15"/>
        <v>568686.70113572606</v>
      </c>
      <c r="E199" s="54">
        <f t="shared" si="16"/>
        <v>-5845.9004150797909</v>
      </c>
      <c r="F199" s="54"/>
      <c r="G199" s="54">
        <f t="shared" si="17"/>
        <v>3476.3724936809158</v>
      </c>
      <c r="H199" s="54"/>
      <c r="I199" s="54">
        <f t="shared" si="18"/>
        <v>2369.5279213988752</v>
      </c>
      <c r="J199" s="56">
        <f t="shared" si="14"/>
        <v>0.4053315576992314</v>
      </c>
      <c r="K199" s="54">
        <f t="shared" si="19"/>
        <v>565210.32864204515</v>
      </c>
    </row>
    <row r="200" spans="2:11" x14ac:dyDescent="0.3">
      <c r="B200" s="41">
        <f t="shared" si="20"/>
        <v>189</v>
      </c>
      <c r="C200" s="52">
        <f t="shared" si="15"/>
        <v>565210.32864204515</v>
      </c>
      <c r="E200" s="54">
        <f t="shared" si="16"/>
        <v>-5845.9004150797909</v>
      </c>
      <c r="F200" s="54"/>
      <c r="G200" s="54">
        <f t="shared" si="17"/>
        <v>3490.8573790712981</v>
      </c>
      <c r="H200" s="54"/>
      <c r="I200" s="54">
        <f t="shared" si="18"/>
        <v>2355.0430360084929</v>
      </c>
      <c r="J200" s="56">
        <f t="shared" si="14"/>
        <v>0.4028537725229705</v>
      </c>
      <c r="K200" s="54">
        <f t="shared" si="19"/>
        <v>561719.47126297385</v>
      </c>
    </row>
    <row r="201" spans="2:11" x14ac:dyDescent="0.3">
      <c r="B201" s="41">
        <f t="shared" si="20"/>
        <v>190</v>
      </c>
      <c r="C201" s="52">
        <f t="shared" si="15"/>
        <v>561719.47126297385</v>
      </c>
      <c r="E201" s="54">
        <f t="shared" si="16"/>
        <v>-5845.9004150797909</v>
      </c>
      <c r="F201" s="54"/>
      <c r="G201" s="54">
        <f t="shared" si="17"/>
        <v>3505.4026181506924</v>
      </c>
      <c r="H201" s="54"/>
      <c r="I201" s="54">
        <f t="shared" si="18"/>
        <v>2340.4977969290985</v>
      </c>
      <c r="J201" s="56">
        <f t="shared" si="14"/>
        <v>0.4003656632418281</v>
      </c>
      <c r="K201" s="54">
        <f t="shared" si="19"/>
        <v>558214.06864482316</v>
      </c>
    </row>
    <row r="202" spans="2:11" x14ac:dyDescent="0.3">
      <c r="B202" s="41">
        <f t="shared" si="20"/>
        <v>191</v>
      </c>
      <c r="C202" s="52">
        <f t="shared" si="15"/>
        <v>558214.06864482316</v>
      </c>
      <c r="E202" s="54">
        <f t="shared" si="16"/>
        <v>-5845.9004150797909</v>
      </c>
      <c r="F202" s="54"/>
      <c r="G202" s="54">
        <f t="shared" si="17"/>
        <v>3520.0084623930743</v>
      </c>
      <c r="H202" s="54"/>
      <c r="I202" s="54">
        <f t="shared" si="18"/>
        <v>2325.8919526867166</v>
      </c>
      <c r="J202" s="56">
        <f t="shared" si="14"/>
        <v>0.39786718683865407</v>
      </c>
      <c r="K202" s="54">
        <f t="shared" si="19"/>
        <v>554694.06018243008</v>
      </c>
    </row>
    <row r="203" spans="2:11" x14ac:dyDescent="0.3">
      <c r="B203" s="41">
        <f t="shared" si="20"/>
        <v>192</v>
      </c>
      <c r="C203" s="52">
        <f t="shared" si="15"/>
        <v>554694.06018243008</v>
      </c>
      <c r="E203" s="54">
        <f t="shared" si="16"/>
        <v>-5845.9004150797909</v>
      </c>
      <c r="F203" s="54"/>
      <c r="G203" s="54">
        <f t="shared" si="17"/>
        <v>3534.6751643196912</v>
      </c>
      <c r="H203" s="54"/>
      <c r="I203" s="54">
        <f t="shared" si="18"/>
        <v>2311.2252507600997</v>
      </c>
      <c r="J203" s="56">
        <f t="shared" si="14"/>
        <v>0.39535830011715206</v>
      </c>
      <c r="K203" s="54">
        <f t="shared" si="19"/>
        <v>551159.38501811039</v>
      </c>
    </row>
    <row r="204" spans="2:11" x14ac:dyDescent="0.3">
      <c r="B204" s="41">
        <f t="shared" si="20"/>
        <v>193</v>
      </c>
      <c r="C204" s="52">
        <f t="shared" si="15"/>
        <v>551159.38501811039</v>
      </c>
      <c r="E204" s="54">
        <f t="shared" si="16"/>
        <v>-5845.9004150797909</v>
      </c>
      <c r="F204" s="54"/>
      <c r="G204" s="54">
        <f t="shared" si="17"/>
        <v>3549.4029775043018</v>
      </c>
      <c r="H204" s="54"/>
      <c r="I204" s="54">
        <f t="shared" si="18"/>
        <v>2296.4974375754891</v>
      </c>
      <c r="J204" s="56">
        <f t="shared" ref="J204:J267" si="21">IFERROR(-I204/E204,"NA")</f>
        <v>0.39283895970098287</v>
      </c>
      <c r="K204" s="54">
        <f t="shared" si="19"/>
        <v>547609.98204060609</v>
      </c>
    </row>
    <row r="205" spans="2:11" x14ac:dyDescent="0.3">
      <c r="B205" s="41">
        <f t="shared" si="20"/>
        <v>194</v>
      </c>
      <c r="C205" s="52">
        <f t="shared" ref="C205:C268" si="22">IF(B205&gt;$G$5+$O$5,0,K204)</f>
        <v>547609.98204060609</v>
      </c>
      <c r="E205" s="54">
        <f t="shared" ref="E205:E268" si="23">IF(B205&gt;$G$5+$O$5,0,1)*IF(AND($O$4&gt;0,B205&lt;=$O$5),-$E$7*$E$4,PMT($E$7,$G$5,$E$4))</f>
        <v>-5845.9004150797909</v>
      </c>
      <c r="F205" s="54"/>
      <c r="G205" s="54">
        <f t="shared" ref="G205:G268" si="24">IF(AND($O$4&gt;0,B205&lt;=$O$5),0,C205-K205)</f>
        <v>3564.19215657725</v>
      </c>
      <c r="H205" s="54"/>
      <c r="I205" s="54">
        <f t="shared" ref="I205:I268" si="25">-(E205+G205)</f>
        <v>2281.708258502541</v>
      </c>
      <c r="J205" s="56">
        <f t="shared" si="21"/>
        <v>0.390309122033068</v>
      </c>
      <c r="K205" s="54">
        <f t="shared" ref="K205:K268" si="26">-FV($E$7,1,E205,C205)</f>
        <v>544045.78988402884</v>
      </c>
    </row>
    <row r="206" spans="2:11" x14ac:dyDescent="0.3">
      <c r="B206" s="41">
        <f t="shared" ref="B206:B269" si="27">B205+1</f>
        <v>195</v>
      </c>
      <c r="C206" s="52">
        <f t="shared" si="22"/>
        <v>544045.78988402884</v>
      </c>
      <c r="E206" s="54">
        <f t="shared" si="23"/>
        <v>-5845.9004150797909</v>
      </c>
      <c r="F206" s="54"/>
      <c r="G206" s="54">
        <f t="shared" si="24"/>
        <v>3579.0429572296562</v>
      </c>
      <c r="H206" s="54"/>
      <c r="I206" s="54">
        <f t="shared" si="25"/>
        <v>2266.8574578501348</v>
      </c>
      <c r="J206" s="56">
        <f t="shared" si="21"/>
        <v>0.38776874337487227</v>
      </c>
      <c r="K206" s="54">
        <f t="shared" si="26"/>
        <v>540466.74692679918</v>
      </c>
    </row>
    <row r="207" spans="2:11" x14ac:dyDescent="0.3">
      <c r="B207" s="41">
        <f t="shared" si="27"/>
        <v>196</v>
      </c>
      <c r="C207" s="52">
        <f t="shared" si="22"/>
        <v>540466.74692679918</v>
      </c>
      <c r="E207" s="54">
        <f t="shared" si="23"/>
        <v>-5845.9004150797909</v>
      </c>
      <c r="F207" s="54"/>
      <c r="G207" s="54">
        <f t="shared" si="24"/>
        <v>3593.9556362180738</v>
      </c>
      <c r="H207" s="54"/>
      <c r="I207" s="54">
        <f t="shared" si="25"/>
        <v>2251.9447788617172</v>
      </c>
      <c r="J207" s="56">
        <f t="shared" si="21"/>
        <v>0.38521777980560762</v>
      </c>
      <c r="K207" s="54">
        <f t="shared" si="26"/>
        <v>536872.79129058111</v>
      </c>
    </row>
    <row r="208" spans="2:11" x14ac:dyDescent="0.3">
      <c r="B208" s="41">
        <f t="shared" si="27"/>
        <v>197</v>
      </c>
      <c r="C208" s="52">
        <f t="shared" si="22"/>
        <v>536872.79129058111</v>
      </c>
      <c r="E208" s="54">
        <f t="shared" si="23"/>
        <v>-5845.9004150797909</v>
      </c>
      <c r="F208" s="54"/>
      <c r="G208" s="54">
        <f t="shared" si="24"/>
        <v>3608.9304513690295</v>
      </c>
      <c r="H208" s="54"/>
      <c r="I208" s="54">
        <f t="shared" si="25"/>
        <v>2236.9699637107615</v>
      </c>
      <c r="J208" s="56">
        <f t="shared" si="21"/>
        <v>0.38265618722145628</v>
      </c>
      <c r="K208" s="54">
        <f t="shared" si="26"/>
        <v>533263.86083921208</v>
      </c>
    </row>
    <row r="209" spans="2:11" x14ac:dyDescent="0.3">
      <c r="B209" s="41">
        <f t="shared" si="27"/>
        <v>198</v>
      </c>
      <c r="C209" s="52">
        <f t="shared" si="22"/>
        <v>533263.86083921208</v>
      </c>
      <c r="E209" s="54">
        <f t="shared" si="23"/>
        <v>-5845.9004150797909</v>
      </c>
      <c r="F209" s="54"/>
      <c r="G209" s="54">
        <f t="shared" si="24"/>
        <v>3623.9676615830977</v>
      </c>
      <c r="H209" s="54"/>
      <c r="I209" s="54">
        <f t="shared" si="25"/>
        <v>2221.9327534966933</v>
      </c>
      <c r="J209" s="56">
        <f t="shared" si="21"/>
        <v>0.38008392133487379</v>
      </c>
      <c r="K209" s="54">
        <f t="shared" si="26"/>
        <v>529639.89317762898</v>
      </c>
    </row>
    <row r="210" spans="2:11" x14ac:dyDescent="0.3">
      <c r="B210" s="41">
        <f t="shared" si="27"/>
        <v>199</v>
      </c>
      <c r="C210" s="52">
        <f t="shared" si="22"/>
        <v>529639.89317762898</v>
      </c>
      <c r="E210" s="54">
        <f t="shared" si="23"/>
        <v>-5845.9004150797909</v>
      </c>
      <c r="F210" s="54"/>
      <c r="G210" s="54">
        <f t="shared" si="24"/>
        <v>3639.0675268396735</v>
      </c>
      <c r="H210" s="54"/>
      <c r="I210" s="54">
        <f t="shared" si="25"/>
        <v>2206.8328882401174</v>
      </c>
      <c r="J210" s="56">
        <f t="shared" si="21"/>
        <v>0.37750093767377257</v>
      </c>
      <c r="K210" s="54">
        <f t="shared" si="26"/>
        <v>526000.82565078931</v>
      </c>
    </row>
    <row r="211" spans="2:11" x14ac:dyDescent="0.3">
      <c r="B211" s="41">
        <f t="shared" si="27"/>
        <v>200</v>
      </c>
      <c r="C211" s="52">
        <f t="shared" si="22"/>
        <v>526000.82565078931</v>
      </c>
      <c r="E211" s="54">
        <f t="shared" si="23"/>
        <v>-5845.9004150797909</v>
      </c>
      <c r="F211" s="54"/>
      <c r="G211" s="54">
        <f t="shared" si="24"/>
        <v>3654.2303082015133</v>
      </c>
      <c r="H211" s="54"/>
      <c r="I211" s="54">
        <f t="shared" si="25"/>
        <v>2191.6701068782777</v>
      </c>
      <c r="J211" s="56">
        <f t="shared" si="21"/>
        <v>0.37490719158074531</v>
      </c>
      <c r="K211" s="54">
        <f t="shared" si="26"/>
        <v>522346.5953425878</v>
      </c>
    </row>
    <row r="212" spans="2:11" x14ac:dyDescent="0.3">
      <c r="B212" s="41">
        <f t="shared" si="27"/>
        <v>201</v>
      </c>
      <c r="C212" s="52">
        <f t="shared" si="22"/>
        <v>522346.5953425878</v>
      </c>
      <c r="E212" s="54">
        <f t="shared" si="23"/>
        <v>-5845.9004150797909</v>
      </c>
      <c r="F212" s="54"/>
      <c r="G212" s="54">
        <f t="shared" si="24"/>
        <v>3669.4562678190414</v>
      </c>
      <c r="H212" s="54"/>
      <c r="I212" s="54">
        <f t="shared" si="25"/>
        <v>2176.4441472607496</v>
      </c>
      <c r="J212" s="56">
        <f t="shared" si="21"/>
        <v>0.37230263821232801</v>
      </c>
      <c r="K212" s="54">
        <f t="shared" si="26"/>
        <v>518677.13907476875</v>
      </c>
    </row>
    <row r="213" spans="2:11" x14ac:dyDescent="0.3">
      <c r="B213" s="41">
        <f t="shared" si="27"/>
        <v>202</v>
      </c>
      <c r="C213" s="52">
        <f t="shared" si="22"/>
        <v>518677.13907476875</v>
      </c>
      <c r="E213" s="54">
        <f t="shared" si="23"/>
        <v>-5845.9004150797909</v>
      </c>
      <c r="F213" s="54"/>
      <c r="G213" s="54">
        <f t="shared" si="24"/>
        <v>3684.7456689349492</v>
      </c>
      <c r="H213" s="54"/>
      <c r="I213" s="54">
        <f t="shared" si="25"/>
        <v>2161.1547461448417</v>
      </c>
      <c r="J213" s="56">
        <f t="shared" si="21"/>
        <v>0.36968723253821356</v>
      </c>
      <c r="K213" s="54">
        <f t="shared" si="26"/>
        <v>514992.39340583381</v>
      </c>
    </row>
    <row r="214" spans="2:11" x14ac:dyDescent="0.3">
      <c r="B214" s="41">
        <f t="shared" si="27"/>
        <v>203</v>
      </c>
      <c r="C214" s="52">
        <f t="shared" si="22"/>
        <v>514992.39340583381</v>
      </c>
      <c r="E214" s="54">
        <f t="shared" si="23"/>
        <v>-5845.9004150797909</v>
      </c>
      <c r="F214" s="54"/>
      <c r="G214" s="54">
        <f t="shared" si="24"/>
        <v>3700.0987758887932</v>
      </c>
      <c r="H214" s="54"/>
      <c r="I214" s="54">
        <f t="shared" si="25"/>
        <v>2145.8016391909978</v>
      </c>
      <c r="J214" s="56">
        <f t="shared" si="21"/>
        <v>0.36706092934046491</v>
      </c>
      <c r="K214" s="54">
        <f t="shared" si="26"/>
        <v>511292.29462994501</v>
      </c>
    </row>
    <row r="215" spans="2:11" x14ac:dyDescent="0.3">
      <c r="B215" s="41">
        <f t="shared" si="27"/>
        <v>204</v>
      </c>
      <c r="C215" s="52">
        <f t="shared" si="22"/>
        <v>511292.29462994501</v>
      </c>
      <c r="E215" s="54">
        <f t="shared" si="23"/>
        <v>-5845.9004150797909</v>
      </c>
      <c r="F215" s="54"/>
      <c r="G215" s="54">
        <f t="shared" si="24"/>
        <v>3715.5158541217097</v>
      </c>
      <c r="H215" s="54"/>
      <c r="I215" s="54">
        <f t="shared" si="25"/>
        <v>2130.3845609580812</v>
      </c>
      <c r="J215" s="56">
        <f t="shared" si="21"/>
        <v>0.3644236832127089</v>
      </c>
      <c r="K215" s="54">
        <f t="shared" si="26"/>
        <v>507576.7787758233</v>
      </c>
    </row>
    <row r="216" spans="2:11" x14ac:dyDescent="0.3">
      <c r="B216" s="41">
        <f t="shared" si="27"/>
        <v>205</v>
      </c>
      <c r="C216" s="52">
        <f t="shared" si="22"/>
        <v>507576.7787758233</v>
      </c>
      <c r="E216" s="54">
        <f t="shared" si="23"/>
        <v>-5845.9004150797909</v>
      </c>
      <c r="F216" s="54"/>
      <c r="G216" s="54">
        <f t="shared" si="24"/>
        <v>3730.997170180548</v>
      </c>
      <c r="H216" s="54"/>
      <c r="I216" s="54">
        <f t="shared" si="25"/>
        <v>2114.903244899243</v>
      </c>
      <c r="J216" s="56">
        <f t="shared" si="21"/>
        <v>0.36177544855942889</v>
      </c>
      <c r="K216" s="54">
        <f t="shared" si="26"/>
        <v>503845.78160564275</v>
      </c>
    </row>
    <row r="217" spans="2:11" x14ac:dyDescent="0.3">
      <c r="B217" s="41">
        <f t="shared" si="27"/>
        <v>206</v>
      </c>
      <c r="C217" s="52">
        <f t="shared" si="22"/>
        <v>503845.78160564275</v>
      </c>
      <c r="E217" s="54">
        <f t="shared" si="23"/>
        <v>-5845.9004150797909</v>
      </c>
      <c r="F217" s="54"/>
      <c r="G217" s="54">
        <f t="shared" si="24"/>
        <v>3746.5429917229339</v>
      </c>
      <c r="H217" s="54"/>
      <c r="I217" s="54">
        <f t="shared" si="25"/>
        <v>2099.357423356857</v>
      </c>
      <c r="J217" s="56">
        <f t="shared" si="21"/>
        <v>0.35911617959509884</v>
      </c>
      <c r="K217" s="54">
        <f t="shared" si="26"/>
        <v>500099.23861391982</v>
      </c>
    </row>
    <row r="218" spans="2:11" x14ac:dyDescent="0.3">
      <c r="B218" s="41">
        <f t="shared" si="27"/>
        <v>207</v>
      </c>
      <c r="C218" s="52">
        <f t="shared" si="22"/>
        <v>500099.23861391982</v>
      </c>
      <c r="E218" s="54">
        <f t="shared" si="23"/>
        <v>-5845.9004150797909</v>
      </c>
      <c r="F218" s="54"/>
      <c r="G218" s="54">
        <f t="shared" si="24"/>
        <v>3762.1535875218106</v>
      </c>
      <c r="H218" s="54"/>
      <c r="I218" s="54">
        <f t="shared" si="25"/>
        <v>2083.7468275579804</v>
      </c>
      <c r="J218" s="56">
        <f t="shared" si="21"/>
        <v>0.35644583034340643</v>
      </c>
      <c r="K218" s="54">
        <f t="shared" si="26"/>
        <v>496337.08502639801</v>
      </c>
    </row>
    <row r="219" spans="2:11" x14ac:dyDescent="0.3">
      <c r="B219" s="41">
        <f t="shared" si="27"/>
        <v>208</v>
      </c>
      <c r="C219" s="52">
        <f t="shared" si="22"/>
        <v>496337.08502639801</v>
      </c>
      <c r="E219" s="54">
        <f t="shared" si="23"/>
        <v>-5845.9004150797909</v>
      </c>
      <c r="F219" s="54"/>
      <c r="G219" s="54">
        <f t="shared" si="24"/>
        <v>3777.8292274698033</v>
      </c>
      <c r="H219" s="54"/>
      <c r="I219" s="54">
        <f t="shared" si="25"/>
        <v>2068.0711876099876</v>
      </c>
      <c r="J219" s="56">
        <f t="shared" si="21"/>
        <v>0.35376435463650646</v>
      </c>
      <c r="K219" s="54">
        <f t="shared" si="26"/>
        <v>492559.25579892821</v>
      </c>
    </row>
    <row r="220" spans="2:11" x14ac:dyDescent="0.3">
      <c r="B220" s="41">
        <f t="shared" si="27"/>
        <v>209</v>
      </c>
      <c r="C220" s="52">
        <f t="shared" si="22"/>
        <v>492559.25579892821</v>
      </c>
      <c r="E220" s="54">
        <f t="shared" si="23"/>
        <v>-5845.9004150797909</v>
      </c>
      <c r="F220" s="54"/>
      <c r="G220" s="54">
        <f t="shared" si="24"/>
        <v>3793.5701825842843</v>
      </c>
      <c r="H220" s="54"/>
      <c r="I220" s="54">
        <f t="shared" si="25"/>
        <v>2052.3302324955066</v>
      </c>
      <c r="J220" s="56">
        <f t="shared" si="21"/>
        <v>0.35107170611415456</v>
      </c>
      <c r="K220" s="54">
        <f t="shared" si="26"/>
        <v>488765.68561634392</v>
      </c>
    </row>
    <row r="221" spans="2:11" x14ac:dyDescent="0.3">
      <c r="B221" s="41">
        <f t="shared" si="27"/>
        <v>210</v>
      </c>
      <c r="C221" s="52">
        <f t="shared" si="22"/>
        <v>488765.68561634392</v>
      </c>
      <c r="E221" s="54">
        <f t="shared" si="23"/>
        <v>-5845.9004150797909</v>
      </c>
      <c r="F221" s="54"/>
      <c r="G221" s="54">
        <f t="shared" si="24"/>
        <v>3809.3767250116798</v>
      </c>
      <c r="H221" s="54"/>
      <c r="I221" s="54">
        <f t="shared" si="25"/>
        <v>2036.5236900681111</v>
      </c>
      <c r="J221" s="56">
        <f t="shared" si="21"/>
        <v>0.34836783822297024</v>
      </c>
      <c r="K221" s="54">
        <f t="shared" si="26"/>
        <v>484956.30889133224</v>
      </c>
    </row>
    <row r="222" spans="2:11" x14ac:dyDescent="0.3">
      <c r="B222" s="41">
        <f t="shared" si="27"/>
        <v>211</v>
      </c>
      <c r="C222" s="52">
        <f t="shared" si="22"/>
        <v>484956.30889133224</v>
      </c>
      <c r="E222" s="54">
        <f t="shared" si="23"/>
        <v>-5845.9004150797909</v>
      </c>
      <c r="F222" s="54"/>
      <c r="G222" s="54">
        <f t="shared" si="24"/>
        <v>3825.2491280325921</v>
      </c>
      <c r="H222" s="54"/>
      <c r="I222" s="54">
        <f t="shared" si="25"/>
        <v>2020.6512870471988</v>
      </c>
      <c r="J222" s="56">
        <f t="shared" si="21"/>
        <v>0.34565270421556077</v>
      </c>
      <c r="K222" s="54">
        <f t="shared" si="26"/>
        <v>481131.05976329965</v>
      </c>
    </row>
    <row r="223" spans="2:11" x14ac:dyDescent="0.3">
      <c r="B223" s="41">
        <f t="shared" si="27"/>
        <v>212</v>
      </c>
      <c r="C223" s="52">
        <f t="shared" si="22"/>
        <v>481131.05976329965</v>
      </c>
      <c r="E223" s="54">
        <f t="shared" si="23"/>
        <v>-5845.9004150797909</v>
      </c>
      <c r="F223" s="54"/>
      <c r="G223" s="54">
        <f t="shared" si="24"/>
        <v>3841.1876660660491</v>
      </c>
      <c r="H223" s="54"/>
      <c r="I223" s="54">
        <f t="shared" si="25"/>
        <v>2004.7127490137418</v>
      </c>
      <c r="J223" s="56">
        <f t="shared" si="21"/>
        <v>0.34292625714979436</v>
      </c>
      <c r="K223" s="54">
        <f t="shared" si="26"/>
        <v>477289.8720972336</v>
      </c>
    </row>
    <row r="224" spans="2:11" x14ac:dyDescent="0.3">
      <c r="B224" s="41">
        <f t="shared" si="27"/>
        <v>213</v>
      </c>
      <c r="C224" s="52">
        <f t="shared" si="22"/>
        <v>477289.8720972336</v>
      </c>
      <c r="E224" s="54">
        <f t="shared" si="23"/>
        <v>-5845.9004150797909</v>
      </c>
      <c r="F224" s="54"/>
      <c r="G224" s="54">
        <f t="shared" si="24"/>
        <v>3857.1926146746264</v>
      </c>
      <c r="H224" s="54"/>
      <c r="I224" s="54">
        <f t="shared" si="25"/>
        <v>1988.7078004051646</v>
      </c>
      <c r="J224" s="56">
        <f t="shared" si="21"/>
        <v>0.34018844988792385</v>
      </c>
      <c r="K224" s="54">
        <f t="shared" si="26"/>
        <v>473432.67948255897</v>
      </c>
    </row>
    <row r="225" spans="2:11" x14ac:dyDescent="0.3">
      <c r="B225" s="41">
        <f t="shared" si="27"/>
        <v>214</v>
      </c>
      <c r="C225" s="52">
        <f t="shared" si="22"/>
        <v>473432.67948255897</v>
      </c>
      <c r="E225" s="54">
        <f t="shared" si="23"/>
        <v>-5845.9004150797909</v>
      </c>
      <c r="F225" s="54"/>
      <c r="G225" s="54">
        <f t="shared" si="24"/>
        <v>3873.2642505691038</v>
      </c>
      <c r="H225" s="54"/>
      <c r="I225" s="54">
        <f t="shared" si="25"/>
        <v>1972.6361645106872</v>
      </c>
      <c r="J225" s="56">
        <f t="shared" si="21"/>
        <v>0.33743923509579021</v>
      </c>
      <c r="K225" s="54">
        <f t="shared" si="26"/>
        <v>469559.41523198987</v>
      </c>
    </row>
    <row r="226" spans="2:11" x14ac:dyDescent="0.3">
      <c r="B226" s="41">
        <f t="shared" si="27"/>
        <v>215</v>
      </c>
      <c r="C226" s="52">
        <f t="shared" si="22"/>
        <v>469559.41523198987</v>
      </c>
      <c r="E226" s="54">
        <f t="shared" si="23"/>
        <v>-5845.9004150797909</v>
      </c>
      <c r="F226" s="54"/>
      <c r="G226" s="54">
        <f t="shared" si="24"/>
        <v>3889.4028516131802</v>
      </c>
      <c r="H226" s="54"/>
      <c r="I226" s="54">
        <f t="shared" si="25"/>
        <v>1956.4975634666107</v>
      </c>
      <c r="J226" s="56">
        <f t="shared" si="21"/>
        <v>0.33467856524201606</v>
      </c>
      <c r="K226" s="54">
        <f t="shared" si="26"/>
        <v>465670.01238037669</v>
      </c>
    </row>
    <row r="227" spans="2:11" x14ac:dyDescent="0.3">
      <c r="B227" s="41">
        <f t="shared" si="27"/>
        <v>216</v>
      </c>
      <c r="C227" s="52">
        <f t="shared" si="22"/>
        <v>465670.01238037669</v>
      </c>
      <c r="E227" s="54">
        <f t="shared" si="23"/>
        <v>-5845.9004150797909</v>
      </c>
      <c r="F227" s="54"/>
      <c r="G227" s="54">
        <f t="shared" si="24"/>
        <v>3905.608696828247</v>
      </c>
      <c r="H227" s="54"/>
      <c r="I227" s="54">
        <f t="shared" si="25"/>
        <v>1940.2917182515439</v>
      </c>
      <c r="J227" s="56">
        <f t="shared" si="21"/>
        <v>0.33190639259718913</v>
      </c>
      <c r="K227" s="54">
        <f t="shared" si="26"/>
        <v>461764.40368354844</v>
      </c>
    </row>
    <row r="228" spans="2:11" x14ac:dyDescent="0.3">
      <c r="B228" s="41">
        <f t="shared" si="27"/>
        <v>217</v>
      </c>
      <c r="C228" s="52">
        <f t="shared" si="22"/>
        <v>461764.40368354844</v>
      </c>
      <c r="E228" s="54">
        <f t="shared" si="23"/>
        <v>-5845.9004150797909</v>
      </c>
      <c r="F228" s="54"/>
      <c r="G228" s="54">
        <f t="shared" si="24"/>
        <v>3921.8820663983352</v>
      </c>
      <c r="H228" s="54"/>
      <c r="I228" s="54">
        <f t="shared" si="25"/>
        <v>1924.0183486814558</v>
      </c>
      <c r="J228" s="56">
        <f t="shared" si="21"/>
        <v>0.32912266923301581</v>
      </c>
      <c r="K228" s="54">
        <f t="shared" si="26"/>
        <v>457842.52161715011</v>
      </c>
    </row>
    <row r="229" spans="2:11" x14ac:dyDescent="0.3">
      <c r="B229" s="41">
        <f t="shared" si="27"/>
        <v>218</v>
      </c>
      <c r="C229" s="52">
        <f t="shared" si="22"/>
        <v>457842.52161715011</v>
      </c>
      <c r="E229" s="54">
        <f t="shared" si="23"/>
        <v>-5845.9004150797909</v>
      </c>
      <c r="F229" s="54"/>
      <c r="G229" s="54">
        <f t="shared" si="24"/>
        <v>3938.2232416750048</v>
      </c>
      <c r="H229" s="54"/>
      <c r="I229" s="54">
        <f t="shared" si="25"/>
        <v>1907.6771734047861</v>
      </c>
      <c r="J229" s="56">
        <f t="shared" si="21"/>
        <v>0.32632734702148497</v>
      </c>
      <c r="K229" s="54">
        <f t="shared" si="26"/>
        <v>453904.2983754751</v>
      </c>
    </row>
    <row r="230" spans="2:11" x14ac:dyDescent="0.3">
      <c r="B230" s="41">
        <f t="shared" si="27"/>
        <v>219</v>
      </c>
      <c r="C230" s="52">
        <f t="shared" si="22"/>
        <v>453904.2983754751</v>
      </c>
      <c r="E230" s="54">
        <f t="shared" si="23"/>
        <v>-5845.9004150797909</v>
      </c>
      <c r="F230" s="54"/>
      <c r="G230" s="54">
        <f t="shared" si="24"/>
        <v>3954.6325051820022</v>
      </c>
      <c r="H230" s="54"/>
      <c r="I230" s="54">
        <f t="shared" si="25"/>
        <v>1891.2679098977887</v>
      </c>
      <c r="J230" s="56">
        <f t="shared" si="21"/>
        <v>0.32352037763407143</v>
      </c>
      <c r="K230" s="54">
        <f t="shared" si="26"/>
        <v>449949.6658702931</v>
      </c>
    </row>
    <row r="231" spans="2:11" x14ac:dyDescent="0.3">
      <c r="B231" s="41">
        <f t="shared" si="27"/>
        <v>220</v>
      </c>
      <c r="C231" s="52">
        <f t="shared" si="22"/>
        <v>449949.6658702931</v>
      </c>
      <c r="E231" s="54">
        <f t="shared" si="23"/>
        <v>-5845.9004150797909</v>
      </c>
      <c r="F231" s="54"/>
      <c r="G231" s="54">
        <f t="shared" si="24"/>
        <v>3971.1101406202652</v>
      </c>
      <c r="H231" s="54"/>
      <c r="I231" s="54">
        <f t="shared" si="25"/>
        <v>1874.7902744595258</v>
      </c>
      <c r="J231" s="56">
        <f t="shared" si="21"/>
        <v>0.32070171254087926</v>
      </c>
      <c r="K231" s="54">
        <f t="shared" si="26"/>
        <v>445978.55572967284</v>
      </c>
    </row>
    <row r="232" spans="2:11" x14ac:dyDescent="0.3">
      <c r="B232" s="41">
        <f t="shared" si="27"/>
        <v>221</v>
      </c>
      <c r="C232" s="52">
        <f t="shared" si="22"/>
        <v>445978.55572967284</v>
      </c>
      <c r="E232" s="54">
        <f t="shared" si="23"/>
        <v>-5845.9004150797909</v>
      </c>
      <c r="F232" s="54"/>
      <c r="G232" s="54">
        <f t="shared" si="24"/>
        <v>3987.6564328728127</v>
      </c>
      <c r="H232" s="54"/>
      <c r="I232" s="54">
        <f t="shared" si="25"/>
        <v>1858.2439822069782</v>
      </c>
      <c r="J232" s="56">
        <f t="shared" si="21"/>
        <v>0.31787130300980587</v>
      </c>
      <c r="K232" s="54">
        <f t="shared" si="26"/>
        <v>441990.89929680002</v>
      </c>
    </row>
    <row r="233" spans="2:11" x14ac:dyDescent="0.3">
      <c r="B233" s="41">
        <f t="shared" si="27"/>
        <v>222</v>
      </c>
      <c r="C233" s="52">
        <f t="shared" si="22"/>
        <v>441990.89929680002</v>
      </c>
      <c r="E233" s="54">
        <f t="shared" si="23"/>
        <v>-5845.9004150797909</v>
      </c>
      <c r="F233" s="54"/>
      <c r="G233" s="54">
        <f t="shared" si="24"/>
        <v>4004.2716680098092</v>
      </c>
      <c r="H233" s="54"/>
      <c r="I233" s="54">
        <f t="shared" si="25"/>
        <v>1841.6287470699817</v>
      </c>
      <c r="J233" s="56">
        <f t="shared" si="21"/>
        <v>0.31502910010567553</v>
      </c>
      <c r="K233" s="54">
        <f t="shared" si="26"/>
        <v>437986.62762879021</v>
      </c>
    </row>
    <row r="234" spans="2:11" x14ac:dyDescent="0.3">
      <c r="B234" s="41">
        <f t="shared" si="27"/>
        <v>223</v>
      </c>
      <c r="C234" s="52">
        <f t="shared" si="22"/>
        <v>437986.62762879021</v>
      </c>
      <c r="E234" s="54">
        <f t="shared" si="23"/>
        <v>-5845.9004150797909</v>
      </c>
      <c r="F234" s="54"/>
      <c r="G234" s="54">
        <f t="shared" si="24"/>
        <v>4020.9561332931626</v>
      </c>
      <c r="H234" s="54"/>
      <c r="I234" s="54">
        <f t="shared" si="25"/>
        <v>1824.9442817866284</v>
      </c>
      <c r="J234" s="56">
        <f t="shared" si="21"/>
        <v>0.31217505468945278</v>
      </c>
      <c r="K234" s="54">
        <f t="shared" si="26"/>
        <v>433965.67149549705</v>
      </c>
    </row>
    <row r="235" spans="2:11" x14ac:dyDescent="0.3">
      <c r="B235" s="41">
        <f t="shared" si="27"/>
        <v>224</v>
      </c>
      <c r="C235" s="52">
        <f t="shared" si="22"/>
        <v>433965.67149549705</v>
      </c>
      <c r="E235" s="54">
        <f t="shared" si="23"/>
        <v>-5845.9004150797909</v>
      </c>
      <c r="F235" s="54"/>
      <c r="G235" s="54">
        <f t="shared" si="24"/>
        <v>4037.7101171818795</v>
      </c>
      <c r="H235" s="54"/>
      <c r="I235" s="54">
        <f t="shared" si="25"/>
        <v>1808.1902978979115</v>
      </c>
      <c r="J235" s="56">
        <f t="shared" si="21"/>
        <v>0.30930911741732625</v>
      </c>
      <c r="K235" s="54">
        <f t="shared" si="26"/>
        <v>429927.96137831517</v>
      </c>
    </row>
    <row r="236" spans="2:11" x14ac:dyDescent="0.3">
      <c r="B236" s="41">
        <f t="shared" si="27"/>
        <v>225</v>
      </c>
      <c r="C236" s="52">
        <f t="shared" si="22"/>
        <v>429927.96137831517</v>
      </c>
      <c r="E236" s="54">
        <f t="shared" si="23"/>
        <v>-5845.9004150797909</v>
      </c>
      <c r="F236" s="54"/>
      <c r="G236" s="54">
        <f t="shared" si="24"/>
        <v>4054.5339093368384</v>
      </c>
      <c r="H236" s="54"/>
      <c r="I236" s="54">
        <f t="shared" si="25"/>
        <v>1791.3665057429525</v>
      </c>
      <c r="J236" s="56">
        <f t="shared" si="21"/>
        <v>0.30643123873989259</v>
      </c>
      <c r="K236" s="54">
        <f t="shared" si="26"/>
        <v>425873.42746897833</v>
      </c>
    </row>
    <row r="237" spans="2:11" x14ac:dyDescent="0.3">
      <c r="B237" s="41">
        <f t="shared" si="27"/>
        <v>226</v>
      </c>
      <c r="C237" s="52">
        <f t="shared" si="22"/>
        <v>425873.42746897833</v>
      </c>
      <c r="E237" s="54">
        <f t="shared" si="23"/>
        <v>-5845.9004150797909</v>
      </c>
      <c r="F237" s="54"/>
      <c r="G237" s="54">
        <f t="shared" si="24"/>
        <v>4071.4278006257373</v>
      </c>
      <c r="H237" s="54"/>
      <c r="I237" s="54">
        <f t="shared" si="25"/>
        <v>1774.4726144540537</v>
      </c>
      <c r="J237" s="56">
        <f t="shared" si="21"/>
        <v>0.30354136890130956</v>
      </c>
      <c r="K237" s="54">
        <f t="shared" si="26"/>
        <v>421801.9996683526</v>
      </c>
    </row>
    <row r="238" spans="2:11" x14ac:dyDescent="0.3">
      <c r="B238" s="41">
        <f t="shared" si="27"/>
        <v>227</v>
      </c>
      <c r="C238" s="52">
        <f t="shared" si="22"/>
        <v>421801.9996683526</v>
      </c>
      <c r="E238" s="54">
        <f t="shared" si="23"/>
        <v>-5845.9004150797909</v>
      </c>
      <c r="F238" s="54"/>
      <c r="G238" s="54">
        <f t="shared" si="24"/>
        <v>4088.3920831283322</v>
      </c>
      <c r="H238" s="54"/>
      <c r="I238" s="54">
        <f t="shared" si="25"/>
        <v>1757.5083319514588</v>
      </c>
      <c r="J238" s="56">
        <f t="shared" si="21"/>
        <v>0.30063945793840047</v>
      </c>
      <c r="K238" s="54">
        <f t="shared" si="26"/>
        <v>417713.60758522426</v>
      </c>
    </row>
    <row r="239" spans="2:11" x14ac:dyDescent="0.3">
      <c r="B239" s="41">
        <f t="shared" si="27"/>
        <v>228</v>
      </c>
      <c r="C239" s="52">
        <f t="shared" si="22"/>
        <v>417713.60758522426</v>
      </c>
      <c r="E239" s="54">
        <f t="shared" si="23"/>
        <v>-5845.9004150797909</v>
      </c>
      <c r="F239" s="54"/>
      <c r="G239" s="54">
        <f t="shared" si="24"/>
        <v>4105.4270501413848</v>
      </c>
      <c r="H239" s="54"/>
      <c r="I239" s="54">
        <f t="shared" si="25"/>
        <v>1740.4733649384061</v>
      </c>
      <c r="J239" s="56">
        <f t="shared" si="21"/>
        <v>0.2977254556798074</v>
      </c>
      <c r="K239" s="54">
        <f t="shared" si="26"/>
        <v>413608.18053508288</v>
      </c>
    </row>
    <row r="240" spans="2:11" x14ac:dyDescent="0.3">
      <c r="B240" s="41">
        <f t="shared" si="27"/>
        <v>229</v>
      </c>
      <c r="C240" s="52">
        <f t="shared" si="22"/>
        <v>413608.18053508288</v>
      </c>
      <c r="E240" s="54">
        <f t="shared" si="23"/>
        <v>-5845.9004150797909</v>
      </c>
      <c r="F240" s="54"/>
      <c r="G240" s="54">
        <f t="shared" si="24"/>
        <v>4122.5329961836105</v>
      </c>
      <c r="H240" s="54"/>
      <c r="I240" s="54">
        <f t="shared" si="25"/>
        <v>1723.3674188961804</v>
      </c>
      <c r="J240" s="56">
        <f t="shared" si="21"/>
        <v>0.29479931174514512</v>
      </c>
      <c r="K240" s="54">
        <f t="shared" si="26"/>
        <v>409485.64753889927</v>
      </c>
    </row>
    <row r="241" spans="2:11" x14ac:dyDescent="0.3">
      <c r="B241" s="41">
        <f t="shared" si="27"/>
        <v>230</v>
      </c>
      <c r="C241" s="52">
        <f t="shared" si="22"/>
        <v>409485.64753889927</v>
      </c>
      <c r="E241" s="54">
        <f t="shared" si="23"/>
        <v>-5845.9004150797909</v>
      </c>
      <c r="F241" s="54"/>
      <c r="G241" s="54">
        <f t="shared" si="24"/>
        <v>4139.710217001033</v>
      </c>
      <c r="H241" s="54"/>
      <c r="I241" s="54">
        <f t="shared" si="25"/>
        <v>1706.1901980787579</v>
      </c>
      <c r="J241" s="56">
        <f t="shared" si="21"/>
        <v>0.2918609755440848</v>
      </c>
      <c r="K241" s="54">
        <f t="shared" si="26"/>
        <v>405345.93732189824</v>
      </c>
    </row>
    <row r="242" spans="2:11" x14ac:dyDescent="0.3">
      <c r="B242" s="41">
        <f t="shared" si="27"/>
        <v>231</v>
      </c>
      <c r="C242" s="52">
        <f t="shared" si="22"/>
        <v>405345.93732189824</v>
      </c>
      <c r="E242" s="54">
        <f t="shared" si="23"/>
        <v>-5845.9004150797909</v>
      </c>
      <c r="F242" s="54"/>
      <c r="G242" s="54">
        <f t="shared" si="24"/>
        <v>4156.959009571874</v>
      </c>
      <c r="H242" s="54"/>
      <c r="I242" s="54">
        <f t="shared" si="25"/>
        <v>1688.9414055079169</v>
      </c>
      <c r="J242" s="56">
        <f t="shared" si="21"/>
        <v>0.2889103962755179</v>
      </c>
      <c r="K242" s="54">
        <f t="shared" si="26"/>
        <v>401188.97831232636</v>
      </c>
    </row>
    <row r="243" spans="2:11" x14ac:dyDescent="0.3">
      <c r="B243" s="41">
        <f t="shared" si="27"/>
        <v>232</v>
      </c>
      <c r="C243" s="52">
        <f t="shared" si="22"/>
        <v>401188.97831232636</v>
      </c>
      <c r="E243" s="54">
        <f t="shared" si="23"/>
        <v>-5845.9004150797909</v>
      </c>
      <c r="F243" s="54"/>
      <c r="G243" s="54">
        <f t="shared" si="24"/>
        <v>4174.279672111792</v>
      </c>
      <c r="H243" s="54"/>
      <c r="I243" s="54">
        <f t="shared" si="25"/>
        <v>1671.6207429679989</v>
      </c>
      <c r="J243" s="56">
        <f t="shared" si="21"/>
        <v>0.28594752292665987</v>
      </c>
      <c r="K243" s="54">
        <f t="shared" si="26"/>
        <v>397014.69864021457</v>
      </c>
    </row>
    <row r="244" spans="2:11" x14ac:dyDescent="0.3">
      <c r="B244" s="41">
        <f t="shared" si="27"/>
        <v>233</v>
      </c>
      <c r="C244" s="52">
        <f t="shared" si="22"/>
        <v>397014.69864021457</v>
      </c>
      <c r="E244" s="54">
        <f t="shared" si="23"/>
        <v>-5845.9004150797909</v>
      </c>
      <c r="F244" s="54"/>
      <c r="G244" s="54">
        <f t="shared" si="24"/>
        <v>4191.6725040788879</v>
      </c>
      <c r="H244" s="54"/>
      <c r="I244" s="54">
        <f t="shared" si="25"/>
        <v>1654.2279110009031</v>
      </c>
      <c r="J244" s="56">
        <f t="shared" si="21"/>
        <v>0.28297230427219389</v>
      </c>
      <c r="K244" s="54">
        <f t="shared" si="26"/>
        <v>392823.02613613568</v>
      </c>
    </row>
    <row r="245" spans="2:11" x14ac:dyDescent="0.3">
      <c r="B245" s="41">
        <f t="shared" si="27"/>
        <v>234</v>
      </c>
      <c r="C245" s="52">
        <f t="shared" si="22"/>
        <v>392823.02613613568</v>
      </c>
      <c r="E245" s="54">
        <f t="shared" si="23"/>
        <v>-5845.9004150797909</v>
      </c>
      <c r="F245" s="54"/>
      <c r="G245" s="54">
        <f t="shared" si="24"/>
        <v>4209.1378061792348</v>
      </c>
      <c r="H245" s="54"/>
      <c r="I245" s="54">
        <f t="shared" si="25"/>
        <v>1636.7626089005562</v>
      </c>
      <c r="J245" s="56">
        <f t="shared" si="21"/>
        <v>0.27998468887332489</v>
      </c>
      <c r="K245" s="54">
        <f t="shared" si="26"/>
        <v>388613.88832995645</v>
      </c>
    </row>
    <row r="246" spans="2:11" x14ac:dyDescent="0.3">
      <c r="B246" s="41">
        <f t="shared" si="27"/>
        <v>235</v>
      </c>
      <c r="C246" s="52">
        <f t="shared" si="22"/>
        <v>388613.88832995645</v>
      </c>
      <c r="E246" s="54">
        <f t="shared" si="23"/>
        <v>-5845.9004150797909</v>
      </c>
      <c r="F246" s="54"/>
      <c r="G246" s="54">
        <f t="shared" si="24"/>
        <v>4226.6758803716511</v>
      </c>
      <c r="H246" s="54"/>
      <c r="I246" s="54">
        <f t="shared" si="25"/>
        <v>1619.2245347081398</v>
      </c>
      <c r="J246" s="56">
        <f t="shared" si="21"/>
        <v>0.27698462507696325</v>
      </c>
      <c r="K246" s="54">
        <f t="shared" si="26"/>
        <v>384387.2124495848</v>
      </c>
    </row>
    <row r="247" spans="2:11" x14ac:dyDescent="0.3">
      <c r="B247" s="41">
        <f t="shared" si="27"/>
        <v>236</v>
      </c>
      <c r="C247" s="52">
        <f t="shared" si="22"/>
        <v>384387.2124495848</v>
      </c>
      <c r="E247" s="54">
        <f t="shared" si="23"/>
        <v>-5845.9004150797909</v>
      </c>
      <c r="F247" s="54"/>
      <c r="G247" s="54">
        <f t="shared" si="24"/>
        <v>4244.2870298731723</v>
      </c>
      <c r="H247" s="54"/>
      <c r="I247" s="54">
        <f t="shared" si="25"/>
        <v>1601.6133852066187</v>
      </c>
      <c r="J247" s="56">
        <f t="shared" si="21"/>
        <v>0.2739720610147886</v>
      </c>
      <c r="K247" s="54">
        <f t="shared" si="26"/>
        <v>380142.92541971162</v>
      </c>
    </row>
    <row r="248" spans="2:11" x14ac:dyDescent="0.3">
      <c r="B248" s="41">
        <f t="shared" si="27"/>
        <v>237</v>
      </c>
      <c r="C248" s="52">
        <f t="shared" si="22"/>
        <v>380142.92541971162</v>
      </c>
      <c r="E248" s="54">
        <f t="shared" si="23"/>
        <v>-5845.9004150797909</v>
      </c>
      <c r="F248" s="54"/>
      <c r="G248" s="54">
        <f t="shared" si="24"/>
        <v>4261.9715591643471</v>
      </c>
      <c r="H248" s="54"/>
      <c r="I248" s="54">
        <f t="shared" si="25"/>
        <v>1583.9288559154438</v>
      </c>
      <c r="J248" s="56">
        <f t="shared" si="21"/>
        <v>0.27094694460234398</v>
      </c>
      <c r="K248" s="54">
        <f t="shared" si="26"/>
        <v>375880.95386054728</v>
      </c>
    </row>
    <row r="249" spans="2:11" x14ac:dyDescent="0.3">
      <c r="B249" s="41">
        <f t="shared" si="27"/>
        <v>238</v>
      </c>
      <c r="C249" s="52">
        <f t="shared" si="22"/>
        <v>375880.95386054728</v>
      </c>
      <c r="E249" s="54">
        <f t="shared" si="23"/>
        <v>-5845.9004150797909</v>
      </c>
      <c r="F249" s="54"/>
      <c r="G249" s="54">
        <f t="shared" si="24"/>
        <v>4279.729773994186</v>
      </c>
      <c r="H249" s="54"/>
      <c r="I249" s="54">
        <f t="shared" si="25"/>
        <v>1566.170641085605</v>
      </c>
      <c r="J249" s="56">
        <f t="shared" si="21"/>
        <v>0.26790922353818925</v>
      </c>
      <c r="K249" s="54">
        <f t="shared" si="26"/>
        <v>371601.22408655309</v>
      </c>
    </row>
    <row r="250" spans="2:11" x14ac:dyDescent="0.3">
      <c r="B250" s="41">
        <f t="shared" si="27"/>
        <v>239</v>
      </c>
      <c r="C250" s="52">
        <f t="shared" si="22"/>
        <v>371601.22408655309</v>
      </c>
      <c r="E250" s="54">
        <f t="shared" si="23"/>
        <v>-5845.9004150797909</v>
      </c>
      <c r="F250" s="54"/>
      <c r="G250" s="54">
        <f t="shared" si="24"/>
        <v>4297.5619813858066</v>
      </c>
      <c r="H250" s="54"/>
      <c r="I250" s="54">
        <f t="shared" si="25"/>
        <v>1548.3384336939844</v>
      </c>
      <c r="J250" s="56">
        <f t="shared" si="21"/>
        <v>0.26485884530293541</v>
      </c>
      <c r="K250" s="54">
        <f t="shared" si="26"/>
        <v>367303.66210516728</v>
      </c>
    </row>
    <row r="251" spans="2:11" x14ac:dyDescent="0.3">
      <c r="B251" s="41">
        <f t="shared" si="27"/>
        <v>240</v>
      </c>
      <c r="C251" s="52">
        <f t="shared" si="22"/>
        <v>367303.66210516728</v>
      </c>
      <c r="E251" s="54">
        <f t="shared" si="23"/>
        <v>-5845.9004150797909</v>
      </c>
      <c r="F251" s="54"/>
      <c r="G251" s="54">
        <f t="shared" si="24"/>
        <v>4315.4684896416147</v>
      </c>
      <c r="H251" s="54"/>
      <c r="I251" s="54">
        <f t="shared" si="25"/>
        <v>1530.4319254381762</v>
      </c>
      <c r="J251" s="56">
        <f t="shared" si="21"/>
        <v>0.26179575715835851</v>
      </c>
      <c r="K251" s="54">
        <f t="shared" si="26"/>
        <v>362988.19361552567</v>
      </c>
    </row>
    <row r="252" spans="2:11" x14ac:dyDescent="0.3">
      <c r="B252" s="41">
        <f t="shared" si="27"/>
        <v>241</v>
      </c>
      <c r="C252" s="52">
        <f t="shared" si="22"/>
        <v>362988.19361552567</v>
      </c>
      <c r="E252" s="54">
        <f t="shared" si="23"/>
        <v>-5845.9004150797909</v>
      </c>
      <c r="F252" s="54"/>
      <c r="G252" s="54">
        <f t="shared" si="24"/>
        <v>4333.4496083484264</v>
      </c>
      <c r="H252" s="54"/>
      <c r="I252" s="54">
        <f t="shared" si="25"/>
        <v>1512.4508067313645</v>
      </c>
      <c r="J252" s="56">
        <f t="shared" si="21"/>
        <v>0.25871990614652318</v>
      </c>
      <c r="K252" s="54">
        <f t="shared" si="26"/>
        <v>358654.74400717724</v>
      </c>
    </row>
    <row r="253" spans="2:11" x14ac:dyDescent="0.3">
      <c r="B253" s="41">
        <f t="shared" si="27"/>
        <v>242</v>
      </c>
      <c r="C253" s="52">
        <f t="shared" si="22"/>
        <v>358654.74400717724</v>
      </c>
      <c r="E253" s="54">
        <f t="shared" si="23"/>
        <v>-5845.9004150797909</v>
      </c>
      <c r="F253" s="54"/>
      <c r="G253" s="54">
        <f t="shared" si="24"/>
        <v>4351.5056483832304</v>
      </c>
      <c r="H253" s="54"/>
      <c r="I253" s="54">
        <f t="shared" si="25"/>
        <v>1494.3947666965605</v>
      </c>
      <c r="J253" s="56">
        <f t="shared" si="21"/>
        <v>0.25563123908879715</v>
      </c>
      <c r="K253" s="54">
        <f t="shared" si="26"/>
        <v>354303.23835879401</v>
      </c>
    </row>
    <row r="254" spans="2:11" x14ac:dyDescent="0.3">
      <c r="B254" s="41">
        <f t="shared" si="27"/>
        <v>243</v>
      </c>
      <c r="C254" s="52">
        <f t="shared" si="22"/>
        <v>354303.23835879401</v>
      </c>
      <c r="E254" s="54">
        <f t="shared" si="23"/>
        <v>-5845.9004150797909</v>
      </c>
      <c r="F254" s="54"/>
      <c r="G254" s="54">
        <f t="shared" si="24"/>
        <v>4369.6369219181361</v>
      </c>
      <c r="H254" s="54"/>
      <c r="I254" s="54">
        <f t="shared" si="25"/>
        <v>1476.2634931616549</v>
      </c>
      <c r="J254" s="56">
        <f t="shared" si="21"/>
        <v>0.25252970258500468</v>
      </c>
      <c r="K254" s="54">
        <f t="shared" si="26"/>
        <v>349933.60143687588</v>
      </c>
    </row>
    <row r="255" spans="2:11" x14ac:dyDescent="0.3">
      <c r="B255" s="41">
        <f t="shared" si="27"/>
        <v>244</v>
      </c>
      <c r="C255" s="52">
        <f t="shared" si="22"/>
        <v>349933.60143687588</v>
      </c>
      <c r="E255" s="54">
        <f t="shared" si="23"/>
        <v>-5845.9004150797909</v>
      </c>
      <c r="F255" s="54"/>
      <c r="G255" s="54">
        <f t="shared" si="24"/>
        <v>4387.8437424261356</v>
      </c>
      <c r="H255" s="54"/>
      <c r="I255" s="54">
        <f t="shared" si="25"/>
        <v>1458.0566726536554</v>
      </c>
      <c r="J255" s="56">
        <f t="shared" si="21"/>
        <v>0.24941524301244092</v>
      </c>
      <c r="K255" s="54">
        <f t="shared" si="26"/>
        <v>345545.75769444974</v>
      </c>
    </row>
    <row r="256" spans="2:11" x14ac:dyDescent="0.3">
      <c r="B256" s="41">
        <f t="shared" si="27"/>
        <v>245</v>
      </c>
      <c r="C256" s="52">
        <f t="shared" si="22"/>
        <v>345545.75769444974</v>
      </c>
      <c r="E256" s="54">
        <f t="shared" si="23"/>
        <v>-5845.9004150797909</v>
      </c>
      <c r="F256" s="54"/>
      <c r="G256" s="54">
        <f t="shared" si="24"/>
        <v>4406.1264246862265</v>
      </c>
      <c r="H256" s="54"/>
      <c r="I256" s="54">
        <f t="shared" si="25"/>
        <v>1439.7739903935644</v>
      </c>
      <c r="J256" s="56">
        <f t="shared" si="21"/>
        <v>0.24628780652499585</v>
      </c>
      <c r="K256" s="54">
        <f t="shared" si="26"/>
        <v>341139.63126976351</v>
      </c>
    </row>
    <row r="257" spans="2:11" x14ac:dyDescent="0.3">
      <c r="B257" s="41">
        <f t="shared" si="27"/>
        <v>246</v>
      </c>
      <c r="C257" s="52">
        <f t="shared" si="22"/>
        <v>341139.63126976351</v>
      </c>
      <c r="E257" s="54">
        <f t="shared" si="23"/>
        <v>-5845.9004150797909</v>
      </c>
      <c r="F257" s="54"/>
      <c r="G257" s="54">
        <f t="shared" si="24"/>
        <v>4424.4852847891161</v>
      </c>
      <c r="H257" s="54"/>
      <c r="I257" s="54">
        <f t="shared" si="25"/>
        <v>1421.4151302906748</v>
      </c>
      <c r="J257" s="56">
        <f t="shared" si="21"/>
        <v>0.24314733905217814</v>
      </c>
      <c r="K257" s="54">
        <f t="shared" si="26"/>
        <v>336715.1459849744</v>
      </c>
    </row>
    <row r="258" spans="2:11" x14ac:dyDescent="0.3">
      <c r="B258" s="41">
        <f t="shared" si="27"/>
        <v>247</v>
      </c>
      <c r="C258" s="52">
        <f t="shared" si="22"/>
        <v>336715.1459849744</v>
      </c>
      <c r="E258" s="54">
        <f t="shared" si="23"/>
        <v>-5845.9004150797909</v>
      </c>
      <c r="F258" s="54"/>
      <c r="G258" s="54">
        <f t="shared" si="24"/>
        <v>4442.9206401424017</v>
      </c>
      <c r="H258" s="54"/>
      <c r="I258" s="54">
        <f t="shared" si="25"/>
        <v>1402.9797749373893</v>
      </c>
      <c r="J258" s="56">
        <f t="shared" si="21"/>
        <v>0.23999378629822929</v>
      </c>
      <c r="K258" s="54">
        <f t="shared" si="26"/>
        <v>332272.225344832</v>
      </c>
    </row>
    <row r="259" spans="2:11" x14ac:dyDescent="0.3">
      <c r="B259" s="41">
        <f t="shared" si="27"/>
        <v>248</v>
      </c>
      <c r="C259" s="52">
        <f t="shared" si="22"/>
        <v>332272.225344832</v>
      </c>
      <c r="E259" s="54">
        <f t="shared" si="23"/>
        <v>-5845.9004150797909</v>
      </c>
      <c r="F259" s="54"/>
      <c r="G259" s="54">
        <f t="shared" si="24"/>
        <v>4461.4328094763332</v>
      </c>
      <c r="H259" s="54"/>
      <c r="I259" s="54">
        <f t="shared" si="25"/>
        <v>1384.4676056034577</v>
      </c>
      <c r="J259" s="56">
        <f t="shared" si="21"/>
        <v>0.23682709374113775</v>
      </c>
      <c r="K259" s="54">
        <f t="shared" si="26"/>
        <v>327810.79253535566</v>
      </c>
    </row>
    <row r="260" spans="2:11" x14ac:dyDescent="0.3">
      <c r="B260" s="41">
        <f t="shared" si="27"/>
        <v>249</v>
      </c>
      <c r="C260" s="52">
        <f t="shared" si="22"/>
        <v>327810.79253535566</v>
      </c>
      <c r="E260" s="54">
        <f t="shared" si="23"/>
        <v>-5845.9004150797909</v>
      </c>
      <c r="F260" s="54"/>
      <c r="G260" s="54">
        <f t="shared" si="24"/>
        <v>4480.0221128491685</v>
      </c>
      <c r="H260" s="54"/>
      <c r="I260" s="54">
        <f t="shared" si="25"/>
        <v>1365.8783022306225</v>
      </c>
      <c r="J260" s="56">
        <f t="shared" si="21"/>
        <v>0.23364720663172289</v>
      </c>
      <c r="K260" s="54">
        <f t="shared" si="26"/>
        <v>323330.7704225065</v>
      </c>
    </row>
    <row r="261" spans="2:11" x14ac:dyDescent="0.3">
      <c r="B261" s="41">
        <f t="shared" si="27"/>
        <v>250</v>
      </c>
      <c r="C261" s="52">
        <f t="shared" si="22"/>
        <v>323330.7704225065</v>
      </c>
      <c r="E261" s="54">
        <f t="shared" si="23"/>
        <v>-5845.9004150797909</v>
      </c>
      <c r="F261" s="54"/>
      <c r="G261" s="54">
        <f t="shared" si="24"/>
        <v>4498.6888716527028</v>
      </c>
      <c r="H261" s="54"/>
      <c r="I261" s="54">
        <f t="shared" si="25"/>
        <v>1347.2115434270881</v>
      </c>
      <c r="J261" s="56">
        <f t="shared" si="21"/>
        <v>0.23045406999268905</v>
      </c>
      <c r="K261" s="54">
        <f t="shared" si="26"/>
        <v>318832.08155085379</v>
      </c>
    </row>
    <row r="262" spans="2:11" x14ac:dyDescent="0.3">
      <c r="B262" s="41">
        <f t="shared" si="27"/>
        <v>251</v>
      </c>
      <c r="C262" s="52">
        <f t="shared" si="22"/>
        <v>318832.08155085379</v>
      </c>
      <c r="E262" s="54">
        <f t="shared" si="23"/>
        <v>-5845.9004150797909</v>
      </c>
      <c r="F262" s="54"/>
      <c r="G262" s="54">
        <f t="shared" si="24"/>
        <v>4517.4334086179151</v>
      </c>
      <c r="H262" s="54"/>
      <c r="I262" s="54">
        <f t="shared" si="25"/>
        <v>1328.4670064618758</v>
      </c>
      <c r="J262" s="56">
        <f t="shared" si="21"/>
        <v>0.22724762861765985</v>
      </c>
      <c r="K262" s="54">
        <f t="shared" si="26"/>
        <v>314314.64814223588</v>
      </c>
    </row>
    <row r="263" spans="2:11" x14ac:dyDescent="0.3">
      <c r="B263" s="41">
        <f t="shared" si="27"/>
        <v>252</v>
      </c>
      <c r="C263" s="52">
        <f t="shared" si="22"/>
        <v>314314.64814223588</v>
      </c>
      <c r="E263" s="54">
        <f t="shared" si="23"/>
        <v>-5845.9004150797909</v>
      </c>
      <c r="F263" s="54"/>
      <c r="G263" s="54">
        <f t="shared" si="24"/>
        <v>4536.2560478204978</v>
      </c>
      <c r="H263" s="54"/>
      <c r="I263" s="54">
        <f t="shared" si="25"/>
        <v>1309.6443672592932</v>
      </c>
      <c r="J263" s="56">
        <f t="shared" si="21"/>
        <v>0.22402782707023206</v>
      </c>
      <c r="K263" s="54">
        <f t="shared" si="26"/>
        <v>309778.39209441538</v>
      </c>
    </row>
    <row r="264" spans="2:11" x14ac:dyDescent="0.3">
      <c r="B264" s="41">
        <f t="shared" si="27"/>
        <v>253</v>
      </c>
      <c r="C264" s="52">
        <f t="shared" si="22"/>
        <v>309778.39209441538</v>
      </c>
      <c r="E264" s="54">
        <f t="shared" si="23"/>
        <v>-5845.9004150797909</v>
      </c>
      <c r="F264" s="54"/>
      <c r="G264" s="54">
        <f t="shared" si="24"/>
        <v>4555.1571146863862</v>
      </c>
      <c r="H264" s="54"/>
      <c r="I264" s="54">
        <f t="shared" si="25"/>
        <v>1290.7433003934048</v>
      </c>
      <c r="J264" s="56">
        <f t="shared" si="21"/>
        <v>0.22079460968302986</v>
      </c>
      <c r="K264" s="54">
        <f t="shared" si="26"/>
        <v>305223.23497972899</v>
      </c>
    </row>
    <row r="265" spans="2:11" x14ac:dyDescent="0.3">
      <c r="B265" s="41">
        <f t="shared" si="27"/>
        <v>254</v>
      </c>
      <c r="C265" s="52">
        <f t="shared" si="22"/>
        <v>305223.23497972899</v>
      </c>
      <c r="E265" s="54">
        <f t="shared" si="23"/>
        <v>-5845.9004150797909</v>
      </c>
      <c r="F265" s="54"/>
      <c r="G265" s="54">
        <f t="shared" si="24"/>
        <v>4574.1369359975797</v>
      </c>
      <c r="H265" s="54"/>
      <c r="I265" s="54">
        <f t="shared" si="25"/>
        <v>1271.7634790822112</v>
      </c>
      <c r="J265" s="56">
        <f t="shared" si="21"/>
        <v>0.21754792055670913</v>
      </c>
      <c r="K265" s="54">
        <f t="shared" si="26"/>
        <v>300649.09804373141</v>
      </c>
    </row>
    <row r="266" spans="2:11" x14ac:dyDescent="0.3">
      <c r="B266" s="41">
        <f t="shared" si="27"/>
        <v>255</v>
      </c>
      <c r="C266" s="52">
        <f t="shared" si="22"/>
        <v>300649.09804373141</v>
      </c>
      <c r="E266" s="54">
        <f t="shared" si="23"/>
        <v>-5845.9004150797909</v>
      </c>
      <c r="F266" s="54"/>
      <c r="G266" s="54">
        <f t="shared" si="24"/>
        <v>4593.1958398975548</v>
      </c>
      <c r="H266" s="54"/>
      <c r="I266" s="54">
        <f t="shared" si="25"/>
        <v>1252.7045751822361</v>
      </c>
      <c r="J266" s="56">
        <f t="shared" si="21"/>
        <v>0.21428770355903126</v>
      </c>
      <c r="K266" s="54">
        <f t="shared" si="26"/>
        <v>296055.90220383386</v>
      </c>
    </row>
    <row r="267" spans="2:11" x14ac:dyDescent="0.3">
      <c r="B267" s="41">
        <f t="shared" si="27"/>
        <v>256</v>
      </c>
      <c r="C267" s="52">
        <f t="shared" si="22"/>
        <v>296055.90220383386</v>
      </c>
      <c r="E267" s="54">
        <f t="shared" si="23"/>
        <v>-5845.9004150797909</v>
      </c>
      <c r="F267" s="54"/>
      <c r="G267" s="54">
        <f t="shared" si="24"/>
        <v>4612.3341558971442</v>
      </c>
      <c r="H267" s="54"/>
      <c r="I267" s="54">
        <f t="shared" si="25"/>
        <v>1233.5662591826467</v>
      </c>
      <c r="J267" s="56">
        <f t="shared" si="21"/>
        <v>0.21101390232385778</v>
      </c>
      <c r="K267" s="54">
        <f t="shared" si="26"/>
        <v>291443.56804793671</v>
      </c>
    </row>
    <row r="268" spans="2:11" x14ac:dyDescent="0.3">
      <c r="B268" s="41">
        <f t="shared" si="27"/>
        <v>257</v>
      </c>
      <c r="C268" s="52">
        <f t="shared" si="22"/>
        <v>291443.56804793671</v>
      </c>
      <c r="E268" s="54">
        <f t="shared" si="23"/>
        <v>-5845.9004150797909</v>
      </c>
      <c r="F268" s="54"/>
      <c r="G268" s="54">
        <f t="shared" si="24"/>
        <v>4631.5522148800665</v>
      </c>
      <c r="H268" s="54"/>
      <c r="I268" s="54">
        <f t="shared" si="25"/>
        <v>1214.3482001997245</v>
      </c>
      <c r="J268" s="56">
        <f t="shared" ref="J268:J331" si="28">IFERROR(-I268/E268,"NA")</f>
        <v>0.20772646025020422</v>
      </c>
      <c r="K268" s="54">
        <f t="shared" si="26"/>
        <v>286812.01583305665</v>
      </c>
    </row>
    <row r="269" spans="2:11" x14ac:dyDescent="0.3">
      <c r="B269" s="41">
        <f t="shared" si="27"/>
        <v>258</v>
      </c>
      <c r="C269" s="52">
        <f t="shared" ref="C269:C332" si="29">IF(B269&gt;$G$5+$O$5,0,K268)</f>
        <v>286812.01583305665</v>
      </c>
      <c r="E269" s="54">
        <f t="shared" ref="E269:E332" si="30">IF(B269&gt;$G$5+$O$5,0,1)*IF(AND($O$4&gt;0,B269&lt;=$O$5),-$E$7*$E$4,PMT($E$7,$G$5,$E$4))</f>
        <v>-5845.9004150797909</v>
      </c>
      <c r="F269" s="54"/>
      <c r="G269" s="54">
        <f t="shared" ref="G269:G332" si="31">IF(AND($O$4&gt;0,B269&lt;=$O$5),0,C269-K269)</f>
        <v>4650.8503491087467</v>
      </c>
      <c r="H269" s="54"/>
      <c r="I269" s="54">
        <f t="shared" ref="I269:I332" si="32">-(E269+G269)</f>
        <v>1195.0500659710442</v>
      </c>
      <c r="J269" s="56">
        <f t="shared" si="28"/>
        <v>0.20442532050124446</v>
      </c>
      <c r="K269" s="54">
        <f t="shared" ref="K269:K332" si="33">-FV($E$7,1,E269,C269)</f>
        <v>282161.1654839479</v>
      </c>
    </row>
    <row r="270" spans="2:11" x14ac:dyDescent="0.3">
      <c r="B270" s="41">
        <f t="shared" ref="B270:B333" si="34">B269+1</f>
        <v>259</v>
      </c>
      <c r="C270" s="52">
        <f t="shared" si="29"/>
        <v>282161.1654839479</v>
      </c>
      <c r="E270" s="54">
        <f t="shared" si="30"/>
        <v>-5845.9004150797909</v>
      </c>
      <c r="F270" s="54"/>
      <c r="G270" s="54">
        <f t="shared" si="31"/>
        <v>4670.2288922300213</v>
      </c>
      <c r="H270" s="54"/>
      <c r="I270" s="54">
        <f t="shared" si="32"/>
        <v>1175.6715228497696</v>
      </c>
      <c r="J270" s="56">
        <f t="shared" si="28"/>
        <v>0.20111042600333501</v>
      </c>
      <c r="K270" s="54">
        <f t="shared" si="33"/>
        <v>277490.93659171788</v>
      </c>
    </row>
    <row r="271" spans="2:11" x14ac:dyDescent="0.3">
      <c r="B271" s="41">
        <f t="shared" si="34"/>
        <v>260</v>
      </c>
      <c r="C271" s="52">
        <f t="shared" si="29"/>
        <v>277490.93659171788</v>
      </c>
      <c r="E271" s="54">
        <f t="shared" si="30"/>
        <v>-5845.9004150797909</v>
      </c>
      <c r="F271" s="54"/>
      <c r="G271" s="54">
        <f t="shared" si="31"/>
        <v>4689.6881792809581</v>
      </c>
      <c r="H271" s="54"/>
      <c r="I271" s="54">
        <f t="shared" si="32"/>
        <v>1156.2122357988328</v>
      </c>
      <c r="J271" s="56">
        <f t="shared" si="28"/>
        <v>0.19778171944501927</v>
      </c>
      <c r="K271" s="54">
        <f t="shared" si="33"/>
        <v>272801.24841243692</v>
      </c>
    </row>
    <row r="272" spans="2:11" x14ac:dyDescent="0.3">
      <c r="B272" s="41">
        <f t="shared" si="34"/>
        <v>261</v>
      </c>
      <c r="C272" s="52">
        <f t="shared" si="29"/>
        <v>272801.24841243692</v>
      </c>
      <c r="E272" s="54">
        <f t="shared" si="30"/>
        <v>-5845.9004150797909</v>
      </c>
      <c r="F272" s="54"/>
      <c r="G272" s="54">
        <f t="shared" si="31"/>
        <v>4709.2285466946196</v>
      </c>
      <c r="H272" s="54"/>
      <c r="I272" s="54">
        <f t="shared" si="32"/>
        <v>1136.6718683851714</v>
      </c>
      <c r="J272" s="56">
        <f t="shared" si="28"/>
        <v>0.19443914327604175</v>
      </c>
      <c r="K272" s="54">
        <f t="shared" si="33"/>
        <v>268092.0198657423</v>
      </c>
    </row>
    <row r="273" spans="2:11" x14ac:dyDescent="0.3">
      <c r="B273" s="41">
        <f t="shared" si="34"/>
        <v>262</v>
      </c>
      <c r="C273" s="52">
        <f t="shared" si="29"/>
        <v>268092.0198657423</v>
      </c>
      <c r="E273" s="54">
        <f t="shared" si="30"/>
        <v>-5845.9004150797909</v>
      </c>
      <c r="F273" s="54"/>
      <c r="G273" s="54">
        <f t="shared" si="31"/>
        <v>4728.8503323058831</v>
      </c>
      <c r="H273" s="54"/>
      <c r="I273" s="54">
        <f t="shared" si="32"/>
        <v>1117.0500827739079</v>
      </c>
      <c r="J273" s="56">
        <f t="shared" si="28"/>
        <v>0.19108263970635245</v>
      </c>
      <c r="K273" s="54">
        <f t="shared" si="33"/>
        <v>263363.16953343642</v>
      </c>
    </row>
    <row r="274" spans="2:11" x14ac:dyDescent="0.3">
      <c r="B274" s="41">
        <f t="shared" si="34"/>
        <v>263</v>
      </c>
      <c r="C274" s="52">
        <f t="shared" si="29"/>
        <v>263363.16953343642</v>
      </c>
      <c r="E274" s="54">
        <f t="shared" si="30"/>
        <v>-5845.9004150797909</v>
      </c>
      <c r="F274" s="54"/>
      <c r="G274" s="54">
        <f t="shared" si="31"/>
        <v>4748.5538753571454</v>
      </c>
      <c r="H274" s="54"/>
      <c r="I274" s="54">
        <f t="shared" si="32"/>
        <v>1097.3465397226455</v>
      </c>
      <c r="J274" s="56">
        <f t="shared" si="28"/>
        <v>0.18771215070513098</v>
      </c>
      <c r="K274" s="54">
        <f t="shared" si="33"/>
        <v>258614.61565807927</v>
      </c>
    </row>
    <row r="275" spans="2:11" x14ac:dyDescent="0.3">
      <c r="B275" s="41">
        <f t="shared" si="34"/>
        <v>264</v>
      </c>
      <c r="C275" s="52">
        <f t="shared" si="29"/>
        <v>258614.61565807927</v>
      </c>
      <c r="E275" s="54">
        <f t="shared" si="30"/>
        <v>-5845.9004150797909</v>
      </c>
      <c r="F275" s="54"/>
      <c r="G275" s="54">
        <f t="shared" si="31"/>
        <v>4768.3395165044349</v>
      </c>
      <c r="H275" s="54"/>
      <c r="I275" s="54">
        <f t="shared" si="32"/>
        <v>1077.5608985753561</v>
      </c>
      <c r="J275" s="56">
        <f t="shared" si="28"/>
        <v>0.18432761799974118</v>
      </c>
      <c r="K275" s="54">
        <f t="shared" si="33"/>
        <v>253846.27614157484</v>
      </c>
    </row>
    <row r="276" spans="2:11" x14ac:dyDescent="0.3">
      <c r="B276" s="41">
        <f t="shared" si="34"/>
        <v>265</v>
      </c>
      <c r="C276" s="52">
        <f t="shared" si="29"/>
        <v>253846.27614157484</v>
      </c>
      <c r="E276" s="54">
        <f t="shared" si="30"/>
        <v>-5845.9004150797909</v>
      </c>
      <c r="F276" s="54"/>
      <c r="G276" s="54">
        <f t="shared" si="31"/>
        <v>4788.2075978232315</v>
      </c>
      <c r="H276" s="54"/>
      <c r="I276" s="54">
        <f t="shared" si="32"/>
        <v>1057.6928172565595</v>
      </c>
      <c r="J276" s="56">
        <f t="shared" si="28"/>
        <v>0.18092898307473529</v>
      </c>
      <c r="K276" s="54">
        <f t="shared" si="33"/>
        <v>249058.06854375161</v>
      </c>
    </row>
    <row r="277" spans="2:11" x14ac:dyDescent="0.3">
      <c r="B277" s="41">
        <f t="shared" si="34"/>
        <v>266</v>
      </c>
      <c r="C277" s="52">
        <f t="shared" si="29"/>
        <v>249058.06854375161</v>
      </c>
      <c r="E277" s="54">
        <f t="shared" si="30"/>
        <v>-5845.9004150797909</v>
      </c>
      <c r="F277" s="54"/>
      <c r="G277" s="54">
        <f t="shared" si="31"/>
        <v>4808.1584628141136</v>
      </c>
      <c r="H277" s="54"/>
      <c r="I277" s="54">
        <f t="shared" si="32"/>
        <v>1037.7419522656774</v>
      </c>
      <c r="J277" s="56">
        <f t="shared" si="28"/>
        <v>0.17751618717088824</v>
      </c>
      <c r="K277" s="54">
        <f t="shared" si="33"/>
        <v>244249.91008093749</v>
      </c>
    </row>
    <row r="278" spans="2:11" x14ac:dyDescent="0.3">
      <c r="B278" s="41">
        <f t="shared" si="34"/>
        <v>267</v>
      </c>
      <c r="C278" s="52">
        <f t="shared" si="29"/>
        <v>244249.91008093749</v>
      </c>
      <c r="E278" s="54">
        <f t="shared" si="30"/>
        <v>-5845.9004150797909</v>
      </c>
      <c r="F278" s="54"/>
      <c r="G278" s="54">
        <f t="shared" si="31"/>
        <v>4828.1924564092187</v>
      </c>
      <c r="H278" s="54"/>
      <c r="I278" s="54">
        <f t="shared" si="32"/>
        <v>1017.7079586705722</v>
      </c>
      <c r="J278" s="56">
        <f t="shared" si="28"/>
        <v>0.17408917128409235</v>
      </c>
      <c r="K278" s="54">
        <f t="shared" si="33"/>
        <v>239421.71762452828</v>
      </c>
    </row>
    <row r="279" spans="2:11" x14ac:dyDescent="0.3">
      <c r="B279" s="41">
        <f t="shared" si="34"/>
        <v>268</v>
      </c>
      <c r="C279" s="52">
        <f t="shared" si="29"/>
        <v>239421.71762452828</v>
      </c>
      <c r="E279" s="54">
        <f t="shared" si="30"/>
        <v>-5845.9004150797909</v>
      </c>
      <c r="F279" s="54"/>
      <c r="G279" s="54">
        <f t="shared" si="31"/>
        <v>4848.3099249775987</v>
      </c>
      <c r="H279" s="54"/>
      <c r="I279" s="54">
        <f t="shared" si="32"/>
        <v>997.59049010219223</v>
      </c>
      <c r="J279" s="56">
        <f t="shared" si="28"/>
        <v>0.17064787616444133</v>
      </c>
      <c r="K279" s="54">
        <f t="shared" si="33"/>
        <v>234573.40769955068</v>
      </c>
    </row>
    <row r="280" spans="2:11" x14ac:dyDescent="0.3">
      <c r="B280" s="41">
        <f t="shared" si="34"/>
        <v>269</v>
      </c>
      <c r="C280" s="52">
        <f t="shared" si="29"/>
        <v>234573.40769955068</v>
      </c>
      <c r="E280" s="54">
        <f t="shared" si="30"/>
        <v>-5845.9004150797909</v>
      </c>
      <c r="F280" s="54"/>
      <c r="G280" s="54">
        <f t="shared" si="31"/>
        <v>4868.5112163316226</v>
      </c>
      <c r="H280" s="54"/>
      <c r="I280" s="54">
        <f t="shared" si="32"/>
        <v>977.38919874816838</v>
      </c>
      <c r="J280" s="56">
        <f t="shared" si="28"/>
        <v>0.16719224231513494</v>
      </c>
      <c r="K280" s="54">
        <f t="shared" si="33"/>
        <v>229704.89648321905</v>
      </c>
    </row>
    <row r="281" spans="2:11" x14ac:dyDescent="0.3">
      <c r="B281" s="41">
        <f t="shared" si="34"/>
        <v>270</v>
      </c>
      <c r="C281" s="52">
        <f t="shared" si="29"/>
        <v>229704.89648321905</v>
      </c>
      <c r="E281" s="54">
        <f t="shared" si="30"/>
        <v>-5845.9004150797909</v>
      </c>
      <c r="F281" s="54"/>
      <c r="G281" s="54">
        <f t="shared" si="31"/>
        <v>4888.79667973303</v>
      </c>
      <c r="H281" s="54"/>
      <c r="I281" s="54">
        <f t="shared" si="32"/>
        <v>957.10373534676091</v>
      </c>
      <c r="J281" s="56">
        <f t="shared" si="28"/>
        <v>0.1637222099914436</v>
      </c>
      <c r="K281" s="54">
        <f t="shared" si="33"/>
        <v>224816.09980348602</v>
      </c>
    </row>
    <row r="282" spans="2:11" x14ac:dyDescent="0.3">
      <c r="B282" s="41">
        <f t="shared" si="34"/>
        <v>271</v>
      </c>
      <c r="C282" s="52">
        <f t="shared" si="29"/>
        <v>224816.09980348602</v>
      </c>
      <c r="E282" s="54">
        <f t="shared" si="30"/>
        <v>-5845.9004150797909</v>
      </c>
      <c r="F282" s="54"/>
      <c r="G282" s="54">
        <f t="shared" si="31"/>
        <v>4909.1666658985778</v>
      </c>
      <c r="H282" s="54"/>
      <c r="I282" s="54">
        <f t="shared" si="32"/>
        <v>936.73374918121317</v>
      </c>
      <c r="J282" s="56">
        <f t="shared" si="28"/>
        <v>0.16023771919974242</v>
      </c>
      <c r="K282" s="54">
        <f t="shared" si="33"/>
        <v>219906.93313758745</v>
      </c>
    </row>
    <row r="283" spans="2:11" x14ac:dyDescent="0.3">
      <c r="B283" s="41">
        <f t="shared" si="34"/>
        <v>272</v>
      </c>
      <c r="C283" s="52">
        <f t="shared" si="29"/>
        <v>219906.93313758745</v>
      </c>
      <c r="E283" s="54">
        <f t="shared" si="30"/>
        <v>-5845.9004150797909</v>
      </c>
      <c r="F283" s="54"/>
      <c r="G283" s="54">
        <f t="shared" si="31"/>
        <v>4929.6215270065004</v>
      </c>
      <c r="H283" s="54"/>
      <c r="I283" s="54">
        <f t="shared" si="32"/>
        <v>916.27888807329055</v>
      </c>
      <c r="J283" s="56">
        <f t="shared" si="28"/>
        <v>0.15673870969640596</v>
      </c>
      <c r="K283" s="54">
        <f t="shared" si="33"/>
        <v>214977.31161058095</v>
      </c>
    </row>
    <row r="284" spans="2:11" x14ac:dyDescent="0.3">
      <c r="B284" s="41">
        <f t="shared" si="34"/>
        <v>273</v>
      </c>
      <c r="C284" s="52">
        <f t="shared" si="29"/>
        <v>214977.31161058095</v>
      </c>
      <c r="E284" s="54">
        <f t="shared" si="30"/>
        <v>-5845.9004150797909</v>
      </c>
      <c r="F284" s="54"/>
      <c r="G284" s="54">
        <f t="shared" si="31"/>
        <v>4950.1616167023312</v>
      </c>
      <c r="H284" s="54"/>
      <c r="I284" s="54">
        <f t="shared" si="32"/>
        <v>895.73879837745972</v>
      </c>
      <c r="J284" s="56">
        <f t="shared" si="28"/>
        <v>0.15322512098681274</v>
      </c>
      <c r="K284" s="54">
        <f t="shared" si="33"/>
        <v>210027.14999387861</v>
      </c>
    </row>
    <row r="285" spans="2:11" x14ac:dyDescent="0.3">
      <c r="B285" s="41">
        <f t="shared" si="34"/>
        <v>274</v>
      </c>
      <c r="C285" s="52">
        <f t="shared" si="29"/>
        <v>210027.14999387861</v>
      </c>
      <c r="E285" s="54">
        <f t="shared" si="30"/>
        <v>-5845.9004150797909</v>
      </c>
      <c r="F285" s="54"/>
      <c r="G285" s="54">
        <f t="shared" si="31"/>
        <v>4970.7872901053051</v>
      </c>
      <c r="H285" s="54"/>
      <c r="I285" s="54">
        <f t="shared" si="32"/>
        <v>875.1131249744858</v>
      </c>
      <c r="J285" s="56">
        <f t="shared" si="28"/>
        <v>0.14969689232424965</v>
      </c>
      <c r="K285" s="54">
        <f t="shared" si="33"/>
        <v>205056.36270377331</v>
      </c>
    </row>
    <row r="286" spans="2:11" x14ac:dyDescent="0.3">
      <c r="B286" s="41">
        <f t="shared" si="34"/>
        <v>275</v>
      </c>
      <c r="C286" s="52">
        <f t="shared" si="29"/>
        <v>205056.36270377331</v>
      </c>
      <c r="E286" s="54">
        <f t="shared" si="30"/>
        <v>-5845.9004150797909</v>
      </c>
      <c r="F286" s="54"/>
      <c r="G286" s="54">
        <f t="shared" si="31"/>
        <v>4991.4989038140629</v>
      </c>
      <c r="H286" s="54"/>
      <c r="I286" s="54">
        <f t="shared" si="32"/>
        <v>854.401511265728</v>
      </c>
      <c r="J286" s="56">
        <f t="shared" si="28"/>
        <v>0.14615396270893646</v>
      </c>
      <c r="K286" s="54">
        <f t="shared" si="33"/>
        <v>200064.86379995925</v>
      </c>
    </row>
    <row r="287" spans="2:11" x14ac:dyDescent="0.3">
      <c r="B287" s="41">
        <f t="shared" si="34"/>
        <v>276</v>
      </c>
      <c r="C287" s="52">
        <f t="shared" si="29"/>
        <v>200064.86379995925</v>
      </c>
      <c r="E287" s="54">
        <f t="shared" si="30"/>
        <v>-5845.9004150797909</v>
      </c>
      <c r="F287" s="54"/>
      <c r="G287" s="54">
        <f t="shared" si="31"/>
        <v>5012.296815913287</v>
      </c>
      <c r="H287" s="54"/>
      <c r="I287" s="54">
        <f t="shared" si="32"/>
        <v>833.60359916650395</v>
      </c>
      <c r="J287" s="56">
        <f t="shared" si="28"/>
        <v>0.14259627088689059</v>
      </c>
      <c r="K287" s="54">
        <f t="shared" si="33"/>
        <v>195052.56698404596</v>
      </c>
    </row>
    <row r="288" spans="2:11" x14ac:dyDescent="0.3">
      <c r="B288" s="41">
        <f t="shared" si="34"/>
        <v>277</v>
      </c>
      <c r="C288" s="52">
        <f t="shared" si="29"/>
        <v>195052.56698404596</v>
      </c>
      <c r="E288" s="54">
        <f t="shared" si="30"/>
        <v>-5845.9004150797909</v>
      </c>
      <c r="F288" s="54"/>
      <c r="G288" s="54">
        <f t="shared" si="31"/>
        <v>5033.1813859795802</v>
      </c>
      <c r="H288" s="54"/>
      <c r="I288" s="54">
        <f t="shared" si="32"/>
        <v>812.71902910021072</v>
      </c>
      <c r="J288" s="56">
        <f t="shared" si="28"/>
        <v>0.13902375534892136</v>
      </c>
      <c r="K288" s="54">
        <f t="shared" si="33"/>
        <v>190019.38559806638</v>
      </c>
    </row>
    <row r="289" spans="2:11" x14ac:dyDescent="0.3">
      <c r="B289" s="41">
        <f t="shared" si="34"/>
        <v>278</v>
      </c>
      <c r="C289" s="52">
        <f t="shared" si="29"/>
        <v>190019.38559806638</v>
      </c>
      <c r="E289" s="54">
        <f t="shared" si="30"/>
        <v>-5845.9004150797909</v>
      </c>
      <c r="F289" s="54"/>
      <c r="G289" s="54">
        <f t="shared" si="31"/>
        <v>5054.1529750878108</v>
      </c>
      <c r="H289" s="54"/>
      <c r="I289" s="54">
        <f t="shared" si="32"/>
        <v>791.74743999198017</v>
      </c>
      <c r="J289" s="56">
        <f t="shared" si="28"/>
        <v>0.1354363543295449</v>
      </c>
      <c r="K289" s="54">
        <f t="shared" si="33"/>
        <v>184965.23262297857</v>
      </c>
    </row>
    <row r="290" spans="2:11" x14ac:dyDescent="0.3">
      <c r="B290" s="41">
        <f t="shared" si="34"/>
        <v>279</v>
      </c>
      <c r="C290" s="52">
        <f t="shared" si="29"/>
        <v>184965.23262297857</v>
      </c>
      <c r="E290" s="54">
        <f t="shared" si="30"/>
        <v>-5845.9004150797909</v>
      </c>
      <c r="F290" s="54"/>
      <c r="G290" s="54">
        <f t="shared" si="31"/>
        <v>5075.2119458173402</v>
      </c>
      <c r="H290" s="54"/>
      <c r="I290" s="54">
        <f t="shared" si="32"/>
        <v>770.68846926245078</v>
      </c>
      <c r="J290" s="56">
        <f t="shared" si="28"/>
        <v>0.13183400580591853</v>
      </c>
      <c r="K290" s="54">
        <f t="shared" si="33"/>
        <v>179890.02067716123</v>
      </c>
    </row>
    <row r="291" spans="2:11" x14ac:dyDescent="0.3">
      <c r="B291" s="41">
        <f t="shared" si="34"/>
        <v>280</v>
      </c>
      <c r="C291" s="52">
        <f t="shared" si="29"/>
        <v>179890.02067716123</v>
      </c>
      <c r="E291" s="54">
        <f t="shared" si="30"/>
        <v>-5845.9004150797909</v>
      </c>
      <c r="F291" s="54"/>
      <c r="G291" s="54">
        <f t="shared" si="31"/>
        <v>5096.3586622582516</v>
      </c>
      <c r="H291" s="54"/>
      <c r="I291" s="54">
        <f t="shared" si="32"/>
        <v>749.54175282153938</v>
      </c>
      <c r="J291" s="56">
        <f t="shared" si="28"/>
        <v>0.12821664749677555</v>
      </c>
      <c r="K291" s="54">
        <f t="shared" si="33"/>
        <v>174793.66201490298</v>
      </c>
    </row>
    <row r="292" spans="2:11" x14ac:dyDescent="0.3">
      <c r="B292" s="41">
        <f t="shared" si="34"/>
        <v>281</v>
      </c>
      <c r="C292" s="52">
        <f t="shared" si="29"/>
        <v>174793.66201490298</v>
      </c>
      <c r="E292" s="54">
        <f t="shared" si="30"/>
        <v>-5845.9004150797909</v>
      </c>
      <c r="F292" s="54"/>
      <c r="G292" s="54">
        <f t="shared" si="31"/>
        <v>5117.5934900176944</v>
      </c>
      <c r="H292" s="54"/>
      <c r="I292" s="54">
        <f t="shared" si="32"/>
        <v>728.30692506209652</v>
      </c>
      <c r="J292" s="56">
        <f t="shared" si="28"/>
        <v>0.12458421686133972</v>
      </c>
      <c r="K292" s="54">
        <f t="shared" si="33"/>
        <v>169676.06852488528</v>
      </c>
    </row>
    <row r="293" spans="2:11" x14ac:dyDescent="0.3">
      <c r="B293" s="41">
        <f t="shared" si="34"/>
        <v>282</v>
      </c>
      <c r="C293" s="52">
        <f t="shared" si="29"/>
        <v>169676.06852488528</v>
      </c>
      <c r="E293" s="54">
        <f t="shared" si="30"/>
        <v>-5845.9004150797909</v>
      </c>
      <c r="F293" s="54"/>
      <c r="G293" s="54">
        <f t="shared" si="31"/>
        <v>5138.9167962261126</v>
      </c>
      <c r="H293" s="54"/>
      <c r="I293" s="54">
        <f t="shared" si="32"/>
        <v>706.98361885367831</v>
      </c>
      <c r="J293" s="56">
        <f t="shared" si="28"/>
        <v>0.12093665109826006</v>
      </c>
      <c r="K293" s="54">
        <f t="shared" si="33"/>
        <v>164537.15172865917</v>
      </c>
    </row>
    <row r="294" spans="2:11" x14ac:dyDescent="0.3">
      <c r="B294" s="41">
        <f t="shared" si="34"/>
        <v>283</v>
      </c>
      <c r="C294" s="52">
        <f t="shared" si="29"/>
        <v>164537.15172865917</v>
      </c>
      <c r="E294" s="54">
        <f t="shared" si="30"/>
        <v>-5845.9004150797909</v>
      </c>
      <c r="F294" s="54"/>
      <c r="G294" s="54">
        <f t="shared" si="31"/>
        <v>5160.3289495437057</v>
      </c>
      <c r="H294" s="54"/>
      <c r="I294" s="54">
        <f t="shared" si="32"/>
        <v>685.57146553608527</v>
      </c>
      <c r="J294" s="56">
        <f t="shared" si="28"/>
        <v>0.1172738871445055</v>
      </c>
      <c r="K294" s="54">
        <f t="shared" si="33"/>
        <v>159376.82277911546</v>
      </c>
    </row>
    <row r="295" spans="2:11" x14ac:dyDescent="0.3">
      <c r="B295" s="41">
        <f t="shared" si="34"/>
        <v>284</v>
      </c>
      <c r="C295" s="52">
        <f t="shared" si="29"/>
        <v>159376.82277911546</v>
      </c>
      <c r="E295" s="54">
        <f t="shared" si="30"/>
        <v>-5845.9004150797909</v>
      </c>
      <c r="F295" s="54"/>
      <c r="G295" s="54">
        <f t="shared" si="31"/>
        <v>5181.8303201667732</v>
      </c>
      <c r="H295" s="54"/>
      <c r="I295" s="54">
        <f t="shared" si="32"/>
        <v>664.07009491301778</v>
      </c>
      <c r="J295" s="56">
        <f t="shared" si="28"/>
        <v>0.11359586167427962</v>
      </c>
      <c r="K295" s="54">
        <f t="shared" si="33"/>
        <v>154194.99245894869</v>
      </c>
    </row>
    <row r="296" spans="2:11" x14ac:dyDescent="0.3">
      <c r="B296" s="41">
        <f t="shared" si="34"/>
        <v>285</v>
      </c>
      <c r="C296" s="52">
        <f t="shared" si="29"/>
        <v>154194.99245894869</v>
      </c>
      <c r="E296" s="54">
        <f t="shared" si="30"/>
        <v>-5845.9004150797909</v>
      </c>
      <c r="F296" s="54"/>
      <c r="G296" s="54">
        <f t="shared" si="31"/>
        <v>5203.4212798341759</v>
      </c>
      <c r="H296" s="54"/>
      <c r="I296" s="54">
        <f t="shared" si="32"/>
        <v>642.479135245615</v>
      </c>
      <c r="J296" s="56">
        <f t="shared" si="28"/>
        <v>0.10990251109791541</v>
      </c>
      <c r="K296" s="54">
        <f t="shared" si="33"/>
        <v>148991.57117911451</v>
      </c>
    </row>
    <row r="297" spans="2:11" x14ac:dyDescent="0.3">
      <c r="B297" s="41">
        <f t="shared" si="34"/>
        <v>286</v>
      </c>
      <c r="C297" s="52">
        <f t="shared" si="29"/>
        <v>148991.57117911451</v>
      </c>
      <c r="E297" s="54">
        <f t="shared" si="30"/>
        <v>-5845.9004150797909</v>
      </c>
      <c r="F297" s="54"/>
      <c r="G297" s="54">
        <f t="shared" si="31"/>
        <v>5225.1022018334479</v>
      </c>
      <c r="H297" s="54"/>
      <c r="I297" s="54">
        <f t="shared" si="32"/>
        <v>620.79821324634304</v>
      </c>
      <c r="J297" s="56">
        <f t="shared" si="28"/>
        <v>0.10619377156082974</v>
      </c>
      <c r="K297" s="54">
        <f t="shared" si="33"/>
        <v>143766.46897728107</v>
      </c>
    </row>
    <row r="298" spans="2:11" x14ac:dyDescent="0.3">
      <c r="B298" s="41">
        <f t="shared" si="34"/>
        <v>287</v>
      </c>
      <c r="C298" s="52">
        <f t="shared" si="29"/>
        <v>143766.46897728107</v>
      </c>
      <c r="E298" s="54">
        <f t="shared" si="30"/>
        <v>-5845.9004150797909</v>
      </c>
      <c r="F298" s="54"/>
      <c r="G298" s="54">
        <f t="shared" si="31"/>
        <v>5246.8734610077809</v>
      </c>
      <c r="H298" s="54"/>
      <c r="I298" s="54">
        <f t="shared" si="32"/>
        <v>599.02695407201008</v>
      </c>
      <c r="J298" s="56">
        <f t="shared" si="28"/>
        <v>0.10246957894232858</v>
      </c>
      <c r="K298" s="54">
        <f t="shared" si="33"/>
        <v>138519.59551627329</v>
      </c>
    </row>
    <row r="299" spans="2:11" x14ac:dyDescent="0.3">
      <c r="B299" s="41">
        <f t="shared" si="34"/>
        <v>288</v>
      </c>
      <c r="C299" s="52">
        <f t="shared" si="29"/>
        <v>138519.59551627329</v>
      </c>
      <c r="E299" s="54">
        <f t="shared" si="30"/>
        <v>-5845.9004150797909</v>
      </c>
      <c r="F299" s="54"/>
      <c r="G299" s="54">
        <f t="shared" si="31"/>
        <v>5268.7354337619618</v>
      </c>
      <c r="H299" s="54"/>
      <c r="I299" s="54">
        <f t="shared" si="32"/>
        <v>577.16498131782919</v>
      </c>
      <c r="J299" s="56">
        <f t="shared" si="28"/>
        <v>9.8729868854591396E-2</v>
      </c>
      <c r="K299" s="54">
        <f t="shared" si="33"/>
        <v>133250.86008251132</v>
      </c>
    </row>
    <row r="300" spans="2:11" x14ac:dyDescent="0.3">
      <c r="B300" s="41">
        <f t="shared" si="34"/>
        <v>289</v>
      </c>
      <c r="C300" s="52">
        <f t="shared" si="29"/>
        <v>133250.86008251132</v>
      </c>
      <c r="E300" s="54">
        <f t="shared" si="30"/>
        <v>-5845.9004150797909</v>
      </c>
      <c r="F300" s="54"/>
      <c r="G300" s="54">
        <f t="shared" si="31"/>
        <v>5290.6884980693139</v>
      </c>
      <c r="H300" s="54"/>
      <c r="I300" s="54">
        <f t="shared" si="32"/>
        <v>555.21191701047701</v>
      </c>
      <c r="J300" s="56">
        <f t="shared" si="28"/>
        <v>9.4974576641483704E-2</v>
      </c>
      <c r="K300" s="54">
        <f t="shared" si="33"/>
        <v>127960.17158444201</v>
      </c>
    </row>
    <row r="301" spans="2:11" x14ac:dyDescent="0.3">
      <c r="B301" s="41">
        <f t="shared" si="34"/>
        <v>290</v>
      </c>
      <c r="C301" s="52">
        <f t="shared" si="29"/>
        <v>127960.17158444201</v>
      </c>
      <c r="E301" s="54">
        <f t="shared" si="30"/>
        <v>-5845.9004150797909</v>
      </c>
      <c r="F301" s="54"/>
      <c r="G301" s="54">
        <f t="shared" si="31"/>
        <v>5312.7330334779253</v>
      </c>
      <c r="H301" s="54"/>
      <c r="I301" s="54">
        <f t="shared" si="32"/>
        <v>533.1673816018656</v>
      </c>
      <c r="J301" s="56">
        <f t="shared" si="28"/>
        <v>9.1203637377491723E-2</v>
      </c>
      <c r="K301" s="54">
        <f t="shared" si="33"/>
        <v>122647.43855096409</v>
      </c>
    </row>
    <row r="302" spans="2:11" x14ac:dyDescent="0.3">
      <c r="B302" s="41">
        <f t="shared" si="34"/>
        <v>291</v>
      </c>
      <c r="C302" s="52">
        <f t="shared" si="29"/>
        <v>122647.43855096409</v>
      </c>
      <c r="E302" s="54">
        <f t="shared" si="30"/>
        <v>-5845.9004150797909</v>
      </c>
      <c r="F302" s="54"/>
      <c r="G302" s="54">
        <f t="shared" si="31"/>
        <v>5334.8694211174152</v>
      </c>
      <c r="H302" s="54"/>
      <c r="I302" s="54">
        <f t="shared" si="32"/>
        <v>511.03099396237576</v>
      </c>
      <c r="J302" s="56">
        <f t="shared" si="28"/>
        <v>8.7416985866564864E-2</v>
      </c>
      <c r="K302" s="54">
        <f t="shared" si="33"/>
        <v>117312.56912984667</v>
      </c>
    </row>
    <row r="303" spans="2:11" x14ac:dyDescent="0.3">
      <c r="B303" s="41">
        <f t="shared" si="34"/>
        <v>292</v>
      </c>
      <c r="C303" s="52">
        <f t="shared" si="29"/>
        <v>117312.56912984667</v>
      </c>
      <c r="E303" s="54">
        <f t="shared" si="30"/>
        <v>-5845.9004150797909</v>
      </c>
      <c r="F303" s="54"/>
      <c r="G303" s="54">
        <f t="shared" si="31"/>
        <v>5357.0980437054095</v>
      </c>
      <c r="H303" s="54"/>
      <c r="I303" s="54">
        <f t="shared" si="32"/>
        <v>488.80237137438144</v>
      </c>
      <c r="J303" s="56">
        <f t="shared" si="28"/>
        <v>8.3614556641008017E-2</v>
      </c>
      <c r="K303" s="54">
        <f t="shared" si="33"/>
        <v>111955.47108614126</v>
      </c>
    </row>
    <row r="304" spans="2:11" x14ac:dyDescent="0.3">
      <c r="B304" s="41">
        <f t="shared" si="34"/>
        <v>293</v>
      </c>
      <c r="C304" s="52">
        <f t="shared" si="29"/>
        <v>111955.47108614126</v>
      </c>
      <c r="E304" s="54">
        <f t="shared" si="30"/>
        <v>-5845.9004150797909</v>
      </c>
      <c r="F304" s="54"/>
      <c r="G304" s="54">
        <f t="shared" si="31"/>
        <v>5379.4192855541769</v>
      </c>
      <c r="H304" s="54"/>
      <c r="I304" s="54">
        <f t="shared" si="32"/>
        <v>466.48112952561405</v>
      </c>
      <c r="J304" s="56">
        <f t="shared" si="28"/>
        <v>7.9796283960346423E-2</v>
      </c>
      <c r="K304" s="54">
        <f t="shared" si="33"/>
        <v>106576.05180058708</v>
      </c>
    </row>
    <row r="305" spans="2:11" x14ac:dyDescent="0.3">
      <c r="B305" s="41">
        <f t="shared" si="34"/>
        <v>294</v>
      </c>
      <c r="C305" s="52">
        <f t="shared" si="29"/>
        <v>106576.05180058708</v>
      </c>
      <c r="E305" s="54">
        <f t="shared" si="30"/>
        <v>-5845.9004150797909</v>
      </c>
      <c r="F305" s="54"/>
      <c r="G305" s="54">
        <f t="shared" si="31"/>
        <v>5401.8335325773223</v>
      </c>
      <c r="H305" s="54"/>
      <c r="I305" s="54">
        <f t="shared" si="32"/>
        <v>444.06688250246862</v>
      </c>
      <c r="J305" s="56">
        <f t="shared" si="28"/>
        <v>7.5962101810180691E-2</v>
      </c>
      <c r="K305" s="54">
        <f t="shared" si="33"/>
        <v>101174.21826800976</v>
      </c>
    </row>
    <row r="306" spans="2:11" x14ac:dyDescent="0.3">
      <c r="B306" s="41">
        <f t="shared" si="34"/>
        <v>295</v>
      </c>
      <c r="C306" s="52">
        <f t="shared" si="29"/>
        <v>101174.21826800976</v>
      </c>
      <c r="E306" s="54">
        <f t="shared" si="30"/>
        <v>-5845.9004150797909</v>
      </c>
      <c r="F306" s="54"/>
      <c r="G306" s="54">
        <f t="shared" si="31"/>
        <v>5424.3411722963938</v>
      </c>
      <c r="H306" s="54"/>
      <c r="I306" s="54">
        <f t="shared" si="32"/>
        <v>421.55924278339717</v>
      </c>
      <c r="J306" s="56">
        <f t="shared" si="28"/>
        <v>7.211194390105656E-2</v>
      </c>
      <c r="K306" s="54">
        <f t="shared" si="33"/>
        <v>95749.877095713367</v>
      </c>
    </row>
    <row r="307" spans="2:11" x14ac:dyDescent="0.3">
      <c r="B307" s="41">
        <f t="shared" si="34"/>
        <v>296</v>
      </c>
      <c r="C307" s="52">
        <f t="shared" si="29"/>
        <v>95749.877095713367</v>
      </c>
      <c r="E307" s="54">
        <f t="shared" si="30"/>
        <v>-5845.9004150797909</v>
      </c>
      <c r="F307" s="54"/>
      <c r="G307" s="54">
        <f t="shared" si="31"/>
        <v>5446.9425938476343</v>
      </c>
      <c r="H307" s="54"/>
      <c r="I307" s="54">
        <f t="shared" si="32"/>
        <v>398.95782123215668</v>
      </c>
      <c r="J307" s="56">
        <f t="shared" si="28"/>
        <v>6.8245743667310024E-2</v>
      </c>
      <c r="K307" s="54">
        <f t="shared" si="33"/>
        <v>90302.934501865733</v>
      </c>
    </row>
    <row r="308" spans="2:11" x14ac:dyDescent="0.3">
      <c r="B308" s="41">
        <f t="shared" si="34"/>
        <v>297</v>
      </c>
      <c r="C308" s="52">
        <f t="shared" si="29"/>
        <v>90302.934501865733</v>
      </c>
      <c r="E308" s="54">
        <f t="shared" si="30"/>
        <v>-5845.9004150797909</v>
      </c>
      <c r="F308" s="54"/>
      <c r="G308" s="54">
        <f t="shared" si="31"/>
        <v>5469.6381879886612</v>
      </c>
      <c r="H308" s="54"/>
      <c r="I308" s="54">
        <f t="shared" si="32"/>
        <v>376.26222709112972</v>
      </c>
      <c r="J308" s="56">
        <f t="shared" si="28"/>
        <v>6.4363434265924641E-2</v>
      </c>
      <c r="K308" s="54">
        <f t="shared" si="33"/>
        <v>84833.296313877072</v>
      </c>
    </row>
    <row r="309" spans="2:11" x14ac:dyDescent="0.3">
      <c r="B309" s="41">
        <f t="shared" si="34"/>
        <v>298</v>
      </c>
      <c r="C309" s="52">
        <f t="shared" si="29"/>
        <v>84833.296313877072</v>
      </c>
      <c r="E309" s="54">
        <f t="shared" si="30"/>
        <v>-5845.9004150797909</v>
      </c>
      <c r="F309" s="54"/>
      <c r="G309" s="54">
        <f t="shared" si="31"/>
        <v>5492.4283471052768</v>
      </c>
      <c r="H309" s="54"/>
      <c r="I309" s="54">
        <f t="shared" si="32"/>
        <v>353.47206797451418</v>
      </c>
      <c r="J309" s="56">
        <f t="shared" si="28"/>
        <v>6.0464948575366662E-2</v>
      </c>
      <c r="K309" s="54">
        <f t="shared" si="33"/>
        <v>79340.867966771795</v>
      </c>
    </row>
    <row r="310" spans="2:11" x14ac:dyDescent="0.3">
      <c r="B310" s="41">
        <f t="shared" si="34"/>
        <v>299</v>
      </c>
      <c r="C310" s="52">
        <f t="shared" si="29"/>
        <v>79340.867966771795</v>
      </c>
      <c r="E310" s="54">
        <f t="shared" si="30"/>
        <v>-5845.9004150797909</v>
      </c>
      <c r="F310" s="54"/>
      <c r="G310" s="54">
        <f t="shared" si="31"/>
        <v>5515.3134652182198</v>
      </c>
      <c r="H310" s="54"/>
      <c r="I310" s="54">
        <f t="shared" si="32"/>
        <v>330.58694986157116</v>
      </c>
      <c r="J310" s="56">
        <f t="shared" si="28"/>
        <v>5.6550219194429943E-2</v>
      </c>
      <c r="K310" s="54">
        <f t="shared" si="33"/>
        <v>73825.554501553575</v>
      </c>
    </row>
    <row r="311" spans="2:11" x14ac:dyDescent="0.3">
      <c r="B311" s="41">
        <f t="shared" si="34"/>
        <v>300</v>
      </c>
      <c r="C311" s="52">
        <f t="shared" si="29"/>
        <v>73825.554501553575</v>
      </c>
      <c r="E311" s="54">
        <f t="shared" si="30"/>
        <v>-5845.9004150797909</v>
      </c>
      <c r="F311" s="54"/>
      <c r="G311" s="54">
        <f t="shared" si="31"/>
        <v>5538.2939379899617</v>
      </c>
      <c r="H311" s="54"/>
      <c r="I311" s="54">
        <f t="shared" si="32"/>
        <v>307.60647708982924</v>
      </c>
      <c r="J311" s="56">
        <f t="shared" si="28"/>
        <v>5.2619178441073514E-2</v>
      </c>
      <c r="K311" s="54">
        <f t="shared" si="33"/>
        <v>68287.260563563614</v>
      </c>
    </row>
    <row r="312" spans="2:11" x14ac:dyDescent="0.3">
      <c r="B312" s="41">
        <f t="shared" si="34"/>
        <v>301</v>
      </c>
      <c r="C312" s="52">
        <f t="shared" si="29"/>
        <v>68287.260563563614</v>
      </c>
      <c r="E312" s="54">
        <f t="shared" si="30"/>
        <v>-5845.9004150797909</v>
      </c>
      <c r="F312" s="54"/>
      <c r="G312" s="54">
        <f t="shared" si="31"/>
        <v>5561.3701627315895</v>
      </c>
      <c r="H312" s="54"/>
      <c r="I312" s="54">
        <f t="shared" si="32"/>
        <v>284.53025234820143</v>
      </c>
      <c r="J312" s="56">
        <f t="shared" si="28"/>
        <v>4.8671758351244147E-2</v>
      </c>
      <c r="K312" s="54">
        <f t="shared" si="33"/>
        <v>62725.890400832024</v>
      </c>
    </row>
    <row r="313" spans="2:11" x14ac:dyDescent="0.3">
      <c r="B313" s="41">
        <f t="shared" si="34"/>
        <v>302</v>
      </c>
      <c r="C313" s="52">
        <f t="shared" si="29"/>
        <v>62725.890400832024</v>
      </c>
      <c r="E313" s="54">
        <f t="shared" si="30"/>
        <v>-5845.9004150797909</v>
      </c>
      <c r="F313" s="54"/>
      <c r="G313" s="54">
        <f t="shared" si="31"/>
        <v>5584.5425384096379</v>
      </c>
      <c r="H313" s="54"/>
      <c r="I313" s="54">
        <f t="shared" si="32"/>
        <v>261.35787667015302</v>
      </c>
      <c r="J313" s="56">
        <f t="shared" si="28"/>
        <v>4.470789067770764E-2</v>
      </c>
      <c r="K313" s="54">
        <f t="shared" si="33"/>
        <v>57141.347862422386</v>
      </c>
    </row>
    <row r="314" spans="2:11" x14ac:dyDescent="0.3">
      <c r="B314" s="41">
        <f t="shared" si="34"/>
        <v>303</v>
      </c>
      <c r="C314" s="52">
        <f t="shared" si="29"/>
        <v>57141.347862422386</v>
      </c>
      <c r="E314" s="54">
        <f t="shared" si="30"/>
        <v>-5845.9004150797909</v>
      </c>
      <c r="F314" s="54"/>
      <c r="G314" s="54">
        <f t="shared" si="31"/>
        <v>5607.8114656530088</v>
      </c>
      <c r="H314" s="54"/>
      <c r="I314" s="54">
        <f t="shared" si="32"/>
        <v>238.08894942678216</v>
      </c>
      <c r="J314" s="56">
        <f t="shared" si="28"/>
        <v>4.0727506888865207E-2</v>
      </c>
      <c r="K314" s="54">
        <f t="shared" si="33"/>
        <v>51533.536396769377</v>
      </c>
    </row>
    <row r="315" spans="2:11" x14ac:dyDescent="0.3">
      <c r="B315" s="41">
        <f t="shared" si="34"/>
        <v>304</v>
      </c>
      <c r="C315" s="52">
        <f t="shared" si="29"/>
        <v>51533.536396769377</v>
      </c>
      <c r="E315" s="54">
        <f t="shared" si="30"/>
        <v>-5845.9004150797909</v>
      </c>
      <c r="F315" s="54"/>
      <c r="G315" s="54">
        <f t="shared" si="31"/>
        <v>5631.1773467598978</v>
      </c>
      <c r="H315" s="54"/>
      <c r="I315" s="54">
        <f t="shared" si="32"/>
        <v>214.72306831989317</v>
      </c>
      <c r="J315" s="56">
        <f t="shared" si="28"/>
        <v>3.6730538167568563E-2</v>
      </c>
      <c r="K315" s="54">
        <f t="shared" si="33"/>
        <v>45902.35905000948</v>
      </c>
    </row>
    <row r="316" spans="2:11" x14ac:dyDescent="0.3">
      <c r="B316" s="41">
        <f t="shared" si="34"/>
        <v>305</v>
      </c>
      <c r="C316" s="52">
        <f t="shared" si="29"/>
        <v>45902.35905000948</v>
      </c>
      <c r="E316" s="54">
        <f t="shared" si="30"/>
        <v>-5845.9004150797909</v>
      </c>
      <c r="F316" s="54"/>
      <c r="G316" s="54">
        <f t="shared" si="31"/>
        <v>5654.6405857047284</v>
      </c>
      <c r="H316" s="54"/>
      <c r="I316" s="54">
        <f t="shared" si="32"/>
        <v>191.25982937506251</v>
      </c>
      <c r="J316" s="56">
        <f t="shared" si="28"/>
        <v>3.2716915409933815E-2</v>
      </c>
      <c r="K316" s="54">
        <f t="shared" si="33"/>
        <v>40247.718464304751</v>
      </c>
    </row>
    <row r="317" spans="2:11" x14ac:dyDescent="0.3">
      <c r="B317" s="41">
        <f t="shared" si="34"/>
        <v>306</v>
      </c>
      <c r="C317" s="52">
        <f t="shared" si="29"/>
        <v>40247.718464304751</v>
      </c>
      <c r="E317" s="54">
        <f t="shared" si="30"/>
        <v>-5845.9004150797909</v>
      </c>
      <c r="F317" s="54"/>
      <c r="G317" s="54">
        <f t="shared" si="31"/>
        <v>5678.2015881451662</v>
      </c>
      <c r="H317" s="54"/>
      <c r="I317" s="54">
        <f t="shared" si="32"/>
        <v>167.69882693462478</v>
      </c>
      <c r="J317" s="56">
        <f t="shared" si="28"/>
        <v>2.8686569224141641E-2</v>
      </c>
      <c r="K317" s="54">
        <f t="shared" si="33"/>
        <v>34569.516876159585</v>
      </c>
    </row>
    <row r="318" spans="2:11" x14ac:dyDescent="0.3">
      <c r="B318" s="41">
        <f t="shared" si="34"/>
        <v>307</v>
      </c>
      <c r="C318" s="52">
        <f t="shared" si="29"/>
        <v>34569.516876159585</v>
      </c>
      <c r="E318" s="54">
        <f t="shared" si="30"/>
        <v>-5845.9004150797909</v>
      </c>
      <c r="F318" s="54"/>
      <c r="G318" s="54">
        <f t="shared" si="31"/>
        <v>5701.8607614291031</v>
      </c>
      <c r="H318" s="54"/>
      <c r="I318" s="54">
        <f t="shared" si="32"/>
        <v>144.0396536506878</v>
      </c>
      <c r="J318" s="56">
        <f t="shared" si="28"/>
        <v>2.4639429929242437E-2</v>
      </c>
      <c r="K318" s="54">
        <f t="shared" si="33"/>
        <v>28867.656114730482</v>
      </c>
    </row>
    <row r="319" spans="2:11" x14ac:dyDescent="0.3">
      <c r="B319" s="41">
        <f t="shared" si="34"/>
        <v>308</v>
      </c>
      <c r="C319" s="52">
        <f t="shared" si="29"/>
        <v>28867.656114730482</v>
      </c>
      <c r="E319" s="54">
        <f t="shared" si="30"/>
        <v>-5845.9004150797909</v>
      </c>
      <c r="F319" s="54"/>
      <c r="G319" s="54">
        <f t="shared" si="31"/>
        <v>5725.6185146017269</v>
      </c>
      <c r="H319" s="54"/>
      <c r="I319" s="54">
        <f t="shared" si="32"/>
        <v>120.28190047806402</v>
      </c>
      <c r="J319" s="56">
        <f t="shared" si="28"/>
        <v>2.0575427553947184E-2</v>
      </c>
      <c r="K319" s="54">
        <f t="shared" si="33"/>
        <v>23142.037600128755</v>
      </c>
    </row>
    <row r="320" spans="2:11" x14ac:dyDescent="0.3">
      <c r="B320" s="41">
        <f t="shared" si="34"/>
        <v>309</v>
      </c>
      <c r="C320" s="52">
        <f t="shared" si="29"/>
        <v>23142.037600128755</v>
      </c>
      <c r="E320" s="54">
        <f t="shared" si="30"/>
        <v>-5845.9004150797909</v>
      </c>
      <c r="F320" s="54"/>
      <c r="G320" s="54">
        <f t="shared" si="31"/>
        <v>5749.4752584125672</v>
      </c>
      <c r="H320" s="54"/>
      <c r="I320" s="54">
        <f t="shared" si="32"/>
        <v>96.425156667223746</v>
      </c>
      <c r="J320" s="56">
        <f t="shared" si="28"/>
        <v>1.6494491835422009E-2</v>
      </c>
      <c r="K320" s="54">
        <f t="shared" si="33"/>
        <v>17392.562341716188</v>
      </c>
    </row>
    <row r="321" spans="2:11" x14ac:dyDescent="0.3">
      <c r="B321" s="41">
        <f t="shared" si="34"/>
        <v>310</v>
      </c>
      <c r="C321" s="52">
        <f t="shared" si="29"/>
        <v>17392.562341716188</v>
      </c>
      <c r="E321" s="54">
        <f t="shared" si="30"/>
        <v>-5845.9004150797909</v>
      </c>
      <c r="F321" s="54"/>
      <c r="G321" s="54">
        <f t="shared" si="31"/>
        <v>5773.431405322619</v>
      </c>
      <c r="H321" s="54"/>
      <c r="I321" s="54">
        <f t="shared" si="32"/>
        <v>72.469009757171989</v>
      </c>
      <c r="J321" s="56">
        <f t="shared" si="28"/>
        <v>1.2396552218069705E-2</v>
      </c>
      <c r="K321" s="54">
        <f t="shared" si="33"/>
        <v>11619.130936393569</v>
      </c>
    </row>
    <row r="322" spans="2:11" x14ac:dyDescent="0.3">
      <c r="B322" s="41">
        <f t="shared" si="34"/>
        <v>311</v>
      </c>
      <c r="C322" s="52">
        <f t="shared" si="29"/>
        <v>11619.130936393569</v>
      </c>
      <c r="E322" s="54">
        <f t="shared" si="30"/>
        <v>-5845.9004150797909</v>
      </c>
      <c r="F322" s="54"/>
      <c r="G322" s="54">
        <f t="shared" si="31"/>
        <v>5797.4873695114638</v>
      </c>
      <c r="H322" s="54"/>
      <c r="I322" s="54">
        <f t="shared" si="32"/>
        <v>48.413045568327107</v>
      </c>
      <c r="J322" s="56">
        <f t="shared" si="28"/>
        <v>8.2815378523115532E-3</v>
      </c>
      <c r="K322" s="54">
        <f t="shared" si="33"/>
        <v>5821.643566882105</v>
      </c>
    </row>
    <row r="323" spans="2:11" x14ac:dyDescent="0.3">
      <c r="B323" s="41">
        <f t="shared" si="34"/>
        <v>312</v>
      </c>
      <c r="C323" s="52">
        <f t="shared" si="29"/>
        <v>5821.643566882105</v>
      </c>
      <c r="E323" s="54">
        <f t="shared" si="30"/>
        <v>-5845.9004150797909</v>
      </c>
      <c r="F323" s="54"/>
      <c r="G323" s="54">
        <f t="shared" si="31"/>
        <v>5821.6435668844279</v>
      </c>
      <c r="H323" s="54"/>
      <c r="I323" s="54">
        <f t="shared" si="32"/>
        <v>24.256848195363091</v>
      </c>
      <c r="J323" s="56">
        <f t="shared" si="28"/>
        <v>4.1493775933629223E-3</v>
      </c>
      <c r="K323" s="78">
        <f t="shared" si="33"/>
        <v>-2.3228494683280587E-9</v>
      </c>
    </row>
    <row r="324" spans="2:11" x14ac:dyDescent="0.3">
      <c r="B324" s="41">
        <f t="shared" si="34"/>
        <v>313</v>
      </c>
      <c r="C324" s="52">
        <f t="shared" si="29"/>
        <v>0</v>
      </c>
      <c r="E324" s="54">
        <f t="shared" si="30"/>
        <v>0</v>
      </c>
      <c r="F324" s="54"/>
      <c r="G324" s="54">
        <f t="shared" si="31"/>
        <v>0</v>
      </c>
      <c r="H324" s="54"/>
      <c r="I324" s="54">
        <f t="shared" si="32"/>
        <v>0</v>
      </c>
      <c r="J324" s="56" t="str">
        <f t="shared" si="28"/>
        <v>NA</v>
      </c>
      <c r="K324" s="54">
        <f t="shared" si="33"/>
        <v>0</v>
      </c>
    </row>
    <row r="325" spans="2:11" x14ac:dyDescent="0.3">
      <c r="B325" s="41">
        <f t="shared" si="34"/>
        <v>314</v>
      </c>
      <c r="C325" s="52">
        <f t="shared" si="29"/>
        <v>0</v>
      </c>
      <c r="E325" s="54">
        <f t="shared" si="30"/>
        <v>0</v>
      </c>
      <c r="F325" s="54"/>
      <c r="G325" s="54">
        <f t="shared" si="31"/>
        <v>0</v>
      </c>
      <c r="H325" s="54"/>
      <c r="I325" s="54">
        <f t="shared" si="32"/>
        <v>0</v>
      </c>
      <c r="J325" s="56" t="str">
        <f t="shared" si="28"/>
        <v>NA</v>
      </c>
      <c r="K325" s="54">
        <f t="shared" si="33"/>
        <v>0</v>
      </c>
    </row>
    <row r="326" spans="2:11" x14ac:dyDescent="0.3">
      <c r="B326" s="41">
        <f t="shared" si="34"/>
        <v>315</v>
      </c>
      <c r="C326" s="52">
        <f t="shared" si="29"/>
        <v>0</v>
      </c>
      <c r="E326" s="54">
        <f t="shared" si="30"/>
        <v>0</v>
      </c>
      <c r="F326" s="54"/>
      <c r="G326" s="54">
        <f t="shared" si="31"/>
        <v>0</v>
      </c>
      <c r="H326" s="54"/>
      <c r="I326" s="54">
        <f t="shared" si="32"/>
        <v>0</v>
      </c>
      <c r="J326" s="56" t="str">
        <f t="shared" si="28"/>
        <v>NA</v>
      </c>
      <c r="K326" s="54">
        <f t="shared" si="33"/>
        <v>0</v>
      </c>
    </row>
    <row r="327" spans="2:11" x14ac:dyDescent="0.3">
      <c r="B327" s="41">
        <f t="shared" si="34"/>
        <v>316</v>
      </c>
      <c r="C327" s="52">
        <f t="shared" si="29"/>
        <v>0</v>
      </c>
      <c r="E327" s="54">
        <f t="shared" si="30"/>
        <v>0</v>
      </c>
      <c r="F327" s="54"/>
      <c r="G327" s="54">
        <f t="shared" si="31"/>
        <v>0</v>
      </c>
      <c r="H327" s="54"/>
      <c r="I327" s="54">
        <f t="shared" si="32"/>
        <v>0</v>
      </c>
      <c r="J327" s="56" t="str">
        <f t="shared" si="28"/>
        <v>NA</v>
      </c>
      <c r="K327" s="54">
        <f t="shared" si="33"/>
        <v>0</v>
      </c>
    </row>
    <row r="328" spans="2:11" x14ac:dyDescent="0.3">
      <c r="B328" s="41">
        <f t="shared" si="34"/>
        <v>317</v>
      </c>
      <c r="C328" s="52">
        <f t="shared" si="29"/>
        <v>0</v>
      </c>
      <c r="E328" s="54">
        <f t="shared" si="30"/>
        <v>0</v>
      </c>
      <c r="F328" s="54"/>
      <c r="G328" s="54">
        <f t="shared" si="31"/>
        <v>0</v>
      </c>
      <c r="H328" s="54"/>
      <c r="I328" s="54">
        <f t="shared" si="32"/>
        <v>0</v>
      </c>
      <c r="J328" s="56" t="str">
        <f t="shared" si="28"/>
        <v>NA</v>
      </c>
      <c r="K328" s="54">
        <f t="shared" si="33"/>
        <v>0</v>
      </c>
    </row>
    <row r="329" spans="2:11" x14ac:dyDescent="0.3">
      <c r="B329" s="41">
        <f t="shared" si="34"/>
        <v>318</v>
      </c>
      <c r="C329" s="52">
        <f t="shared" si="29"/>
        <v>0</v>
      </c>
      <c r="E329" s="54">
        <f t="shared" si="30"/>
        <v>0</v>
      </c>
      <c r="F329" s="54"/>
      <c r="G329" s="54">
        <f t="shared" si="31"/>
        <v>0</v>
      </c>
      <c r="H329" s="54"/>
      <c r="I329" s="54">
        <f t="shared" si="32"/>
        <v>0</v>
      </c>
      <c r="J329" s="56" t="str">
        <f t="shared" si="28"/>
        <v>NA</v>
      </c>
      <c r="K329" s="54">
        <f t="shared" si="33"/>
        <v>0</v>
      </c>
    </row>
    <row r="330" spans="2:11" x14ac:dyDescent="0.3">
      <c r="B330" s="41">
        <f t="shared" si="34"/>
        <v>319</v>
      </c>
      <c r="C330" s="52">
        <f t="shared" si="29"/>
        <v>0</v>
      </c>
      <c r="E330" s="54">
        <f t="shared" si="30"/>
        <v>0</v>
      </c>
      <c r="F330" s="54"/>
      <c r="G330" s="54">
        <f t="shared" si="31"/>
        <v>0</v>
      </c>
      <c r="H330" s="54"/>
      <c r="I330" s="54">
        <f t="shared" si="32"/>
        <v>0</v>
      </c>
      <c r="J330" s="56" t="str">
        <f t="shared" si="28"/>
        <v>NA</v>
      </c>
      <c r="K330" s="54">
        <f t="shared" si="33"/>
        <v>0</v>
      </c>
    </row>
    <row r="331" spans="2:11" x14ac:dyDescent="0.3">
      <c r="B331" s="41">
        <f t="shared" si="34"/>
        <v>320</v>
      </c>
      <c r="C331" s="52">
        <f t="shared" si="29"/>
        <v>0</v>
      </c>
      <c r="E331" s="54">
        <f t="shared" si="30"/>
        <v>0</v>
      </c>
      <c r="F331" s="54"/>
      <c r="G331" s="54">
        <f t="shared" si="31"/>
        <v>0</v>
      </c>
      <c r="H331" s="54"/>
      <c r="I331" s="54">
        <f t="shared" si="32"/>
        <v>0</v>
      </c>
      <c r="J331" s="56" t="str">
        <f t="shared" si="28"/>
        <v>NA</v>
      </c>
      <c r="K331" s="54">
        <f t="shared" si="33"/>
        <v>0</v>
      </c>
    </row>
    <row r="332" spans="2:11" x14ac:dyDescent="0.3">
      <c r="B332" s="41">
        <f t="shared" si="34"/>
        <v>321</v>
      </c>
      <c r="C332" s="52">
        <f t="shared" si="29"/>
        <v>0</v>
      </c>
      <c r="E332" s="54">
        <f t="shared" si="30"/>
        <v>0</v>
      </c>
      <c r="F332" s="54"/>
      <c r="G332" s="54">
        <f t="shared" si="31"/>
        <v>0</v>
      </c>
      <c r="H332" s="54"/>
      <c r="I332" s="54">
        <f t="shared" si="32"/>
        <v>0</v>
      </c>
      <c r="J332" s="56" t="str">
        <f t="shared" ref="J332:J371" si="35">IFERROR(-I332/E332,"NA")</f>
        <v>NA</v>
      </c>
      <c r="K332" s="54">
        <f t="shared" si="33"/>
        <v>0</v>
      </c>
    </row>
    <row r="333" spans="2:11" x14ac:dyDescent="0.3">
      <c r="B333" s="41">
        <f t="shared" si="34"/>
        <v>322</v>
      </c>
      <c r="C333" s="52">
        <f t="shared" ref="C333:C371" si="36">IF(B333&gt;$G$5+$O$5,0,K332)</f>
        <v>0</v>
      </c>
      <c r="E333" s="54">
        <f t="shared" ref="E333:E371" si="37">IF(B333&gt;$G$5+$O$5,0,1)*IF(AND($O$4&gt;0,B333&lt;=$O$5),-$E$7*$E$4,PMT($E$7,$G$5,$E$4))</f>
        <v>0</v>
      </c>
      <c r="F333" s="54"/>
      <c r="G333" s="54">
        <f t="shared" ref="G333:G371" si="38">IF(AND($O$4&gt;0,B333&lt;=$O$5),0,C333-K333)</f>
        <v>0</v>
      </c>
      <c r="H333" s="54"/>
      <c r="I333" s="54">
        <f t="shared" ref="I333:I371" si="39">-(E333+G333)</f>
        <v>0</v>
      </c>
      <c r="J333" s="56" t="str">
        <f t="shared" si="35"/>
        <v>NA</v>
      </c>
      <c r="K333" s="54">
        <f t="shared" ref="K333:K371" si="40">-FV($E$7,1,E333,C333)</f>
        <v>0</v>
      </c>
    </row>
    <row r="334" spans="2:11" x14ac:dyDescent="0.3">
      <c r="B334" s="41">
        <f t="shared" ref="B334:B371" si="41">B333+1</f>
        <v>323</v>
      </c>
      <c r="C334" s="52">
        <f t="shared" si="36"/>
        <v>0</v>
      </c>
      <c r="E334" s="54">
        <f t="shared" si="37"/>
        <v>0</v>
      </c>
      <c r="F334" s="54"/>
      <c r="G334" s="54">
        <f t="shared" si="38"/>
        <v>0</v>
      </c>
      <c r="H334" s="54"/>
      <c r="I334" s="54">
        <f t="shared" si="39"/>
        <v>0</v>
      </c>
      <c r="J334" s="56" t="str">
        <f t="shared" si="35"/>
        <v>NA</v>
      </c>
      <c r="K334" s="54">
        <f t="shared" si="40"/>
        <v>0</v>
      </c>
    </row>
    <row r="335" spans="2:11" x14ac:dyDescent="0.3">
      <c r="B335" s="41">
        <f t="shared" si="41"/>
        <v>324</v>
      </c>
      <c r="C335" s="52">
        <f t="shared" si="36"/>
        <v>0</v>
      </c>
      <c r="E335" s="54">
        <f t="shared" si="37"/>
        <v>0</v>
      </c>
      <c r="F335" s="54"/>
      <c r="G335" s="54">
        <f t="shared" si="38"/>
        <v>0</v>
      </c>
      <c r="H335" s="54"/>
      <c r="I335" s="54">
        <f t="shared" si="39"/>
        <v>0</v>
      </c>
      <c r="J335" s="56" t="str">
        <f t="shared" si="35"/>
        <v>NA</v>
      </c>
      <c r="K335" s="54">
        <f t="shared" si="40"/>
        <v>0</v>
      </c>
    </row>
    <row r="336" spans="2:11" x14ac:dyDescent="0.3">
      <c r="B336" s="41">
        <f t="shared" si="41"/>
        <v>325</v>
      </c>
      <c r="C336" s="52">
        <f t="shared" si="36"/>
        <v>0</v>
      </c>
      <c r="E336" s="54">
        <f t="shared" si="37"/>
        <v>0</v>
      </c>
      <c r="F336" s="54"/>
      <c r="G336" s="54">
        <f t="shared" si="38"/>
        <v>0</v>
      </c>
      <c r="H336" s="54"/>
      <c r="I336" s="54">
        <f t="shared" si="39"/>
        <v>0</v>
      </c>
      <c r="J336" s="56" t="str">
        <f t="shared" si="35"/>
        <v>NA</v>
      </c>
      <c r="K336" s="54">
        <f t="shared" si="40"/>
        <v>0</v>
      </c>
    </row>
    <row r="337" spans="2:11" x14ac:dyDescent="0.3">
      <c r="B337" s="41">
        <f t="shared" si="41"/>
        <v>326</v>
      </c>
      <c r="C337" s="52">
        <f t="shared" si="36"/>
        <v>0</v>
      </c>
      <c r="E337" s="54">
        <f t="shared" si="37"/>
        <v>0</v>
      </c>
      <c r="F337" s="54"/>
      <c r="G337" s="54">
        <f t="shared" si="38"/>
        <v>0</v>
      </c>
      <c r="H337" s="54"/>
      <c r="I337" s="54">
        <f t="shared" si="39"/>
        <v>0</v>
      </c>
      <c r="J337" s="56" t="str">
        <f t="shared" si="35"/>
        <v>NA</v>
      </c>
      <c r="K337" s="54">
        <f t="shared" si="40"/>
        <v>0</v>
      </c>
    </row>
    <row r="338" spans="2:11" x14ac:dyDescent="0.3">
      <c r="B338" s="41">
        <f t="shared" si="41"/>
        <v>327</v>
      </c>
      <c r="C338" s="52">
        <f t="shared" si="36"/>
        <v>0</v>
      </c>
      <c r="E338" s="54">
        <f t="shared" si="37"/>
        <v>0</v>
      </c>
      <c r="F338" s="54"/>
      <c r="G338" s="54">
        <f t="shared" si="38"/>
        <v>0</v>
      </c>
      <c r="H338" s="54"/>
      <c r="I338" s="54">
        <f t="shared" si="39"/>
        <v>0</v>
      </c>
      <c r="J338" s="56" t="str">
        <f t="shared" si="35"/>
        <v>NA</v>
      </c>
      <c r="K338" s="54">
        <f t="shared" si="40"/>
        <v>0</v>
      </c>
    </row>
    <row r="339" spans="2:11" x14ac:dyDescent="0.3">
      <c r="B339" s="41">
        <f t="shared" si="41"/>
        <v>328</v>
      </c>
      <c r="C339" s="52">
        <f t="shared" si="36"/>
        <v>0</v>
      </c>
      <c r="E339" s="54">
        <f t="shared" si="37"/>
        <v>0</v>
      </c>
      <c r="F339" s="54"/>
      <c r="G339" s="54">
        <f t="shared" si="38"/>
        <v>0</v>
      </c>
      <c r="H339" s="54"/>
      <c r="I339" s="54">
        <f t="shared" si="39"/>
        <v>0</v>
      </c>
      <c r="J339" s="56" t="str">
        <f t="shared" si="35"/>
        <v>NA</v>
      </c>
      <c r="K339" s="54">
        <f t="shared" si="40"/>
        <v>0</v>
      </c>
    </row>
    <row r="340" spans="2:11" x14ac:dyDescent="0.3">
      <c r="B340" s="41">
        <f t="shared" si="41"/>
        <v>329</v>
      </c>
      <c r="C340" s="52">
        <f t="shared" si="36"/>
        <v>0</v>
      </c>
      <c r="E340" s="54">
        <f t="shared" si="37"/>
        <v>0</v>
      </c>
      <c r="F340" s="54"/>
      <c r="G340" s="54">
        <f t="shared" si="38"/>
        <v>0</v>
      </c>
      <c r="H340" s="54"/>
      <c r="I340" s="54">
        <f t="shared" si="39"/>
        <v>0</v>
      </c>
      <c r="J340" s="56" t="str">
        <f t="shared" si="35"/>
        <v>NA</v>
      </c>
      <c r="K340" s="54">
        <f t="shared" si="40"/>
        <v>0</v>
      </c>
    </row>
    <row r="341" spans="2:11" x14ac:dyDescent="0.3">
      <c r="B341" s="41">
        <f t="shared" si="41"/>
        <v>330</v>
      </c>
      <c r="C341" s="52">
        <f t="shared" si="36"/>
        <v>0</v>
      </c>
      <c r="E341" s="54">
        <f t="shared" si="37"/>
        <v>0</v>
      </c>
      <c r="F341" s="54"/>
      <c r="G341" s="54">
        <f t="shared" si="38"/>
        <v>0</v>
      </c>
      <c r="H341" s="54"/>
      <c r="I341" s="54">
        <f t="shared" si="39"/>
        <v>0</v>
      </c>
      <c r="J341" s="56" t="str">
        <f t="shared" si="35"/>
        <v>NA</v>
      </c>
      <c r="K341" s="54">
        <f t="shared" si="40"/>
        <v>0</v>
      </c>
    </row>
    <row r="342" spans="2:11" x14ac:dyDescent="0.3">
      <c r="B342" s="41">
        <f t="shared" si="41"/>
        <v>331</v>
      </c>
      <c r="C342" s="52">
        <f t="shared" si="36"/>
        <v>0</v>
      </c>
      <c r="E342" s="54">
        <f t="shared" si="37"/>
        <v>0</v>
      </c>
      <c r="F342" s="54"/>
      <c r="G342" s="54">
        <f t="shared" si="38"/>
        <v>0</v>
      </c>
      <c r="H342" s="54"/>
      <c r="I342" s="54">
        <f t="shared" si="39"/>
        <v>0</v>
      </c>
      <c r="J342" s="56" t="str">
        <f t="shared" si="35"/>
        <v>NA</v>
      </c>
      <c r="K342" s="54">
        <f t="shared" si="40"/>
        <v>0</v>
      </c>
    </row>
    <row r="343" spans="2:11" x14ac:dyDescent="0.3">
      <c r="B343" s="41">
        <f t="shared" si="41"/>
        <v>332</v>
      </c>
      <c r="C343" s="52">
        <f t="shared" si="36"/>
        <v>0</v>
      </c>
      <c r="E343" s="54">
        <f t="shared" si="37"/>
        <v>0</v>
      </c>
      <c r="F343" s="54"/>
      <c r="G343" s="54">
        <f t="shared" si="38"/>
        <v>0</v>
      </c>
      <c r="H343" s="54"/>
      <c r="I343" s="54">
        <f t="shared" si="39"/>
        <v>0</v>
      </c>
      <c r="J343" s="56" t="str">
        <f t="shared" si="35"/>
        <v>NA</v>
      </c>
      <c r="K343" s="54">
        <f t="shared" si="40"/>
        <v>0</v>
      </c>
    </row>
    <row r="344" spans="2:11" x14ac:dyDescent="0.3">
      <c r="B344" s="41">
        <f t="shared" si="41"/>
        <v>333</v>
      </c>
      <c r="C344" s="52">
        <f t="shared" si="36"/>
        <v>0</v>
      </c>
      <c r="E344" s="54">
        <f t="shared" si="37"/>
        <v>0</v>
      </c>
      <c r="F344" s="54"/>
      <c r="G344" s="54">
        <f t="shared" si="38"/>
        <v>0</v>
      </c>
      <c r="H344" s="54"/>
      <c r="I344" s="54">
        <f t="shared" si="39"/>
        <v>0</v>
      </c>
      <c r="J344" s="56" t="str">
        <f t="shared" si="35"/>
        <v>NA</v>
      </c>
      <c r="K344" s="54">
        <f t="shared" si="40"/>
        <v>0</v>
      </c>
    </row>
    <row r="345" spans="2:11" x14ac:dyDescent="0.3">
      <c r="B345" s="41">
        <f t="shared" si="41"/>
        <v>334</v>
      </c>
      <c r="C345" s="52">
        <f t="shared" si="36"/>
        <v>0</v>
      </c>
      <c r="E345" s="54">
        <f t="shared" si="37"/>
        <v>0</v>
      </c>
      <c r="F345" s="54"/>
      <c r="G345" s="54">
        <f t="shared" si="38"/>
        <v>0</v>
      </c>
      <c r="H345" s="54"/>
      <c r="I345" s="54">
        <f t="shared" si="39"/>
        <v>0</v>
      </c>
      <c r="J345" s="56" t="str">
        <f t="shared" si="35"/>
        <v>NA</v>
      </c>
      <c r="K345" s="54">
        <f t="shared" si="40"/>
        <v>0</v>
      </c>
    </row>
    <row r="346" spans="2:11" x14ac:dyDescent="0.3">
      <c r="B346" s="41">
        <f t="shared" si="41"/>
        <v>335</v>
      </c>
      <c r="C346" s="52">
        <f t="shared" si="36"/>
        <v>0</v>
      </c>
      <c r="E346" s="54">
        <f t="shared" si="37"/>
        <v>0</v>
      </c>
      <c r="F346" s="54"/>
      <c r="G346" s="54">
        <f t="shared" si="38"/>
        <v>0</v>
      </c>
      <c r="H346" s="54"/>
      <c r="I346" s="54">
        <f t="shared" si="39"/>
        <v>0</v>
      </c>
      <c r="J346" s="56" t="str">
        <f t="shared" si="35"/>
        <v>NA</v>
      </c>
      <c r="K346" s="54">
        <f t="shared" si="40"/>
        <v>0</v>
      </c>
    </row>
    <row r="347" spans="2:11" x14ac:dyDescent="0.3">
      <c r="B347" s="41">
        <f t="shared" si="41"/>
        <v>336</v>
      </c>
      <c r="C347" s="52">
        <f t="shared" si="36"/>
        <v>0</v>
      </c>
      <c r="E347" s="54">
        <f t="shared" si="37"/>
        <v>0</v>
      </c>
      <c r="F347" s="54"/>
      <c r="G347" s="54">
        <f t="shared" si="38"/>
        <v>0</v>
      </c>
      <c r="H347" s="54"/>
      <c r="I347" s="54">
        <f t="shared" si="39"/>
        <v>0</v>
      </c>
      <c r="J347" s="56" t="str">
        <f t="shared" si="35"/>
        <v>NA</v>
      </c>
      <c r="K347" s="54">
        <f t="shared" si="40"/>
        <v>0</v>
      </c>
    </row>
    <row r="348" spans="2:11" x14ac:dyDescent="0.3">
      <c r="B348" s="41">
        <f t="shared" si="41"/>
        <v>337</v>
      </c>
      <c r="C348" s="52">
        <f t="shared" si="36"/>
        <v>0</v>
      </c>
      <c r="E348" s="54">
        <f t="shared" si="37"/>
        <v>0</v>
      </c>
      <c r="F348" s="54"/>
      <c r="G348" s="54">
        <f t="shared" si="38"/>
        <v>0</v>
      </c>
      <c r="H348" s="54"/>
      <c r="I348" s="54">
        <f t="shared" si="39"/>
        <v>0</v>
      </c>
      <c r="J348" s="56" t="str">
        <f t="shared" si="35"/>
        <v>NA</v>
      </c>
      <c r="K348" s="54">
        <f t="shared" si="40"/>
        <v>0</v>
      </c>
    </row>
    <row r="349" spans="2:11" x14ac:dyDescent="0.3">
      <c r="B349" s="41">
        <f t="shared" si="41"/>
        <v>338</v>
      </c>
      <c r="C349" s="52">
        <f t="shared" si="36"/>
        <v>0</v>
      </c>
      <c r="E349" s="54">
        <f t="shared" si="37"/>
        <v>0</v>
      </c>
      <c r="F349" s="54"/>
      <c r="G349" s="54">
        <f t="shared" si="38"/>
        <v>0</v>
      </c>
      <c r="H349" s="54"/>
      <c r="I349" s="54">
        <f t="shared" si="39"/>
        <v>0</v>
      </c>
      <c r="J349" s="56" t="str">
        <f t="shared" si="35"/>
        <v>NA</v>
      </c>
      <c r="K349" s="54">
        <f t="shared" si="40"/>
        <v>0</v>
      </c>
    </row>
    <row r="350" spans="2:11" x14ac:dyDescent="0.3">
      <c r="B350" s="41">
        <f t="shared" si="41"/>
        <v>339</v>
      </c>
      <c r="C350" s="52">
        <f t="shared" si="36"/>
        <v>0</v>
      </c>
      <c r="E350" s="54">
        <f t="shared" si="37"/>
        <v>0</v>
      </c>
      <c r="F350" s="54"/>
      <c r="G350" s="54">
        <f t="shared" si="38"/>
        <v>0</v>
      </c>
      <c r="H350" s="54"/>
      <c r="I350" s="54">
        <f t="shared" si="39"/>
        <v>0</v>
      </c>
      <c r="J350" s="56" t="str">
        <f t="shared" si="35"/>
        <v>NA</v>
      </c>
      <c r="K350" s="54">
        <f t="shared" si="40"/>
        <v>0</v>
      </c>
    </row>
    <row r="351" spans="2:11" x14ac:dyDescent="0.3">
      <c r="B351" s="41">
        <f t="shared" si="41"/>
        <v>340</v>
      </c>
      <c r="C351" s="52">
        <f t="shared" si="36"/>
        <v>0</v>
      </c>
      <c r="E351" s="54">
        <f t="shared" si="37"/>
        <v>0</v>
      </c>
      <c r="F351" s="54"/>
      <c r="G351" s="54">
        <f t="shared" si="38"/>
        <v>0</v>
      </c>
      <c r="H351" s="54"/>
      <c r="I351" s="54">
        <f t="shared" si="39"/>
        <v>0</v>
      </c>
      <c r="J351" s="56" t="str">
        <f t="shared" si="35"/>
        <v>NA</v>
      </c>
      <c r="K351" s="54">
        <f t="shared" si="40"/>
        <v>0</v>
      </c>
    </row>
    <row r="352" spans="2:11" x14ac:dyDescent="0.3">
      <c r="B352" s="41">
        <f t="shared" si="41"/>
        <v>341</v>
      </c>
      <c r="C352" s="52">
        <f t="shared" si="36"/>
        <v>0</v>
      </c>
      <c r="E352" s="54">
        <f t="shared" si="37"/>
        <v>0</v>
      </c>
      <c r="F352" s="54"/>
      <c r="G352" s="54">
        <f t="shared" si="38"/>
        <v>0</v>
      </c>
      <c r="H352" s="54"/>
      <c r="I352" s="54">
        <f t="shared" si="39"/>
        <v>0</v>
      </c>
      <c r="J352" s="56" t="str">
        <f t="shared" si="35"/>
        <v>NA</v>
      </c>
      <c r="K352" s="54">
        <f t="shared" si="40"/>
        <v>0</v>
      </c>
    </row>
    <row r="353" spans="2:11" x14ac:dyDescent="0.3">
      <c r="B353" s="41">
        <f t="shared" si="41"/>
        <v>342</v>
      </c>
      <c r="C353" s="52">
        <f t="shared" si="36"/>
        <v>0</v>
      </c>
      <c r="E353" s="54">
        <f t="shared" si="37"/>
        <v>0</v>
      </c>
      <c r="F353" s="54"/>
      <c r="G353" s="54">
        <f t="shared" si="38"/>
        <v>0</v>
      </c>
      <c r="H353" s="54"/>
      <c r="I353" s="54">
        <f t="shared" si="39"/>
        <v>0</v>
      </c>
      <c r="J353" s="56" t="str">
        <f t="shared" si="35"/>
        <v>NA</v>
      </c>
      <c r="K353" s="54">
        <f t="shared" si="40"/>
        <v>0</v>
      </c>
    </row>
    <row r="354" spans="2:11" x14ac:dyDescent="0.3">
      <c r="B354" s="41">
        <f t="shared" si="41"/>
        <v>343</v>
      </c>
      <c r="C354" s="52">
        <f t="shared" si="36"/>
        <v>0</v>
      </c>
      <c r="E354" s="54">
        <f t="shared" si="37"/>
        <v>0</v>
      </c>
      <c r="F354" s="54"/>
      <c r="G354" s="54">
        <f t="shared" si="38"/>
        <v>0</v>
      </c>
      <c r="H354" s="54"/>
      <c r="I354" s="54">
        <f t="shared" si="39"/>
        <v>0</v>
      </c>
      <c r="J354" s="56" t="str">
        <f t="shared" si="35"/>
        <v>NA</v>
      </c>
      <c r="K354" s="54">
        <f t="shared" si="40"/>
        <v>0</v>
      </c>
    </row>
    <row r="355" spans="2:11" x14ac:dyDescent="0.3">
      <c r="B355" s="41">
        <f t="shared" si="41"/>
        <v>344</v>
      </c>
      <c r="C355" s="52">
        <f t="shared" si="36"/>
        <v>0</v>
      </c>
      <c r="E355" s="54">
        <f t="shared" si="37"/>
        <v>0</v>
      </c>
      <c r="F355" s="54"/>
      <c r="G355" s="54">
        <f t="shared" si="38"/>
        <v>0</v>
      </c>
      <c r="H355" s="54"/>
      <c r="I355" s="54">
        <f t="shared" si="39"/>
        <v>0</v>
      </c>
      <c r="J355" s="56" t="str">
        <f t="shared" si="35"/>
        <v>NA</v>
      </c>
      <c r="K355" s="54">
        <f t="shared" si="40"/>
        <v>0</v>
      </c>
    </row>
    <row r="356" spans="2:11" x14ac:dyDescent="0.3">
      <c r="B356" s="41">
        <f t="shared" si="41"/>
        <v>345</v>
      </c>
      <c r="C356" s="52">
        <f t="shared" si="36"/>
        <v>0</v>
      </c>
      <c r="E356" s="54">
        <f t="shared" si="37"/>
        <v>0</v>
      </c>
      <c r="F356" s="54"/>
      <c r="G356" s="54">
        <f t="shared" si="38"/>
        <v>0</v>
      </c>
      <c r="H356" s="54"/>
      <c r="I356" s="54">
        <f t="shared" si="39"/>
        <v>0</v>
      </c>
      <c r="J356" s="56" t="str">
        <f t="shared" si="35"/>
        <v>NA</v>
      </c>
      <c r="K356" s="54">
        <f t="shared" si="40"/>
        <v>0</v>
      </c>
    </row>
    <row r="357" spans="2:11" x14ac:dyDescent="0.3">
      <c r="B357" s="41">
        <f t="shared" si="41"/>
        <v>346</v>
      </c>
      <c r="C357" s="52">
        <f t="shared" si="36"/>
        <v>0</v>
      </c>
      <c r="E357" s="54">
        <f t="shared" si="37"/>
        <v>0</v>
      </c>
      <c r="F357" s="54"/>
      <c r="G357" s="54">
        <f t="shared" si="38"/>
        <v>0</v>
      </c>
      <c r="H357" s="54"/>
      <c r="I357" s="54">
        <f t="shared" si="39"/>
        <v>0</v>
      </c>
      <c r="J357" s="56" t="str">
        <f t="shared" si="35"/>
        <v>NA</v>
      </c>
      <c r="K357" s="54">
        <f t="shared" si="40"/>
        <v>0</v>
      </c>
    </row>
    <row r="358" spans="2:11" x14ac:dyDescent="0.3">
      <c r="B358" s="41">
        <f t="shared" si="41"/>
        <v>347</v>
      </c>
      <c r="C358" s="52">
        <f t="shared" si="36"/>
        <v>0</v>
      </c>
      <c r="E358" s="54">
        <f t="shared" si="37"/>
        <v>0</v>
      </c>
      <c r="F358" s="54"/>
      <c r="G358" s="54">
        <f t="shared" si="38"/>
        <v>0</v>
      </c>
      <c r="H358" s="54"/>
      <c r="I358" s="54">
        <f t="shared" si="39"/>
        <v>0</v>
      </c>
      <c r="J358" s="56" t="str">
        <f t="shared" si="35"/>
        <v>NA</v>
      </c>
      <c r="K358" s="54">
        <f t="shared" si="40"/>
        <v>0</v>
      </c>
    </row>
    <row r="359" spans="2:11" x14ac:dyDescent="0.3">
      <c r="B359" s="41">
        <f t="shared" si="41"/>
        <v>348</v>
      </c>
      <c r="C359" s="52">
        <f t="shared" si="36"/>
        <v>0</v>
      </c>
      <c r="E359" s="54">
        <f t="shared" si="37"/>
        <v>0</v>
      </c>
      <c r="F359" s="54"/>
      <c r="G359" s="54">
        <f t="shared" si="38"/>
        <v>0</v>
      </c>
      <c r="H359" s="54"/>
      <c r="I359" s="54">
        <f t="shared" si="39"/>
        <v>0</v>
      </c>
      <c r="J359" s="56" t="str">
        <f t="shared" si="35"/>
        <v>NA</v>
      </c>
      <c r="K359" s="54">
        <f t="shared" si="40"/>
        <v>0</v>
      </c>
    </row>
    <row r="360" spans="2:11" x14ac:dyDescent="0.3">
      <c r="B360" s="41">
        <f t="shared" si="41"/>
        <v>349</v>
      </c>
      <c r="C360" s="52">
        <f t="shared" si="36"/>
        <v>0</v>
      </c>
      <c r="E360" s="54">
        <f t="shared" si="37"/>
        <v>0</v>
      </c>
      <c r="F360" s="54"/>
      <c r="G360" s="54">
        <f t="shared" si="38"/>
        <v>0</v>
      </c>
      <c r="H360" s="54"/>
      <c r="I360" s="54">
        <f t="shared" si="39"/>
        <v>0</v>
      </c>
      <c r="J360" s="56" t="str">
        <f t="shared" si="35"/>
        <v>NA</v>
      </c>
      <c r="K360" s="54">
        <f t="shared" si="40"/>
        <v>0</v>
      </c>
    </row>
    <row r="361" spans="2:11" x14ac:dyDescent="0.3">
      <c r="B361" s="41">
        <f t="shared" si="41"/>
        <v>350</v>
      </c>
      <c r="C361" s="52">
        <f t="shared" si="36"/>
        <v>0</v>
      </c>
      <c r="E361" s="54">
        <f t="shared" si="37"/>
        <v>0</v>
      </c>
      <c r="F361" s="54"/>
      <c r="G361" s="54">
        <f t="shared" si="38"/>
        <v>0</v>
      </c>
      <c r="H361" s="54"/>
      <c r="I361" s="54">
        <f t="shared" si="39"/>
        <v>0</v>
      </c>
      <c r="J361" s="56" t="str">
        <f t="shared" si="35"/>
        <v>NA</v>
      </c>
      <c r="K361" s="54">
        <f t="shared" si="40"/>
        <v>0</v>
      </c>
    </row>
    <row r="362" spans="2:11" x14ac:dyDescent="0.3">
      <c r="B362" s="41">
        <f t="shared" si="41"/>
        <v>351</v>
      </c>
      <c r="C362" s="52">
        <f t="shared" si="36"/>
        <v>0</v>
      </c>
      <c r="E362" s="54">
        <f t="shared" si="37"/>
        <v>0</v>
      </c>
      <c r="F362" s="54"/>
      <c r="G362" s="54">
        <f t="shared" si="38"/>
        <v>0</v>
      </c>
      <c r="H362" s="54"/>
      <c r="I362" s="54">
        <f t="shared" si="39"/>
        <v>0</v>
      </c>
      <c r="J362" s="56" t="str">
        <f t="shared" si="35"/>
        <v>NA</v>
      </c>
      <c r="K362" s="54">
        <f t="shared" si="40"/>
        <v>0</v>
      </c>
    </row>
    <row r="363" spans="2:11" x14ac:dyDescent="0.3">
      <c r="B363" s="41">
        <f t="shared" si="41"/>
        <v>352</v>
      </c>
      <c r="C363" s="52">
        <f t="shared" si="36"/>
        <v>0</v>
      </c>
      <c r="E363" s="54">
        <f t="shared" si="37"/>
        <v>0</v>
      </c>
      <c r="F363" s="54"/>
      <c r="G363" s="54">
        <f t="shared" si="38"/>
        <v>0</v>
      </c>
      <c r="H363" s="54"/>
      <c r="I363" s="54">
        <f t="shared" si="39"/>
        <v>0</v>
      </c>
      <c r="J363" s="56" t="str">
        <f t="shared" si="35"/>
        <v>NA</v>
      </c>
      <c r="K363" s="54">
        <f t="shared" si="40"/>
        <v>0</v>
      </c>
    </row>
    <row r="364" spans="2:11" x14ac:dyDescent="0.3">
      <c r="B364" s="41">
        <f t="shared" si="41"/>
        <v>353</v>
      </c>
      <c r="C364" s="52">
        <f t="shared" si="36"/>
        <v>0</v>
      </c>
      <c r="E364" s="54">
        <f t="shared" si="37"/>
        <v>0</v>
      </c>
      <c r="F364" s="54"/>
      <c r="G364" s="54">
        <f t="shared" si="38"/>
        <v>0</v>
      </c>
      <c r="H364" s="54"/>
      <c r="I364" s="54">
        <f t="shared" si="39"/>
        <v>0</v>
      </c>
      <c r="J364" s="56" t="str">
        <f t="shared" si="35"/>
        <v>NA</v>
      </c>
      <c r="K364" s="54">
        <f t="shared" si="40"/>
        <v>0</v>
      </c>
    </row>
    <row r="365" spans="2:11" x14ac:dyDescent="0.3">
      <c r="B365" s="41">
        <f t="shared" si="41"/>
        <v>354</v>
      </c>
      <c r="C365" s="52">
        <f t="shared" si="36"/>
        <v>0</v>
      </c>
      <c r="E365" s="54">
        <f t="shared" si="37"/>
        <v>0</v>
      </c>
      <c r="F365" s="54"/>
      <c r="G365" s="54">
        <f t="shared" si="38"/>
        <v>0</v>
      </c>
      <c r="H365" s="54"/>
      <c r="I365" s="54">
        <f t="shared" si="39"/>
        <v>0</v>
      </c>
      <c r="J365" s="56" t="str">
        <f t="shared" si="35"/>
        <v>NA</v>
      </c>
      <c r="K365" s="54">
        <f t="shared" si="40"/>
        <v>0</v>
      </c>
    </row>
    <row r="366" spans="2:11" x14ac:dyDescent="0.3">
      <c r="B366" s="41">
        <f t="shared" si="41"/>
        <v>355</v>
      </c>
      <c r="C366" s="52">
        <f t="shared" si="36"/>
        <v>0</v>
      </c>
      <c r="E366" s="54">
        <f t="shared" si="37"/>
        <v>0</v>
      </c>
      <c r="F366" s="54"/>
      <c r="G366" s="54">
        <f t="shared" si="38"/>
        <v>0</v>
      </c>
      <c r="H366" s="54"/>
      <c r="I366" s="54">
        <f t="shared" si="39"/>
        <v>0</v>
      </c>
      <c r="J366" s="56" t="str">
        <f t="shared" si="35"/>
        <v>NA</v>
      </c>
      <c r="K366" s="54">
        <f t="shared" si="40"/>
        <v>0</v>
      </c>
    </row>
    <row r="367" spans="2:11" x14ac:dyDescent="0.3">
      <c r="B367" s="41">
        <f t="shared" si="41"/>
        <v>356</v>
      </c>
      <c r="C367" s="52">
        <f t="shared" si="36"/>
        <v>0</v>
      </c>
      <c r="E367" s="54">
        <f t="shared" si="37"/>
        <v>0</v>
      </c>
      <c r="F367" s="54"/>
      <c r="G367" s="54">
        <f t="shared" si="38"/>
        <v>0</v>
      </c>
      <c r="H367" s="54"/>
      <c r="I367" s="54">
        <f t="shared" si="39"/>
        <v>0</v>
      </c>
      <c r="J367" s="56" t="str">
        <f t="shared" si="35"/>
        <v>NA</v>
      </c>
      <c r="K367" s="54">
        <f t="shared" si="40"/>
        <v>0</v>
      </c>
    </row>
    <row r="368" spans="2:11" x14ac:dyDescent="0.3">
      <c r="B368" s="41">
        <f t="shared" si="41"/>
        <v>357</v>
      </c>
      <c r="C368" s="52">
        <f t="shared" si="36"/>
        <v>0</v>
      </c>
      <c r="E368" s="54">
        <f t="shared" si="37"/>
        <v>0</v>
      </c>
      <c r="F368" s="54"/>
      <c r="G368" s="54">
        <f t="shared" si="38"/>
        <v>0</v>
      </c>
      <c r="H368" s="54"/>
      <c r="I368" s="54">
        <f t="shared" si="39"/>
        <v>0</v>
      </c>
      <c r="J368" s="56" t="str">
        <f t="shared" si="35"/>
        <v>NA</v>
      </c>
      <c r="K368" s="54">
        <f t="shared" si="40"/>
        <v>0</v>
      </c>
    </row>
    <row r="369" spans="2:11" x14ac:dyDescent="0.3">
      <c r="B369" s="41">
        <f t="shared" si="41"/>
        <v>358</v>
      </c>
      <c r="C369" s="52">
        <f t="shared" si="36"/>
        <v>0</v>
      </c>
      <c r="E369" s="54">
        <f t="shared" si="37"/>
        <v>0</v>
      </c>
      <c r="F369" s="54"/>
      <c r="G369" s="54">
        <f t="shared" si="38"/>
        <v>0</v>
      </c>
      <c r="H369" s="54"/>
      <c r="I369" s="54">
        <f t="shared" si="39"/>
        <v>0</v>
      </c>
      <c r="J369" s="56" t="str">
        <f t="shared" si="35"/>
        <v>NA</v>
      </c>
      <c r="K369" s="54">
        <f t="shared" si="40"/>
        <v>0</v>
      </c>
    </row>
    <row r="370" spans="2:11" x14ac:dyDescent="0.3">
      <c r="B370" s="41">
        <f t="shared" si="41"/>
        <v>359</v>
      </c>
      <c r="C370" s="52">
        <f t="shared" si="36"/>
        <v>0</v>
      </c>
      <c r="E370" s="54">
        <f t="shared" si="37"/>
        <v>0</v>
      </c>
      <c r="F370" s="54"/>
      <c r="G370" s="54">
        <f t="shared" si="38"/>
        <v>0</v>
      </c>
      <c r="H370" s="54"/>
      <c r="I370" s="54">
        <f t="shared" si="39"/>
        <v>0</v>
      </c>
      <c r="J370" s="56" t="str">
        <f t="shared" si="35"/>
        <v>NA</v>
      </c>
      <c r="K370" s="54">
        <f t="shared" si="40"/>
        <v>0</v>
      </c>
    </row>
    <row r="371" spans="2:11" x14ac:dyDescent="0.3">
      <c r="B371" s="41">
        <f t="shared" si="41"/>
        <v>360</v>
      </c>
      <c r="C371" s="52">
        <f t="shared" si="36"/>
        <v>0</v>
      </c>
      <c r="E371" s="54">
        <f t="shared" si="37"/>
        <v>0</v>
      </c>
      <c r="F371" s="54"/>
      <c r="G371" s="54">
        <f t="shared" si="38"/>
        <v>0</v>
      </c>
      <c r="H371" s="54"/>
      <c r="I371" s="54">
        <f t="shared" si="39"/>
        <v>0</v>
      </c>
      <c r="J371" s="56" t="str">
        <f t="shared" si="35"/>
        <v>NA</v>
      </c>
      <c r="K371" s="54">
        <f t="shared" si="40"/>
        <v>0</v>
      </c>
    </row>
  </sheetData>
  <mergeCells count="4">
    <mergeCell ref="G4:I4"/>
    <mergeCell ref="O4:P4"/>
    <mergeCell ref="G5:I5"/>
    <mergeCell ref="O5:P5"/>
  </mergeCells>
  <conditionalFormatting sqref="G4:I4">
    <cfRule type="containsText" dxfId="6" priority="4" stopIfTrue="1" operator="containsText" text="OK">
      <formula>NOT(ISERROR(SEARCH("OK",G4)))</formula>
    </cfRule>
    <cfRule type="containsText" dxfId="5" priority="5" stopIfTrue="1" operator="containsText" text="Fix">
      <formula>NOT(ISERROR(SEARCH("Fix",G4)))</formula>
    </cfRule>
  </conditionalFormatting>
  <conditionalFormatting sqref="G4:I4">
    <cfRule type="containsText" dxfId="4" priority="1" stopIfTrue="1" operator="containsText" text="Correct">
      <formula>NOT(ISERROR(SEARCH("Correct",G4)))</formula>
    </cfRule>
    <cfRule type="containsText" dxfId="3" priority="2" stopIfTrue="1" operator="containsText" text="OK">
      <formula>NOT(ISERROR(SEARCH("OK",G4)))</formula>
    </cfRule>
    <cfRule type="containsText" dxfId="2" priority="3" stopIfTrue="1" operator="containsText" text="Fix">
      <formula>NOT(ISERROR(SEARCH("Fix",G4)))</formula>
    </cfRule>
  </conditionalFormatting>
  <pageMargins left="0.7" right="0.7" top="0.75" bottom="0.75" header="0.3" footer="0.3"/>
  <drawing r:id="rId1"/>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1"/>
  <sheetViews>
    <sheetView zoomScaleNormal="100" zoomScalePageLayoutView="200" workbookViewId="0"/>
  </sheetViews>
  <sheetFormatPr defaultColWidth="8.6640625" defaultRowHeight="18.75" x14ac:dyDescent="0.3"/>
  <cols>
    <col min="1" max="1" width="4.88671875" style="1" customWidth="1"/>
    <col min="2" max="16384" width="8.6640625" style="1"/>
  </cols>
  <sheetData>
    <row r="2" spans="2:2" ht="23.25" x14ac:dyDescent="0.35">
      <c r="B2" s="5" t="s">
        <v>98</v>
      </c>
    </row>
    <row r="4" spans="2:2" x14ac:dyDescent="0.3">
      <c r="B4" s="12">
        <v>5</v>
      </c>
    </row>
    <row r="5" spans="2:2" x14ac:dyDescent="0.3">
      <c r="B5" s="12">
        <v>25</v>
      </c>
    </row>
    <row r="7" spans="2:2" x14ac:dyDescent="0.3">
      <c r="B7" s="1">
        <f>B4+B5-'Data Source'!B3</f>
        <v>18</v>
      </c>
    </row>
    <row r="9" spans="2:2" x14ac:dyDescent="0.3">
      <c r="B9" s="1">
        <f>B7+2</f>
        <v>20</v>
      </c>
    </row>
    <row r="11" spans="2:2" x14ac:dyDescent="0.3">
      <c r="B11" s="36" t="s">
        <v>118</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I80"/>
  <sheetViews>
    <sheetView zoomScaleNormal="100" zoomScalePageLayoutView="175" workbookViewId="0"/>
  </sheetViews>
  <sheetFormatPr defaultColWidth="8.6640625" defaultRowHeight="18.75" x14ac:dyDescent="0.3"/>
  <cols>
    <col min="1" max="1" width="4.88671875" style="1" customWidth="1"/>
    <col min="2" max="2" width="18.21875" style="1" customWidth="1"/>
    <col min="3" max="3" width="4.6640625" style="1" customWidth="1"/>
    <col min="4" max="4" width="11.6640625" style="1" customWidth="1"/>
    <col min="5" max="5" width="12.44140625" style="1" customWidth="1"/>
    <col min="6" max="6" width="15.33203125" style="1" customWidth="1"/>
    <col min="7" max="7" width="16.6640625" style="1" customWidth="1"/>
    <col min="8" max="8" width="2.6640625" style="1" customWidth="1"/>
    <col min="9" max="9" width="10.88671875" style="1" customWidth="1"/>
    <col min="10" max="12" width="11.6640625" style="1" customWidth="1"/>
    <col min="13" max="16384" width="8.6640625" style="1"/>
  </cols>
  <sheetData>
    <row r="2" spans="2:7" ht="23.25" x14ac:dyDescent="0.35">
      <c r="B2" s="5" t="s">
        <v>108</v>
      </c>
    </row>
    <row r="3" spans="2:7" x14ac:dyDescent="0.3">
      <c r="G3" s="2" t="s">
        <v>8</v>
      </c>
    </row>
    <row r="5" spans="2:7" x14ac:dyDescent="0.3">
      <c r="B5" s="1" t="s">
        <v>0</v>
      </c>
      <c r="D5" s="32">
        <v>1</v>
      </c>
      <c r="E5" s="74">
        <v>5</v>
      </c>
      <c r="F5" s="127">
        <v>3</v>
      </c>
      <c r="G5" s="130">
        <f>D5+E5+F5</f>
        <v>9</v>
      </c>
    </row>
    <row r="6" spans="2:7" x14ac:dyDescent="0.3">
      <c r="B6" s="1" t="s">
        <v>5</v>
      </c>
      <c r="D6" s="33"/>
      <c r="E6" s="124"/>
      <c r="F6" s="128"/>
      <c r="G6" s="131">
        <f>SUM(D5:F5)</f>
        <v>9</v>
      </c>
    </row>
    <row r="7" spans="2:7" x14ac:dyDescent="0.3">
      <c r="D7" s="33"/>
      <c r="E7" s="124"/>
      <c r="F7" s="128"/>
      <c r="G7" s="131"/>
    </row>
    <row r="8" spans="2:7" x14ac:dyDescent="0.3">
      <c r="B8" s="1" t="s">
        <v>1</v>
      </c>
      <c r="D8" s="33">
        <v>9</v>
      </c>
      <c r="E8" s="124">
        <v>2</v>
      </c>
      <c r="F8" s="128">
        <v>6</v>
      </c>
      <c r="G8" s="131">
        <f>D8-E8-F8</f>
        <v>1</v>
      </c>
    </row>
    <row r="9" spans="2:7" x14ac:dyDescent="0.3">
      <c r="B9" s="1" t="s">
        <v>6</v>
      </c>
      <c r="D9" s="33"/>
      <c r="E9" s="124"/>
      <c r="F9" s="128"/>
      <c r="G9" s="131">
        <f>SUM(D8:F8)-SUM(D5:F5)</f>
        <v>8</v>
      </c>
    </row>
    <row r="10" spans="2:7" x14ac:dyDescent="0.3">
      <c r="D10" s="33"/>
      <c r="E10" s="124"/>
      <c r="F10" s="128"/>
      <c r="G10" s="131"/>
    </row>
    <row r="11" spans="2:7" x14ac:dyDescent="0.3">
      <c r="B11" s="1" t="s">
        <v>3</v>
      </c>
      <c r="D11" s="33">
        <v>3</v>
      </c>
      <c r="E11" s="124">
        <v>5</v>
      </c>
      <c r="F11" s="128">
        <v>2</v>
      </c>
      <c r="G11" s="131">
        <f>D11*E11*F11</f>
        <v>30</v>
      </c>
    </row>
    <row r="12" spans="2:7" x14ac:dyDescent="0.3">
      <c r="D12" s="33"/>
      <c r="E12" s="124"/>
      <c r="F12" s="128"/>
      <c r="G12" s="131"/>
    </row>
    <row r="13" spans="2:7" x14ac:dyDescent="0.3">
      <c r="B13" s="1" t="s">
        <v>2</v>
      </c>
      <c r="D13" s="34">
        <v>100</v>
      </c>
      <c r="E13" s="129">
        <v>20</v>
      </c>
      <c r="F13" s="125"/>
      <c r="G13" s="132">
        <f>D13/E13</f>
        <v>5</v>
      </c>
    </row>
    <row r="14" spans="2:7" x14ac:dyDescent="0.3">
      <c r="D14" s="4"/>
      <c r="E14" s="4"/>
      <c r="F14" s="4"/>
    </row>
    <row r="15" spans="2:7" x14ac:dyDescent="0.3">
      <c r="B15" s="36" t="s">
        <v>236</v>
      </c>
      <c r="D15" s="4"/>
      <c r="E15" s="4"/>
      <c r="F15" s="4"/>
    </row>
    <row r="16" spans="2:7" x14ac:dyDescent="0.3">
      <c r="B16" s="1" t="s">
        <v>150</v>
      </c>
      <c r="D16" s="4"/>
      <c r="E16" s="4"/>
      <c r="F16" s="4"/>
    </row>
    <row r="17" spans="2:6" x14ac:dyDescent="0.3">
      <c r="D17" s="4"/>
      <c r="E17" s="4"/>
      <c r="F17" s="4"/>
    </row>
    <row r="18" spans="2:6" x14ac:dyDescent="0.3">
      <c r="B18" s="123" t="s">
        <v>7</v>
      </c>
    </row>
    <row r="19" spans="2:6" x14ac:dyDescent="0.3">
      <c r="B19" s="123"/>
      <c r="D19" s="135"/>
      <c r="E19" s="136"/>
      <c r="F19" s="137"/>
    </row>
    <row r="20" spans="2:6" x14ac:dyDescent="0.3">
      <c r="B20" s="138" t="s">
        <v>188</v>
      </c>
      <c r="D20" s="135">
        <v>20</v>
      </c>
      <c r="E20" s="136"/>
      <c r="F20" s="137"/>
    </row>
    <row r="21" spans="2:6" x14ac:dyDescent="0.3">
      <c r="B21" s="138" t="s">
        <v>189</v>
      </c>
      <c r="D21" s="136">
        <v>0.03</v>
      </c>
      <c r="E21" s="136"/>
      <c r="F21" s="137"/>
    </row>
    <row r="22" spans="2:6" x14ac:dyDescent="0.3">
      <c r="B22" s="138" t="s">
        <v>190</v>
      </c>
      <c r="D22" s="139">
        <v>5</v>
      </c>
      <c r="E22" s="136"/>
      <c r="F22" s="137"/>
    </row>
    <row r="23" spans="2:6" x14ac:dyDescent="0.3">
      <c r="B23" s="123"/>
      <c r="D23" s="135"/>
      <c r="E23" s="136"/>
      <c r="F23" s="137"/>
    </row>
    <row r="24" spans="2:6" x14ac:dyDescent="0.3">
      <c r="B24" s="1" t="s">
        <v>194</v>
      </c>
      <c r="E24" s="4"/>
      <c r="F24" s="4"/>
    </row>
    <row r="25" spans="2:6" x14ac:dyDescent="0.3">
      <c r="B25" s="392"/>
      <c r="C25" s="393"/>
      <c r="D25" s="394"/>
      <c r="E25" s="4"/>
      <c r="F25" s="4"/>
    </row>
    <row r="26" spans="2:6" x14ac:dyDescent="0.3">
      <c r="D26" s="4"/>
      <c r="E26" s="4"/>
      <c r="F26" s="4"/>
    </row>
    <row r="27" spans="2:6" x14ac:dyDescent="0.3">
      <c r="B27" s="158" t="s">
        <v>125</v>
      </c>
      <c r="C27" s="159"/>
      <c r="D27" s="160"/>
      <c r="E27" s="4"/>
      <c r="F27" s="4"/>
    </row>
    <row r="28" spans="2:6" x14ac:dyDescent="0.3">
      <c r="B28" s="161" t="s">
        <v>187</v>
      </c>
      <c r="C28" s="162" t="s">
        <v>186</v>
      </c>
      <c r="D28" s="163">
        <f>D20*(1+D21)^(D22-1)</f>
        <v>22.510176199999997</v>
      </c>
      <c r="E28" s="4"/>
      <c r="F28" s="4"/>
    </row>
    <row r="29" spans="2:6" x14ac:dyDescent="0.3">
      <c r="D29" s="4"/>
      <c r="E29" s="4"/>
      <c r="F29" s="4"/>
    </row>
    <row r="30" spans="2:6" x14ac:dyDescent="0.3">
      <c r="D30" s="4"/>
      <c r="E30" s="4"/>
      <c r="F30" s="4"/>
    </row>
    <row r="31" spans="2:6" x14ac:dyDescent="0.3">
      <c r="D31" s="4"/>
      <c r="E31" s="4"/>
      <c r="F31" s="4"/>
    </row>
    <row r="32" spans="2:6" x14ac:dyDescent="0.3">
      <c r="D32" s="4"/>
      <c r="E32" s="4"/>
      <c r="F32" s="4"/>
    </row>
    <row r="33" spans="2:9" x14ac:dyDescent="0.3">
      <c r="D33" s="4"/>
      <c r="E33" s="4"/>
      <c r="F33" s="4"/>
    </row>
    <row r="34" spans="2:9" x14ac:dyDescent="0.3">
      <c r="B34" s="123" t="s">
        <v>4</v>
      </c>
    </row>
    <row r="36" spans="2:9" x14ac:dyDescent="0.3">
      <c r="B36" s="141" t="s">
        <v>198</v>
      </c>
      <c r="D36" s="142" t="s">
        <v>191</v>
      </c>
      <c r="G36" s="6">
        <f>D28^G13*G11/G9+(G6-G5)+G8</f>
        <v>21673335.81603295</v>
      </c>
      <c r="I36" s="15" t="s">
        <v>9</v>
      </c>
    </row>
    <row r="37" spans="2:9" x14ac:dyDescent="0.3">
      <c r="B37" s="176" t="s">
        <v>199</v>
      </c>
      <c r="C37" s="177"/>
      <c r="D37" s="177" t="s">
        <v>197</v>
      </c>
    </row>
    <row r="38" spans="2:9" x14ac:dyDescent="0.3">
      <c r="B38" s="140" t="s">
        <v>200</v>
      </c>
      <c r="D38" s="143" t="s">
        <v>192</v>
      </c>
      <c r="G38" s="7" t="s">
        <v>204</v>
      </c>
    </row>
    <row r="39" spans="2:9" x14ac:dyDescent="0.3">
      <c r="B39" s="140" t="s">
        <v>201</v>
      </c>
      <c r="D39" s="143" t="s">
        <v>193</v>
      </c>
    </row>
    <row r="40" spans="2:9" x14ac:dyDescent="0.3">
      <c r="B40" s="174" t="s">
        <v>202</v>
      </c>
      <c r="C40" s="175"/>
      <c r="D40" s="175" t="s">
        <v>195</v>
      </c>
    </row>
    <row r="41" spans="2:9" x14ac:dyDescent="0.3">
      <c r="B41" s="174" t="s">
        <v>203</v>
      </c>
      <c r="C41" s="175"/>
      <c r="D41" s="175" t="s">
        <v>196</v>
      </c>
    </row>
    <row r="43" spans="2:9" x14ac:dyDescent="0.3">
      <c r="B43" s="123" t="s">
        <v>45</v>
      </c>
    </row>
    <row r="44" spans="2:9" x14ac:dyDescent="0.3">
      <c r="D44" s="85"/>
    </row>
    <row r="45" spans="2:9" x14ac:dyDescent="0.3">
      <c r="B45" s="36" t="s">
        <v>137</v>
      </c>
      <c r="D45" s="85"/>
    </row>
    <row r="46" spans="2:9" x14ac:dyDescent="0.3">
      <c r="B46" s="1" t="s">
        <v>142</v>
      </c>
      <c r="D46" s="85"/>
    </row>
    <row r="47" spans="2:9" x14ac:dyDescent="0.3">
      <c r="B47" s="1" t="s">
        <v>138</v>
      </c>
      <c r="D47" s="85"/>
    </row>
    <row r="48" spans="2:9" x14ac:dyDescent="0.3">
      <c r="D48" s="85"/>
    </row>
    <row r="49" spans="2:6" x14ac:dyDescent="0.3">
      <c r="B49" s="1" t="s">
        <v>139</v>
      </c>
      <c r="D49" s="61">
        <v>25000</v>
      </c>
      <c r="E49" s="28" t="s">
        <v>145</v>
      </c>
      <c r="F49" s="28" t="s">
        <v>146</v>
      </c>
    </row>
    <row r="50" spans="2:6" x14ac:dyDescent="0.3">
      <c r="B50" s="1" t="s">
        <v>140</v>
      </c>
      <c r="D50" s="61">
        <v>650</v>
      </c>
      <c r="E50" s="90">
        <v>7.69</v>
      </c>
      <c r="F50" s="87">
        <f>E50*D50</f>
        <v>4998.5</v>
      </c>
    </row>
    <row r="51" spans="2:6" x14ac:dyDescent="0.3">
      <c r="B51" s="1" t="s">
        <v>141</v>
      </c>
      <c r="D51" s="61">
        <v>1000</v>
      </c>
      <c r="E51" s="91">
        <v>20</v>
      </c>
      <c r="F51" s="89">
        <f>E51*D51</f>
        <v>20000</v>
      </c>
    </row>
    <row r="52" spans="2:6" x14ac:dyDescent="0.3">
      <c r="B52" s="1" t="s">
        <v>143</v>
      </c>
      <c r="D52" s="85"/>
      <c r="E52" s="92">
        <f>ROUNDDOWN(SUM(E50:E51),0)</f>
        <v>27</v>
      </c>
      <c r="F52" s="88">
        <f>SUM(F50:F51)</f>
        <v>24998.5</v>
      </c>
    </row>
    <row r="53" spans="2:6" x14ac:dyDescent="0.3">
      <c r="D53" s="85"/>
    </row>
    <row r="54" spans="2:6" x14ac:dyDescent="0.3">
      <c r="D54" s="391">
        <v>5751.7525599999999</v>
      </c>
      <c r="E54" s="391"/>
    </row>
    <row r="56" spans="2:6" x14ac:dyDescent="0.3">
      <c r="D56" s="2" t="s">
        <v>46</v>
      </c>
      <c r="E56" s="2" t="s">
        <v>47</v>
      </c>
      <c r="F56" s="2" t="s">
        <v>48</v>
      </c>
    </row>
    <row r="57" spans="2:6" x14ac:dyDescent="0.3">
      <c r="B57" s="28" t="s">
        <v>49</v>
      </c>
      <c r="D57" s="86">
        <f>ROUND(D54,0)</f>
        <v>5752</v>
      </c>
      <c r="E57" s="86">
        <f>ROUNDUP(D54,0)</f>
        <v>5752</v>
      </c>
      <c r="F57" s="86">
        <f>ROUNDDOWN(D54,0)</f>
        <v>5751</v>
      </c>
    </row>
    <row r="58" spans="2:6" x14ac:dyDescent="0.3">
      <c r="B58" s="28" t="s">
        <v>50</v>
      </c>
      <c r="D58" s="86">
        <f>ROUND(D54,1)</f>
        <v>5751.8</v>
      </c>
      <c r="E58" s="86">
        <f>ROUNDUP(D54,1)</f>
        <v>5751.8</v>
      </c>
      <c r="F58" s="86">
        <f>ROUNDDOWN(D54,1)</f>
        <v>5751.7</v>
      </c>
    </row>
    <row r="59" spans="2:6" x14ac:dyDescent="0.3">
      <c r="B59" s="28" t="s">
        <v>51</v>
      </c>
      <c r="D59" s="86">
        <f>ROUND(D54,4)</f>
        <v>5751.7525999999998</v>
      </c>
      <c r="E59" s="86">
        <f>ROUNDUP(D54,4)</f>
        <v>5751.7525999999998</v>
      </c>
      <c r="F59" s="86">
        <f>ROUNDDOWN(D54,4)</f>
        <v>5751.7524999999996</v>
      </c>
    </row>
    <row r="60" spans="2:6" x14ac:dyDescent="0.3">
      <c r="B60" s="28" t="s">
        <v>134</v>
      </c>
      <c r="D60" s="86">
        <f>ROUND(D54,-1)</f>
        <v>5750</v>
      </c>
      <c r="E60" s="86">
        <f>ROUNDUP(D54,-1)</f>
        <v>5760</v>
      </c>
      <c r="F60" s="86">
        <f>ROUNDDOWN(D54,-1)</f>
        <v>5750</v>
      </c>
    </row>
    <row r="61" spans="2:6" x14ac:dyDescent="0.3">
      <c r="B61" s="28" t="s">
        <v>135</v>
      </c>
      <c r="D61" s="86">
        <f>ROUND(D54,-2)</f>
        <v>5800</v>
      </c>
      <c r="E61" s="86">
        <f>ROUNDUP(D54,-2)</f>
        <v>5800</v>
      </c>
      <c r="F61" s="86">
        <f>ROUNDDOWN(D54,-2)</f>
        <v>5700</v>
      </c>
    </row>
    <row r="63" spans="2:6" x14ac:dyDescent="0.3">
      <c r="B63" s="138" t="s">
        <v>205</v>
      </c>
      <c r="D63" s="391">
        <v>69908.299467000004</v>
      </c>
      <c r="E63" s="391"/>
    </row>
    <row r="64" spans="2:6" x14ac:dyDescent="0.3">
      <c r="B64" s="144"/>
      <c r="C64" s="145"/>
      <c r="D64" s="145"/>
      <c r="E64" s="145"/>
      <c r="F64" s="146"/>
    </row>
    <row r="65" spans="2:6" x14ac:dyDescent="0.3">
      <c r="B65" s="148"/>
      <c r="C65" s="149"/>
      <c r="D65" s="150" t="s">
        <v>46</v>
      </c>
      <c r="E65" s="150" t="s">
        <v>47</v>
      </c>
      <c r="F65" s="151" t="s">
        <v>48</v>
      </c>
    </row>
    <row r="66" spans="2:6" x14ac:dyDescent="0.3">
      <c r="B66" s="152" t="s">
        <v>49</v>
      </c>
      <c r="C66" s="149"/>
      <c r="D66" s="153"/>
      <c r="E66" s="153"/>
      <c r="F66" s="154"/>
    </row>
    <row r="67" spans="2:6" x14ac:dyDescent="0.3">
      <c r="B67" s="152" t="s">
        <v>50</v>
      </c>
      <c r="C67" s="149"/>
      <c r="D67" s="153"/>
      <c r="E67" s="153"/>
      <c r="F67" s="154"/>
    </row>
    <row r="68" spans="2:6" x14ac:dyDescent="0.3">
      <c r="B68" s="152" t="s">
        <v>51</v>
      </c>
      <c r="C68" s="149"/>
      <c r="D68" s="153"/>
      <c r="E68" s="153"/>
      <c r="F68" s="154"/>
    </row>
    <row r="69" spans="2:6" x14ac:dyDescent="0.3">
      <c r="B69" s="152" t="s">
        <v>134</v>
      </c>
      <c r="C69" s="149"/>
      <c r="D69" s="153"/>
      <c r="E69" s="153"/>
      <c r="F69" s="154"/>
    </row>
    <row r="70" spans="2:6" x14ac:dyDescent="0.3">
      <c r="B70" s="155" t="s">
        <v>136</v>
      </c>
      <c r="C70" s="147"/>
      <c r="D70" s="156"/>
      <c r="E70" s="156"/>
      <c r="F70" s="157"/>
    </row>
    <row r="71" spans="2:6" x14ac:dyDescent="0.3">
      <c r="B71" s="14"/>
    </row>
    <row r="72" spans="2:6" x14ac:dyDescent="0.3">
      <c r="B72" s="158" t="s">
        <v>125</v>
      </c>
      <c r="C72" s="159"/>
      <c r="D72" s="159"/>
      <c r="E72" s="159"/>
      <c r="F72" s="160"/>
    </row>
    <row r="73" spans="2:6" x14ac:dyDescent="0.3">
      <c r="B73" s="164"/>
      <c r="C73" s="165"/>
      <c r="D73" s="166" t="s">
        <v>46</v>
      </c>
      <c r="E73" s="166" t="s">
        <v>47</v>
      </c>
      <c r="F73" s="167" t="s">
        <v>48</v>
      </c>
    </row>
    <row r="74" spans="2:6" x14ac:dyDescent="0.3">
      <c r="B74" s="168" t="s">
        <v>49</v>
      </c>
      <c r="C74" s="165"/>
      <c r="D74" s="169">
        <f>ROUND(D63,0)</f>
        <v>69908</v>
      </c>
      <c r="E74" s="169">
        <f>ROUNDUP(D63,0)</f>
        <v>69909</v>
      </c>
      <c r="F74" s="170">
        <f>ROUNDDOWN(D63,0)</f>
        <v>69908</v>
      </c>
    </row>
    <row r="75" spans="2:6" x14ac:dyDescent="0.3">
      <c r="B75" s="168" t="s">
        <v>50</v>
      </c>
      <c r="C75" s="165"/>
      <c r="D75" s="169">
        <f>ROUND(D63,1)</f>
        <v>69908.3</v>
      </c>
      <c r="E75" s="169">
        <f>ROUNDUP(D63,1)</f>
        <v>69908.3</v>
      </c>
      <c r="F75" s="170">
        <f>ROUNDDOWN(D63,1)</f>
        <v>69908.2</v>
      </c>
    </row>
    <row r="76" spans="2:6" x14ac:dyDescent="0.3">
      <c r="B76" s="168" t="s">
        <v>51</v>
      </c>
      <c r="C76" s="165"/>
      <c r="D76" s="169">
        <f>ROUND(D63,4)</f>
        <v>69908.299499999994</v>
      </c>
      <c r="E76" s="169">
        <f>ROUNDUP(D63,4)</f>
        <v>69908.299500000008</v>
      </c>
      <c r="F76" s="170">
        <f>ROUNDDOWN(D63,4)</f>
        <v>69908.299400000004</v>
      </c>
    </row>
    <row r="77" spans="2:6" x14ac:dyDescent="0.3">
      <c r="B77" s="168" t="s">
        <v>134</v>
      </c>
      <c r="C77" s="165"/>
      <c r="D77" s="169">
        <f>ROUND(D63,-1)</f>
        <v>69910</v>
      </c>
      <c r="E77" s="169">
        <f>ROUNDUP(D63,-1)</f>
        <v>69910</v>
      </c>
      <c r="F77" s="170">
        <f>ROUNDDOWN(D63,-1)</f>
        <v>69900</v>
      </c>
    </row>
    <row r="78" spans="2:6" x14ac:dyDescent="0.3">
      <c r="B78" s="171" t="s">
        <v>136</v>
      </c>
      <c r="C78" s="162"/>
      <c r="D78" s="172">
        <f>ROUND(D63,-3)</f>
        <v>70000</v>
      </c>
      <c r="E78" s="172">
        <f>ROUNDUP(D63,-3)</f>
        <v>70000</v>
      </c>
      <c r="F78" s="173">
        <f>ROUNDDOWN(D63,-3)</f>
        <v>69000</v>
      </c>
    </row>
    <row r="80" spans="2:6" x14ac:dyDescent="0.3">
      <c r="B80" s="36"/>
    </row>
  </sheetData>
  <mergeCells count="3">
    <mergeCell ref="D63:E63"/>
    <mergeCell ref="B25:D25"/>
    <mergeCell ref="D54:E54"/>
  </mergeCells>
  <pageMargins left="0.7" right="0.7" top="0.75" bottom="0.75" header="0.3" footer="0.3"/>
  <pageSetup orientation="portrait" horizontalDpi="200" verticalDpi="200"/>
  <legacyDrawing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
  <sheetViews>
    <sheetView workbookViewId="0"/>
  </sheetViews>
  <sheetFormatPr defaultColWidth="8.6640625" defaultRowHeight="18.75" x14ac:dyDescent="0.3"/>
  <cols>
    <col min="1" max="1" width="4.88671875" style="1" customWidth="1"/>
    <col min="2" max="16384" width="8.6640625" style="1"/>
  </cols>
  <sheetData>
    <row r="3" spans="2:2" x14ac:dyDescent="0.3">
      <c r="B3" s="4">
        <v>12</v>
      </c>
    </row>
  </sheetData>
  <pageMargins left="0.7" right="0.7" top="0.75" bottom="0.75" header="0.3" footer="0.3"/>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H40"/>
  <sheetViews>
    <sheetView zoomScaleNormal="100" zoomScalePageLayoutView="175" workbookViewId="0"/>
  </sheetViews>
  <sheetFormatPr defaultColWidth="8.6640625" defaultRowHeight="18.75" x14ac:dyDescent="0.3"/>
  <cols>
    <col min="1" max="1" width="4.88671875" style="1" customWidth="1"/>
    <col min="2" max="2" width="23.88671875" style="1" customWidth="1"/>
    <col min="3" max="3" width="13.109375" style="1" bestFit="1" customWidth="1"/>
    <col min="4" max="8" width="11.33203125" style="1" customWidth="1"/>
    <col min="9" max="16384" width="8.6640625" style="1"/>
  </cols>
  <sheetData>
    <row r="2" spans="2:8" ht="23.25" x14ac:dyDescent="0.35">
      <c r="B2" s="5" t="s">
        <v>107</v>
      </c>
    </row>
    <row r="5" spans="2:8" x14ac:dyDescent="0.3">
      <c r="B5" s="58" t="s">
        <v>100</v>
      </c>
      <c r="C5" s="35">
        <v>65</v>
      </c>
    </row>
    <row r="6" spans="2:8" x14ac:dyDescent="0.3">
      <c r="B6" s="1" t="s">
        <v>101</v>
      </c>
      <c r="C6" s="59">
        <v>35</v>
      </c>
    </row>
    <row r="7" spans="2:8" x14ac:dyDescent="0.3">
      <c r="B7" s="1" t="s">
        <v>166</v>
      </c>
      <c r="C7" s="60">
        <f>C5-C6</f>
        <v>30</v>
      </c>
    </row>
    <row r="8" spans="2:8" x14ac:dyDescent="0.3">
      <c r="C8" s="60"/>
    </row>
    <row r="9" spans="2:8" x14ac:dyDescent="0.3">
      <c r="B9" s="1" t="s">
        <v>104</v>
      </c>
      <c r="C9" s="61">
        <v>12000</v>
      </c>
    </row>
    <row r="10" spans="2:8" x14ac:dyDescent="0.3">
      <c r="B10" s="1" t="s">
        <v>242</v>
      </c>
      <c r="C10" s="21">
        <f>C7*C9</f>
        <v>360000</v>
      </c>
    </row>
    <row r="11" spans="2:8" x14ac:dyDescent="0.3">
      <c r="B11" s="1" t="s">
        <v>102</v>
      </c>
      <c r="C11" s="62">
        <v>7.0000000000000007E-2</v>
      </c>
    </row>
    <row r="12" spans="2:8" x14ac:dyDescent="0.3">
      <c r="B12" s="1" t="s">
        <v>103</v>
      </c>
      <c r="C12" s="21">
        <f>(C7*C9)/C11</f>
        <v>5142857.1428571427</v>
      </c>
    </row>
    <row r="15" spans="2:8" x14ac:dyDescent="0.3">
      <c r="B15" s="57" t="s">
        <v>105</v>
      </c>
    </row>
    <row r="16" spans="2:8" x14ac:dyDescent="0.3">
      <c r="D16" s="415" t="s">
        <v>100</v>
      </c>
      <c r="E16" s="415"/>
      <c r="F16" s="415"/>
      <c r="G16" s="415"/>
      <c r="H16" s="415"/>
    </row>
    <row r="17" spans="2:8" x14ac:dyDescent="0.3">
      <c r="C17" s="21">
        <f>C12</f>
        <v>5142857.1428571427</v>
      </c>
      <c r="D17" s="35">
        <v>57</v>
      </c>
      <c r="E17" s="35">
        <v>61</v>
      </c>
      <c r="F17" s="35">
        <v>65</v>
      </c>
      <c r="G17" s="35">
        <v>69</v>
      </c>
      <c r="H17" s="35">
        <v>73</v>
      </c>
    </row>
    <row r="18" spans="2:8" x14ac:dyDescent="0.3">
      <c r="C18" s="62">
        <v>0.08</v>
      </c>
      <c r="D18" s="21">
        <f t="dataTable" ref="D18:H22" dt2D="1" dtr="1" r1="C5" r2="C11" ca="1"/>
        <v>3300000</v>
      </c>
      <c r="E18" s="21">
        <v>3900000</v>
      </c>
      <c r="F18" s="21">
        <v>4500000</v>
      </c>
      <c r="G18" s="21">
        <v>5100000</v>
      </c>
      <c r="H18" s="21">
        <v>5700000</v>
      </c>
    </row>
    <row r="19" spans="2:8" x14ac:dyDescent="0.3">
      <c r="C19" s="62">
        <v>7.7499999999999999E-2</v>
      </c>
      <c r="D19" s="21">
        <v>3406451.6129032257</v>
      </c>
      <c r="E19" s="21">
        <v>4025806.4516129033</v>
      </c>
      <c r="F19" s="21">
        <v>4645161.2903225804</v>
      </c>
      <c r="G19" s="21">
        <v>5264516.1290322579</v>
      </c>
      <c r="H19" s="21">
        <v>5883870.9677419355</v>
      </c>
    </row>
    <row r="20" spans="2:8" x14ac:dyDescent="0.3">
      <c r="B20" s="28" t="s">
        <v>106</v>
      </c>
      <c r="C20" s="62">
        <v>7.4999999999999997E-2</v>
      </c>
      <c r="D20" s="21">
        <v>3520000</v>
      </c>
      <c r="E20" s="21">
        <v>4160000</v>
      </c>
      <c r="F20" s="100">
        <v>4800000</v>
      </c>
      <c r="G20" s="21">
        <v>5440000</v>
      </c>
      <c r="H20" s="21">
        <v>6080000</v>
      </c>
    </row>
    <row r="21" spans="2:8" x14ac:dyDescent="0.3">
      <c r="C21" s="62">
        <v>7.0000000000000007E-2</v>
      </c>
      <c r="D21" s="21">
        <v>3771428.5714285709</v>
      </c>
      <c r="E21" s="21">
        <v>4457142.8571428563</v>
      </c>
      <c r="F21" s="21">
        <v>5142857.1428571427</v>
      </c>
      <c r="G21" s="21">
        <v>5828571.4285714282</v>
      </c>
      <c r="H21" s="21">
        <v>6514285.7142857136</v>
      </c>
    </row>
    <row r="22" spans="2:8" x14ac:dyDescent="0.3">
      <c r="C22" s="62">
        <v>0.06</v>
      </c>
      <c r="D22" s="21">
        <v>4400000</v>
      </c>
      <c r="E22" s="21">
        <v>5200000</v>
      </c>
      <c r="F22" s="21">
        <v>6000000</v>
      </c>
      <c r="G22" s="21">
        <v>6800000</v>
      </c>
      <c r="H22" s="21">
        <v>7600000</v>
      </c>
    </row>
    <row r="24" spans="2:8" x14ac:dyDescent="0.3">
      <c r="B24" s="138" t="s">
        <v>273</v>
      </c>
    </row>
    <row r="26" spans="2:8" x14ac:dyDescent="0.3">
      <c r="B26" s="144"/>
      <c r="C26" s="358"/>
      <c r="D26" s="416" t="s">
        <v>101</v>
      </c>
      <c r="E26" s="416"/>
      <c r="F26" s="416"/>
      <c r="G26" s="416"/>
      <c r="H26" s="417"/>
    </row>
    <row r="27" spans="2:8" x14ac:dyDescent="0.3">
      <c r="B27" s="148"/>
      <c r="C27" s="359">
        <f>C12</f>
        <v>5142857.1428571427</v>
      </c>
      <c r="D27" s="360">
        <v>30</v>
      </c>
      <c r="E27" s="360">
        <v>35</v>
      </c>
      <c r="F27" s="360">
        <v>40</v>
      </c>
      <c r="G27" s="360">
        <v>45</v>
      </c>
      <c r="H27" s="361">
        <v>50</v>
      </c>
    </row>
    <row r="28" spans="2:8" x14ac:dyDescent="0.3">
      <c r="B28" s="148"/>
      <c r="C28" s="260">
        <v>0.08</v>
      </c>
      <c r="D28" s="362"/>
      <c r="E28" s="362"/>
      <c r="F28" s="362"/>
      <c r="G28" s="362"/>
      <c r="H28" s="363"/>
    </row>
    <row r="29" spans="2:8" x14ac:dyDescent="0.3">
      <c r="B29" s="148"/>
      <c r="C29" s="260">
        <v>7.4999999999999997E-2</v>
      </c>
      <c r="D29" s="362"/>
      <c r="E29" s="362"/>
      <c r="F29" s="362"/>
      <c r="G29" s="362"/>
      <c r="H29" s="363"/>
    </row>
    <row r="30" spans="2:8" x14ac:dyDescent="0.3">
      <c r="B30" s="148" t="s">
        <v>102</v>
      </c>
      <c r="C30" s="260">
        <v>7.0000000000000007E-2</v>
      </c>
      <c r="D30" s="362"/>
      <c r="E30" s="362"/>
      <c r="F30" s="362"/>
      <c r="G30" s="362"/>
      <c r="H30" s="363"/>
    </row>
    <row r="31" spans="2:8" x14ac:dyDescent="0.3">
      <c r="B31" s="148"/>
      <c r="C31" s="260">
        <v>6.5000000000000002E-2</v>
      </c>
      <c r="D31" s="362"/>
      <c r="E31" s="362"/>
      <c r="F31" s="362"/>
      <c r="G31" s="362"/>
      <c r="H31" s="363"/>
    </row>
    <row r="32" spans="2:8" x14ac:dyDescent="0.3">
      <c r="B32" s="183"/>
      <c r="C32" s="364">
        <v>0.06</v>
      </c>
      <c r="D32" s="270"/>
      <c r="E32" s="270"/>
      <c r="F32" s="270"/>
      <c r="G32" s="270"/>
      <c r="H32" s="283"/>
    </row>
    <row r="34" spans="2:8" x14ac:dyDescent="0.3">
      <c r="B34" s="158" t="s">
        <v>125</v>
      </c>
      <c r="C34" s="159"/>
      <c r="D34" s="418" t="s">
        <v>101</v>
      </c>
      <c r="E34" s="418"/>
      <c r="F34" s="418"/>
      <c r="G34" s="418"/>
      <c r="H34" s="419"/>
    </row>
    <row r="35" spans="2:8" x14ac:dyDescent="0.3">
      <c r="B35" s="164"/>
      <c r="C35" s="352">
        <f>C12</f>
        <v>5142857.1428571427</v>
      </c>
      <c r="D35" s="353">
        <v>30</v>
      </c>
      <c r="E35" s="353">
        <v>35</v>
      </c>
      <c r="F35" s="353">
        <v>40</v>
      </c>
      <c r="G35" s="353">
        <v>45</v>
      </c>
      <c r="H35" s="354">
        <v>50</v>
      </c>
    </row>
    <row r="36" spans="2:8" x14ac:dyDescent="0.3">
      <c r="B36" s="164"/>
      <c r="C36" s="252">
        <v>0.08</v>
      </c>
      <c r="D36" s="355">
        <f t="dataTable" ref="D36:H40" dt2D="1" dtr="0" r1="C6" r2="C11"/>
        <v>5250000</v>
      </c>
      <c r="E36" s="355">
        <v>4500000</v>
      </c>
      <c r="F36" s="355">
        <v>3750000</v>
      </c>
      <c r="G36" s="355">
        <v>3000000</v>
      </c>
      <c r="H36" s="356">
        <v>2250000</v>
      </c>
    </row>
    <row r="37" spans="2:8" x14ac:dyDescent="0.3">
      <c r="B37" s="164"/>
      <c r="C37" s="252">
        <v>7.4999999999999997E-2</v>
      </c>
      <c r="D37" s="355">
        <v>5600000</v>
      </c>
      <c r="E37" s="355">
        <v>4800000</v>
      </c>
      <c r="F37" s="355">
        <v>4000000</v>
      </c>
      <c r="G37" s="355">
        <v>3200000</v>
      </c>
      <c r="H37" s="356">
        <v>2400000</v>
      </c>
    </row>
    <row r="38" spans="2:8" x14ac:dyDescent="0.3">
      <c r="B38" s="164" t="s">
        <v>102</v>
      </c>
      <c r="C38" s="252">
        <v>7.0000000000000007E-2</v>
      </c>
      <c r="D38" s="355">
        <v>5999999.9999999991</v>
      </c>
      <c r="E38" s="355">
        <v>5142857.1428571427</v>
      </c>
      <c r="F38" s="355">
        <v>4285714.2857142854</v>
      </c>
      <c r="G38" s="355">
        <v>3428571.4285714282</v>
      </c>
      <c r="H38" s="356">
        <v>2571428.5714285714</v>
      </c>
    </row>
    <row r="39" spans="2:8" x14ac:dyDescent="0.3">
      <c r="B39" s="164"/>
      <c r="C39" s="252">
        <v>6.5000000000000002E-2</v>
      </c>
      <c r="D39" s="355">
        <v>6461538.461538461</v>
      </c>
      <c r="E39" s="355">
        <v>5538461.538461538</v>
      </c>
      <c r="F39" s="355">
        <v>4615384.615384615</v>
      </c>
      <c r="G39" s="355">
        <v>3692307.692307692</v>
      </c>
      <c r="H39" s="356">
        <v>2769230.769230769</v>
      </c>
    </row>
    <row r="40" spans="2:8" x14ac:dyDescent="0.3">
      <c r="B40" s="179"/>
      <c r="C40" s="357">
        <v>0.06</v>
      </c>
      <c r="D40" s="276">
        <v>7000000</v>
      </c>
      <c r="E40" s="276">
        <v>6000000</v>
      </c>
      <c r="F40" s="276">
        <v>5000000</v>
      </c>
      <c r="G40" s="276">
        <v>4000000</v>
      </c>
      <c r="H40" s="289">
        <v>3000000</v>
      </c>
    </row>
  </sheetData>
  <mergeCells count="3">
    <mergeCell ref="D16:H16"/>
    <mergeCell ref="D26:H26"/>
    <mergeCell ref="D34:H34"/>
  </mergeCells>
  <conditionalFormatting sqref="D28:H32">
    <cfRule type="cellIs" dxfId="1" priority="6" stopIfTrue="1" operator="equal">
      <formula>$C$12</formula>
    </cfRule>
  </conditionalFormatting>
  <conditionalFormatting sqref="D18:H22">
    <cfRule type="cellIs" dxfId="0" priority="1" operator="equal">
      <formula>$C$17</formula>
    </cfRule>
  </conditionalFormatting>
  <pageMargins left="0.7" right="0.7" top="0.75" bottom="0.75" header="0.3" footer="0.3"/>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T80"/>
  <sheetViews>
    <sheetView zoomScaleNormal="100" zoomScalePageLayoutView="150" workbookViewId="0"/>
  </sheetViews>
  <sheetFormatPr defaultColWidth="8.6640625" defaultRowHeight="18.75" x14ac:dyDescent="0.3"/>
  <cols>
    <col min="1" max="1" width="4.21875" style="8" customWidth="1"/>
    <col min="2" max="2" width="23.33203125" style="8" customWidth="1"/>
    <col min="3" max="3" width="9.33203125" style="8" customWidth="1"/>
    <col min="4" max="4" width="2.109375" style="8" customWidth="1"/>
    <col min="5" max="5" width="13.6640625" style="8" customWidth="1"/>
    <col min="6" max="6" width="4.6640625" style="8" customWidth="1"/>
    <col min="7" max="7" width="11" style="8" customWidth="1"/>
    <col min="8" max="8" width="13.6640625" style="8" customWidth="1"/>
    <col min="9" max="10" width="8.6640625" style="8"/>
    <col min="11" max="11" width="13.109375" style="8" customWidth="1"/>
    <col min="12" max="12" width="8.109375" style="8" customWidth="1"/>
    <col min="13" max="13" width="8.6640625" style="8"/>
    <col min="14" max="14" width="12.33203125" style="8" customWidth="1"/>
    <col min="15" max="16" width="8.6640625" style="8"/>
    <col min="17" max="17" width="13.88671875" style="8" customWidth="1"/>
    <col min="18" max="19" width="8.6640625" style="8"/>
    <col min="20" max="20" width="13" style="8" customWidth="1"/>
    <col min="21" max="16384" width="8.6640625" style="8"/>
  </cols>
  <sheetData>
    <row r="2" spans="2:20" ht="28.5" x14ac:dyDescent="0.45">
      <c r="B2" s="102" t="s">
        <v>167</v>
      </c>
      <c r="C2" s="102"/>
      <c r="D2" s="102"/>
      <c r="E2" s="102"/>
      <c r="F2" s="102"/>
    </row>
    <row r="3" spans="2:20" ht="23.25" x14ac:dyDescent="0.35">
      <c r="B3" s="70"/>
      <c r="C3" s="70"/>
      <c r="D3" s="70"/>
      <c r="E3" s="70"/>
      <c r="F3" s="70"/>
    </row>
    <row r="4" spans="2:20" ht="56.25" customHeight="1" x14ac:dyDescent="0.3">
      <c r="B4" s="420" t="s">
        <v>168</v>
      </c>
      <c r="C4" s="420"/>
      <c r="D4" s="420"/>
      <c r="E4" s="420"/>
      <c r="F4" s="420"/>
      <c r="G4" s="420"/>
      <c r="H4" s="420"/>
      <c r="I4" s="104"/>
      <c r="J4" s="104"/>
      <c r="K4" s="104"/>
    </row>
    <row r="5" spans="2:20" ht="23.25" x14ac:dyDescent="0.3">
      <c r="B5" s="103"/>
      <c r="C5" s="103"/>
      <c r="D5" s="103"/>
      <c r="E5" s="103"/>
      <c r="F5" s="103"/>
      <c r="G5" s="105"/>
      <c r="H5" s="105"/>
      <c r="I5" s="105"/>
      <c r="J5" s="105"/>
    </row>
    <row r="6" spans="2:20" ht="23.25" x14ac:dyDescent="0.35">
      <c r="B6" s="77"/>
      <c r="C6" s="70"/>
      <c r="D6" s="70"/>
      <c r="E6" s="70"/>
      <c r="F6" s="70"/>
    </row>
    <row r="7" spans="2:20" ht="23.25" x14ac:dyDescent="0.35">
      <c r="C7" s="77"/>
      <c r="D7" s="77"/>
      <c r="E7" s="77"/>
    </row>
    <row r="8" spans="2:20" ht="23.25" x14ac:dyDescent="0.35">
      <c r="B8" s="106"/>
      <c r="C8" s="70"/>
      <c r="D8" s="70"/>
      <c r="E8" s="70"/>
    </row>
    <row r="9" spans="2:20" ht="23.25" x14ac:dyDescent="0.35">
      <c r="B9" s="106"/>
      <c r="C9" s="70"/>
      <c r="D9" s="70"/>
      <c r="E9" s="70"/>
    </row>
    <row r="10" spans="2:20" ht="23.25" x14ac:dyDescent="0.35">
      <c r="B10" s="106"/>
      <c r="C10" s="70"/>
      <c r="D10" s="70"/>
      <c r="E10" s="70"/>
    </row>
    <row r="11" spans="2:20" ht="23.25" x14ac:dyDescent="0.35">
      <c r="B11" s="70"/>
      <c r="C11" s="70"/>
      <c r="D11" s="70"/>
      <c r="E11" s="107" t="s">
        <v>169</v>
      </c>
      <c r="H11" s="107" t="s">
        <v>170</v>
      </c>
      <c r="K11" s="107" t="s">
        <v>171</v>
      </c>
      <c r="N11" s="107" t="s">
        <v>172</v>
      </c>
      <c r="Q11" s="107" t="s">
        <v>173</v>
      </c>
      <c r="T11" s="107" t="s">
        <v>174</v>
      </c>
    </row>
    <row r="12" spans="2:20" ht="23.25" x14ac:dyDescent="0.35">
      <c r="B12" s="108" t="s">
        <v>175</v>
      </c>
      <c r="C12" s="108"/>
      <c r="D12" s="108"/>
      <c r="E12" s="109">
        <v>100000</v>
      </c>
      <c r="H12" s="109">
        <v>100000</v>
      </c>
      <c r="K12" s="109">
        <v>100000</v>
      </c>
      <c r="N12" s="109">
        <v>100000</v>
      </c>
      <c r="Q12" s="109">
        <v>100000</v>
      </c>
      <c r="T12" s="109">
        <v>100000</v>
      </c>
    </row>
    <row r="13" spans="2:20" ht="22.5" customHeight="1" thickBot="1" x14ac:dyDescent="0.4">
      <c r="B13" s="106" t="s">
        <v>114</v>
      </c>
      <c r="C13" s="110"/>
      <c r="D13" s="108"/>
      <c r="E13" s="111" t="s">
        <v>176</v>
      </c>
      <c r="G13" s="110">
        <v>0.1</v>
      </c>
      <c r="H13" s="112">
        <f>G13*H14</f>
        <v>10000</v>
      </c>
      <c r="J13" s="110">
        <v>0.1</v>
      </c>
      <c r="K13" s="112">
        <f>H13</f>
        <v>10000</v>
      </c>
      <c r="M13" s="110">
        <v>0.1</v>
      </c>
      <c r="N13" s="112">
        <f>M13*K14</f>
        <v>11000</v>
      </c>
      <c r="P13" s="110">
        <v>0.1</v>
      </c>
      <c r="Q13" s="112">
        <f>P13*N14</f>
        <v>11100</v>
      </c>
      <c r="S13" s="110">
        <v>0.1</v>
      </c>
      <c r="T13" s="112">
        <f>S13*Q14</f>
        <v>11110</v>
      </c>
    </row>
    <row r="14" spans="2:20" ht="24" thickTop="1" x14ac:dyDescent="0.35">
      <c r="B14" s="113" t="s">
        <v>115</v>
      </c>
      <c r="C14" s="108"/>
      <c r="D14" s="108"/>
      <c r="E14" s="114"/>
      <c r="F14" s="108"/>
      <c r="G14" s="108"/>
      <c r="H14" s="109">
        <v>100000</v>
      </c>
      <c r="J14" s="108"/>
      <c r="K14" s="114">
        <f>SUM(K12:K13)</f>
        <v>110000</v>
      </c>
      <c r="M14" s="108"/>
      <c r="N14" s="114">
        <f>SUM(N12:N13)</f>
        <v>111000</v>
      </c>
      <c r="P14" s="108"/>
      <c r="Q14" s="114">
        <f>SUM(Q12:Q13)</f>
        <v>111100</v>
      </c>
      <c r="S14" s="108"/>
      <c r="T14" s="114">
        <f>SUM(T12:T13)</f>
        <v>111110</v>
      </c>
    </row>
    <row r="23" spans="2:2" x14ac:dyDescent="0.3">
      <c r="B23" s="115" t="s">
        <v>274</v>
      </c>
    </row>
    <row r="24" spans="2:2" x14ac:dyDescent="0.3">
      <c r="B24" s="115"/>
    </row>
    <row r="25" spans="2:2" x14ac:dyDescent="0.3">
      <c r="B25" s="115" t="s">
        <v>177</v>
      </c>
    </row>
    <row r="46" spans="2:2" x14ac:dyDescent="0.3">
      <c r="B46" s="115" t="s">
        <v>178</v>
      </c>
    </row>
    <row r="69" spans="2:9" x14ac:dyDescent="0.3">
      <c r="B69" s="115" t="s">
        <v>179</v>
      </c>
    </row>
    <row r="78" spans="2:9" x14ac:dyDescent="0.3">
      <c r="B78" s="421" t="s">
        <v>180</v>
      </c>
      <c r="C78" s="421"/>
      <c r="D78" s="421"/>
      <c r="E78" s="421"/>
      <c r="F78" s="421"/>
    </row>
    <row r="79" spans="2:9" ht="25.5" customHeight="1" x14ac:dyDescent="0.3">
      <c r="B79" s="422" t="s">
        <v>181</v>
      </c>
      <c r="C79" s="422"/>
      <c r="D79" s="422"/>
      <c r="E79" s="422"/>
      <c r="F79" s="422"/>
      <c r="G79" s="422"/>
      <c r="H79" s="116"/>
      <c r="I79" s="116"/>
    </row>
    <row r="80" spans="2:9" ht="39" customHeight="1" x14ac:dyDescent="0.3">
      <c r="B80" s="422" t="s">
        <v>182</v>
      </c>
      <c r="C80" s="422"/>
      <c r="D80" s="422"/>
      <c r="E80" s="422"/>
      <c r="F80" s="422"/>
      <c r="G80" s="422"/>
    </row>
  </sheetData>
  <mergeCells count="4">
    <mergeCell ref="B4:H4"/>
    <mergeCell ref="B78:F78"/>
    <mergeCell ref="B79:G79"/>
    <mergeCell ref="B80:G80"/>
  </mergeCells>
  <pageMargins left="0.75" right="0.75" top="1" bottom="1" header="0.5" footer="0.5"/>
  <pageSetup orientation="portrait" verticalDpi="1200"/>
  <headerFooter alignWithMargins="0"/>
  <drawing r:id="rId1"/>
  <legacy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PageLayoutView="150" workbookViewId="0"/>
  </sheetViews>
  <sheetFormatPr defaultColWidth="8.6640625" defaultRowHeight="18.75" x14ac:dyDescent="0.3"/>
  <cols>
    <col min="1" max="1" width="4.88671875" style="1" customWidth="1"/>
    <col min="2" max="16384" width="8.6640625" style="1"/>
  </cols>
  <sheetData/>
  <pageMargins left="0.7" right="0.7" top="0.75" bottom="0.75" header="0.3" footer="0.3"/>
  <drawing r:id="rId1"/>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Normal="100" zoomScalePageLayoutView="200" workbookViewId="0"/>
  </sheetViews>
  <sheetFormatPr defaultColWidth="8.6640625" defaultRowHeight="18.75" x14ac:dyDescent="0.3"/>
  <cols>
    <col min="1" max="1" width="2.5546875" style="1" customWidth="1"/>
    <col min="2" max="16384" width="8.6640625" style="1"/>
  </cols>
  <sheetData/>
  <pageMargins left="0.7" right="0.7" top="0.75" bottom="0.75" header="0.3" footer="0.3"/>
  <drawing r:id="rId1"/>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9"/>
  <sheetViews>
    <sheetView zoomScaleNormal="100" zoomScalePageLayoutView="175" workbookViewId="0"/>
  </sheetViews>
  <sheetFormatPr defaultColWidth="8.6640625" defaultRowHeight="18.75" x14ac:dyDescent="0.3"/>
  <cols>
    <col min="1" max="1" width="4.88671875" style="1" customWidth="1"/>
    <col min="2" max="2" width="8.6640625" style="1"/>
    <col min="3" max="3" width="9.44140625" style="1" bestFit="1" customWidth="1"/>
    <col min="4" max="16384" width="8.6640625" style="1"/>
  </cols>
  <sheetData>
    <row r="2" spans="2:8" ht="23.25" x14ac:dyDescent="0.35">
      <c r="B2" s="5" t="s">
        <v>109</v>
      </c>
    </row>
    <row r="4" spans="2:8" x14ac:dyDescent="0.3">
      <c r="B4" s="36" t="s">
        <v>237</v>
      </c>
    </row>
    <row r="5" spans="2:8" x14ac:dyDescent="0.3">
      <c r="B5" s="1" t="s">
        <v>144</v>
      </c>
    </row>
    <row r="7" spans="2:8" x14ac:dyDescent="0.3">
      <c r="D7" s="61">
        <v>1050</v>
      </c>
      <c r="E7" s="61">
        <v>925</v>
      </c>
      <c r="F7" s="61">
        <v>925</v>
      </c>
      <c r="G7" s="61">
        <v>550</v>
      </c>
      <c r="H7" s="61">
        <v>875</v>
      </c>
    </row>
    <row r="9" spans="2:8" x14ac:dyDescent="0.3">
      <c r="B9" s="1" t="s">
        <v>110</v>
      </c>
      <c r="C9" s="1" t="s">
        <v>207</v>
      </c>
      <c r="D9" s="88">
        <f>MAX(D7:H7)</f>
        <v>1050</v>
      </c>
    </row>
    <row r="10" spans="2:8" x14ac:dyDescent="0.3">
      <c r="B10" s="1" t="s">
        <v>111</v>
      </c>
      <c r="C10" s="1" t="s">
        <v>208</v>
      </c>
      <c r="D10" s="88">
        <f>MIN(D7:H7)</f>
        <v>550</v>
      </c>
    </row>
    <row r="11" spans="2:8" x14ac:dyDescent="0.3">
      <c r="B11" s="1" t="s">
        <v>112</v>
      </c>
      <c r="C11" s="1" t="s">
        <v>209</v>
      </c>
      <c r="D11" s="88">
        <f>AVERAGE(D7:H7)</f>
        <v>865</v>
      </c>
    </row>
    <row r="12" spans="2:8" x14ac:dyDescent="0.3">
      <c r="B12" s="1" t="s">
        <v>113</v>
      </c>
      <c r="C12" s="1" t="s">
        <v>210</v>
      </c>
      <c r="D12" s="88">
        <f>MEDIAN(D7:H7)</f>
        <v>925</v>
      </c>
    </row>
    <row r="13" spans="2:8" x14ac:dyDescent="0.3">
      <c r="C13" s="4"/>
    </row>
    <row r="14" spans="2:8" x14ac:dyDescent="0.3">
      <c r="B14" s="138" t="s">
        <v>206</v>
      </c>
    </row>
    <row r="16" spans="2:8" x14ac:dyDescent="0.3">
      <c r="D16" s="61">
        <v>850</v>
      </c>
      <c r="E16" s="61">
        <v>925</v>
      </c>
      <c r="F16" s="61">
        <v>650</v>
      </c>
      <c r="G16" s="61">
        <v>650</v>
      </c>
      <c r="H16" s="61">
        <v>1025</v>
      </c>
    </row>
    <row r="17" spans="2:8" x14ac:dyDescent="0.3">
      <c r="B17" s="144" t="s">
        <v>110</v>
      </c>
      <c r="C17" s="181"/>
    </row>
    <row r="18" spans="2:8" x14ac:dyDescent="0.3">
      <c r="B18" s="148" t="s">
        <v>111</v>
      </c>
      <c r="C18" s="182"/>
    </row>
    <row r="19" spans="2:8" x14ac:dyDescent="0.3">
      <c r="B19" s="148" t="s">
        <v>112</v>
      </c>
      <c r="C19" s="182"/>
    </row>
    <row r="20" spans="2:8" x14ac:dyDescent="0.3">
      <c r="B20" s="183" t="s">
        <v>113</v>
      </c>
      <c r="C20" s="184"/>
    </row>
    <row r="21" spans="2:8" x14ac:dyDescent="0.3">
      <c r="B21" s="4"/>
      <c r="C21" s="4"/>
    </row>
    <row r="22" spans="2:8" x14ac:dyDescent="0.3">
      <c r="C22" s="124"/>
      <c r="D22" s="72"/>
      <c r="E22" s="72"/>
      <c r="F22" s="72"/>
      <c r="G22" s="72"/>
      <c r="H22" s="72"/>
    </row>
    <row r="23" spans="2:8" x14ac:dyDescent="0.3">
      <c r="B23" s="158" t="s">
        <v>125</v>
      </c>
      <c r="C23" s="160"/>
      <c r="D23" s="93"/>
      <c r="E23" s="93"/>
      <c r="F23" s="93"/>
      <c r="G23" s="93"/>
      <c r="H23" s="93"/>
    </row>
    <row r="24" spans="2:8" x14ac:dyDescent="0.3">
      <c r="B24" s="164" t="s">
        <v>110</v>
      </c>
      <c r="C24" s="178">
        <f>MAX(D16:H16)</f>
        <v>1025</v>
      </c>
      <c r="D24" s="72"/>
      <c r="E24" s="72"/>
      <c r="F24" s="72"/>
      <c r="G24" s="72"/>
      <c r="H24" s="72"/>
    </row>
    <row r="25" spans="2:8" x14ac:dyDescent="0.3">
      <c r="B25" s="164" t="s">
        <v>111</v>
      </c>
      <c r="C25" s="178">
        <f>MIN(D16:H16)</f>
        <v>650</v>
      </c>
      <c r="D25" s="72"/>
      <c r="E25" s="72"/>
      <c r="F25" s="72"/>
      <c r="G25" s="72"/>
      <c r="H25" s="72"/>
    </row>
    <row r="26" spans="2:8" x14ac:dyDescent="0.3">
      <c r="B26" s="164" t="s">
        <v>112</v>
      </c>
      <c r="C26" s="178">
        <f>AVERAGE(D16:H16)</f>
        <v>820</v>
      </c>
      <c r="D26" s="72"/>
      <c r="E26" s="72"/>
      <c r="F26" s="72"/>
      <c r="G26" s="72"/>
      <c r="H26" s="72"/>
    </row>
    <row r="27" spans="2:8" x14ac:dyDescent="0.3">
      <c r="B27" s="179" t="s">
        <v>113</v>
      </c>
      <c r="C27" s="180">
        <f>MEDIAN(D16:H16)</f>
        <v>850</v>
      </c>
      <c r="D27" s="72"/>
      <c r="E27" s="72"/>
      <c r="F27" s="72"/>
      <c r="G27" s="72"/>
      <c r="H27" s="72"/>
    </row>
    <row r="28" spans="2:8" x14ac:dyDescent="0.3">
      <c r="B28" s="4"/>
      <c r="C28" s="4"/>
    </row>
    <row r="29" spans="2:8" x14ac:dyDescent="0.3">
      <c r="C29" s="4"/>
    </row>
  </sheetData>
  <pageMargins left="0.7" right="0.7" top="0.75" bottom="0.75" header="0.3" footer="0.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45"/>
  <sheetViews>
    <sheetView zoomScaleNormal="100" zoomScalePageLayoutView="200" workbookViewId="0"/>
  </sheetViews>
  <sheetFormatPr defaultColWidth="8.6640625" defaultRowHeight="18.75" x14ac:dyDescent="0.3"/>
  <cols>
    <col min="1" max="1" width="2.33203125" style="1" customWidth="1"/>
    <col min="2" max="16384" width="8.6640625" style="1"/>
  </cols>
  <sheetData>
    <row r="2" spans="2:3" ht="23.25" x14ac:dyDescent="0.35">
      <c r="B2" s="5" t="s">
        <v>10</v>
      </c>
    </row>
    <row r="4" spans="2:3" x14ac:dyDescent="0.3">
      <c r="B4" s="1" t="s">
        <v>11</v>
      </c>
    </row>
    <row r="6" spans="2:3" x14ac:dyDescent="0.3">
      <c r="B6" s="4">
        <v>3</v>
      </c>
      <c r="C6" s="4">
        <v>4</v>
      </c>
    </row>
    <row r="8" spans="2:3" x14ac:dyDescent="0.3">
      <c r="B8" s="1" t="s">
        <v>12</v>
      </c>
    </row>
    <row r="10" spans="2:3" x14ac:dyDescent="0.3">
      <c r="B10" s="4">
        <v>3</v>
      </c>
      <c r="C10" s="4">
        <v>4</v>
      </c>
    </row>
    <row r="12" spans="2:3" x14ac:dyDescent="0.3">
      <c r="B12" s="13" t="s">
        <v>13</v>
      </c>
    </row>
    <row r="14" spans="2:3" x14ac:dyDescent="0.3">
      <c r="B14" s="366">
        <f>B$10</f>
        <v>3</v>
      </c>
    </row>
    <row r="16" spans="2:3" x14ac:dyDescent="0.3">
      <c r="B16" s="14" t="s">
        <v>256</v>
      </c>
    </row>
    <row r="18" spans="2:3" x14ac:dyDescent="0.3">
      <c r="B18" s="4">
        <v>3</v>
      </c>
      <c r="C18" s="4">
        <v>4</v>
      </c>
    </row>
    <row r="19" spans="2:3" x14ac:dyDescent="0.3">
      <c r="B19" s="4">
        <v>5</v>
      </c>
      <c r="C19" s="4">
        <v>6</v>
      </c>
    </row>
    <row r="20" spans="2:3" x14ac:dyDescent="0.3">
      <c r="B20" s="4">
        <v>7</v>
      </c>
      <c r="C20" s="4">
        <v>8</v>
      </c>
    </row>
    <row r="23" spans="2:3" x14ac:dyDescent="0.3">
      <c r="B23" s="14" t="s">
        <v>257</v>
      </c>
    </row>
    <row r="25" spans="2:3" x14ac:dyDescent="0.3">
      <c r="B25" s="4">
        <v>3</v>
      </c>
      <c r="C25" s="4">
        <v>4</v>
      </c>
    </row>
    <row r="26" spans="2:3" x14ac:dyDescent="0.3">
      <c r="B26" s="4">
        <v>5</v>
      </c>
      <c r="C26" s="4">
        <v>6</v>
      </c>
    </row>
    <row r="27" spans="2:3" x14ac:dyDescent="0.3">
      <c r="B27" s="4">
        <v>7</v>
      </c>
      <c r="C27" s="4">
        <v>8</v>
      </c>
    </row>
    <row r="28" spans="2:3" x14ac:dyDescent="0.3">
      <c r="B28" s="4"/>
      <c r="C28" s="4"/>
    </row>
    <row r="29" spans="2:3" x14ac:dyDescent="0.3">
      <c r="B29" s="4"/>
      <c r="C29" s="4"/>
    </row>
    <row r="30" spans="2:3" x14ac:dyDescent="0.3">
      <c r="B30" s="36" t="s">
        <v>238</v>
      </c>
    </row>
    <row r="31" spans="2:3" x14ac:dyDescent="0.3">
      <c r="B31" s="1" t="s">
        <v>147</v>
      </c>
    </row>
    <row r="33" spans="2:10" x14ac:dyDescent="0.3">
      <c r="B33" s="138" t="s">
        <v>149</v>
      </c>
    </row>
    <row r="34" spans="2:10" x14ac:dyDescent="0.3">
      <c r="B34" s="36"/>
      <c r="F34" s="62"/>
      <c r="G34" s="62"/>
      <c r="H34" s="62"/>
      <c r="I34" s="62"/>
      <c r="J34" s="62"/>
    </row>
    <row r="35" spans="2:10" x14ac:dyDescent="0.3">
      <c r="B35" s="144"/>
      <c r="C35" s="145"/>
      <c r="D35" s="145"/>
      <c r="E35" s="256" t="s">
        <v>42</v>
      </c>
      <c r="F35" s="257">
        <v>1</v>
      </c>
      <c r="G35" s="258">
        <f>F35+1</f>
        <v>2</v>
      </c>
      <c r="H35" s="258">
        <f>G35+1</f>
        <v>3</v>
      </c>
      <c r="I35" s="258">
        <f>H35+1</f>
        <v>4</v>
      </c>
      <c r="J35" s="259">
        <f>I35+1</f>
        <v>5</v>
      </c>
    </row>
    <row r="36" spans="2:10" x14ac:dyDescent="0.3">
      <c r="B36" s="148" t="s">
        <v>116</v>
      </c>
      <c r="C36" s="149"/>
      <c r="D36" s="260">
        <v>0.03</v>
      </c>
      <c r="E36" s="149"/>
      <c r="F36" s="149"/>
      <c r="G36" s="149"/>
      <c r="H36" s="149"/>
      <c r="I36" s="149"/>
      <c r="J36" s="190"/>
    </row>
    <row r="37" spans="2:10" x14ac:dyDescent="0.3">
      <c r="B37" s="183" t="s">
        <v>148</v>
      </c>
      <c r="C37" s="147"/>
      <c r="D37" s="261">
        <v>15</v>
      </c>
      <c r="E37" s="147"/>
      <c r="F37" s="262"/>
      <c r="G37" s="262"/>
      <c r="H37" s="262"/>
      <c r="I37" s="262"/>
      <c r="J37" s="263"/>
    </row>
    <row r="40" spans="2:10" x14ac:dyDescent="0.3">
      <c r="B40" s="158" t="s">
        <v>125</v>
      </c>
      <c r="C40" s="159"/>
      <c r="D40" s="159"/>
      <c r="E40" s="159"/>
      <c r="F40" s="247"/>
      <c r="G40" s="247"/>
      <c r="H40" s="247"/>
      <c r="I40" s="247"/>
      <c r="J40" s="248"/>
    </row>
    <row r="41" spans="2:10" x14ac:dyDescent="0.3">
      <c r="B41" s="164"/>
      <c r="C41" s="165"/>
      <c r="D41" s="165"/>
      <c r="E41" s="249" t="s">
        <v>42</v>
      </c>
      <c r="F41" s="250">
        <v>1</v>
      </c>
      <c r="G41" s="250">
        <f>F41+1</f>
        <v>2</v>
      </c>
      <c r="H41" s="250">
        <f>G41+1</f>
        <v>3</v>
      </c>
      <c r="I41" s="250">
        <f>H41+1</f>
        <v>4</v>
      </c>
      <c r="J41" s="251">
        <f>I41+1</f>
        <v>5</v>
      </c>
    </row>
    <row r="42" spans="2:10" x14ac:dyDescent="0.3">
      <c r="B42" s="164" t="s">
        <v>116</v>
      </c>
      <c r="C42" s="165"/>
      <c r="D42" s="252">
        <v>0.03</v>
      </c>
      <c r="E42" s="165"/>
      <c r="F42" s="165"/>
      <c r="G42" s="165"/>
      <c r="H42" s="165"/>
      <c r="I42" s="165"/>
      <c r="J42" s="196"/>
    </row>
    <row r="43" spans="2:10" x14ac:dyDescent="0.3">
      <c r="B43" s="179" t="s">
        <v>148</v>
      </c>
      <c r="C43" s="162"/>
      <c r="D43" s="253">
        <v>15</v>
      </c>
      <c r="E43" s="162"/>
      <c r="F43" s="254">
        <f>$D43*(1+$D42)^(F41-1)</f>
        <v>15</v>
      </c>
      <c r="G43" s="254">
        <f>$D43*(1+$D42)^(G41-1)</f>
        <v>15.450000000000001</v>
      </c>
      <c r="H43" s="254">
        <f>$D43*(1+$D42)^(H41-1)</f>
        <v>15.913499999999999</v>
      </c>
      <c r="I43" s="254">
        <f>$D43*(1+$D42)^(I41-1)</f>
        <v>16.390905</v>
      </c>
      <c r="J43" s="255">
        <f>$D43*(1+$D42)^(J41-1)</f>
        <v>16.882632149999999</v>
      </c>
    </row>
    <row r="45" spans="2:10" x14ac:dyDescent="0.3">
      <c r="B45" s="36"/>
    </row>
  </sheetData>
  <pageMargins left="0.7" right="0.7" top="0.75" bottom="0.75" header="0.3" footer="0.3"/>
  <pageSetup orientation="portrait" horizontalDpi="1200" verticalDpi="120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S22"/>
  <sheetViews>
    <sheetView zoomScaleNormal="100" zoomScalePageLayoutView="200" workbookViewId="0"/>
  </sheetViews>
  <sheetFormatPr defaultColWidth="8.6640625" defaultRowHeight="18.75" x14ac:dyDescent="0.3"/>
  <cols>
    <col min="1" max="1" width="4.88671875" style="1" customWidth="1"/>
    <col min="2" max="16384" width="8.6640625" style="1"/>
  </cols>
  <sheetData>
    <row r="2" spans="2:19" ht="23.25" x14ac:dyDescent="0.35">
      <c r="B2" s="5" t="s">
        <v>14</v>
      </c>
    </row>
    <row r="4" spans="2:19" x14ac:dyDescent="0.3">
      <c r="B4" s="36" t="s">
        <v>151</v>
      </c>
    </row>
    <row r="5" spans="2:19" x14ac:dyDescent="0.3">
      <c r="B5" s="1" t="s">
        <v>152</v>
      </c>
    </row>
    <row r="7" spans="2:19" x14ac:dyDescent="0.3">
      <c r="B7" s="1" t="s">
        <v>15</v>
      </c>
      <c r="E7" s="12"/>
      <c r="F7" s="12"/>
      <c r="G7" s="12"/>
      <c r="H7" s="12"/>
      <c r="I7" s="12"/>
      <c r="J7" s="12"/>
      <c r="K7" s="12"/>
      <c r="L7" s="12"/>
    </row>
    <row r="8" spans="2:19" x14ac:dyDescent="0.3">
      <c r="B8" s="12"/>
      <c r="C8" s="12"/>
      <c r="D8" s="12"/>
      <c r="E8" s="12"/>
      <c r="F8" s="12"/>
      <c r="G8" s="12"/>
      <c r="H8" s="12"/>
      <c r="I8" s="12"/>
      <c r="J8" s="12"/>
      <c r="K8" s="12"/>
      <c r="L8" s="12"/>
      <c r="M8" s="12"/>
      <c r="N8" s="12"/>
      <c r="O8" s="12"/>
      <c r="P8" s="12"/>
      <c r="Q8" s="12"/>
      <c r="R8" s="12"/>
      <c r="S8" s="12"/>
    </row>
    <row r="9" spans="2:19" x14ac:dyDescent="0.3">
      <c r="B9" s="12" t="s">
        <v>16</v>
      </c>
      <c r="C9" s="12" t="s">
        <v>16</v>
      </c>
      <c r="D9" s="12" t="s">
        <v>16</v>
      </c>
      <c r="E9" s="12"/>
      <c r="F9" s="12"/>
      <c r="G9" s="12"/>
      <c r="H9" s="12"/>
      <c r="I9" s="12"/>
      <c r="J9" s="12"/>
      <c r="K9" s="12"/>
      <c r="L9" s="12"/>
      <c r="M9" s="12"/>
      <c r="N9" s="12"/>
      <c r="O9" s="12"/>
      <c r="P9" s="12"/>
      <c r="Q9" s="12"/>
      <c r="R9" s="12"/>
      <c r="S9" s="12"/>
    </row>
    <row r="10" spans="2:19" x14ac:dyDescent="0.3">
      <c r="B10" s="12"/>
      <c r="C10" s="12"/>
      <c r="D10" s="12"/>
      <c r="E10" s="12"/>
      <c r="F10" s="12"/>
      <c r="G10" s="12"/>
      <c r="H10" s="12"/>
      <c r="I10" s="12"/>
      <c r="J10" s="12"/>
      <c r="K10" s="12"/>
      <c r="L10" s="12"/>
      <c r="M10" s="12"/>
      <c r="N10" s="12"/>
      <c r="O10" s="12"/>
      <c r="P10" s="12"/>
      <c r="Q10" s="12"/>
      <c r="R10" s="12"/>
      <c r="S10" s="12"/>
    </row>
    <row r="11" spans="2:19" x14ac:dyDescent="0.3">
      <c r="B11" s="12" t="s">
        <v>16</v>
      </c>
      <c r="C11" s="12" t="s">
        <v>16</v>
      </c>
      <c r="D11" s="12" t="s">
        <v>16</v>
      </c>
      <c r="E11" s="12"/>
      <c r="F11" s="12"/>
      <c r="G11" s="12"/>
      <c r="H11" s="12"/>
      <c r="I11" s="12"/>
      <c r="J11" s="12"/>
      <c r="K11" s="12"/>
      <c r="L11" s="12"/>
      <c r="M11" s="12"/>
      <c r="N11" s="12"/>
      <c r="O11" s="12"/>
      <c r="P11" s="12"/>
      <c r="Q11" s="12"/>
      <c r="R11" s="12"/>
      <c r="S11" s="12"/>
    </row>
    <row r="12" spans="2:19" x14ac:dyDescent="0.3">
      <c r="B12" s="12"/>
      <c r="C12" s="12"/>
      <c r="D12" s="12"/>
      <c r="E12" s="12"/>
      <c r="F12" s="12"/>
      <c r="G12" s="12"/>
      <c r="H12" s="12"/>
      <c r="I12" s="12"/>
      <c r="J12" s="12"/>
      <c r="K12" s="12"/>
      <c r="L12" s="12"/>
      <c r="M12" s="12"/>
      <c r="N12" s="12"/>
      <c r="O12" s="12"/>
      <c r="P12" s="12"/>
      <c r="Q12" s="12"/>
      <c r="R12" s="12"/>
      <c r="S12" s="12"/>
    </row>
    <row r="13" spans="2:19" x14ac:dyDescent="0.3">
      <c r="B13" s="1" t="s">
        <v>18</v>
      </c>
      <c r="E13" s="12"/>
      <c r="F13" s="12"/>
      <c r="G13" s="12"/>
      <c r="H13" s="12"/>
      <c r="I13" s="12"/>
      <c r="J13" s="12"/>
      <c r="K13" s="12"/>
      <c r="L13" s="12"/>
    </row>
    <row r="14" spans="2:19" x14ac:dyDescent="0.3">
      <c r="E14" s="12" t="s">
        <v>17</v>
      </c>
      <c r="F14" s="12"/>
      <c r="G14" s="12" t="s">
        <v>17</v>
      </c>
      <c r="H14" s="12" t="s">
        <v>17</v>
      </c>
      <c r="I14" s="12"/>
      <c r="J14" s="12"/>
      <c r="K14" s="12"/>
      <c r="L14" s="12"/>
    </row>
    <row r="15" spans="2:19" x14ac:dyDescent="0.3">
      <c r="E15" s="12" t="s">
        <v>17</v>
      </c>
      <c r="F15" s="12"/>
      <c r="G15" s="12" t="s">
        <v>17</v>
      </c>
      <c r="H15" s="12" t="s">
        <v>17</v>
      </c>
      <c r="I15" s="12"/>
      <c r="J15" s="12"/>
      <c r="K15" s="12"/>
      <c r="L15" s="12"/>
    </row>
    <row r="16" spans="2:19" x14ac:dyDescent="0.3">
      <c r="E16" s="12" t="s">
        <v>17</v>
      </c>
      <c r="F16" s="12"/>
      <c r="G16" s="12" t="s">
        <v>17</v>
      </c>
      <c r="H16" s="12" t="s">
        <v>17</v>
      </c>
      <c r="I16" s="12"/>
      <c r="J16" s="12"/>
      <c r="K16" s="12"/>
      <c r="L16" s="12"/>
    </row>
    <row r="18" spans="2:2" x14ac:dyDescent="0.3">
      <c r="B18" s="1" t="s">
        <v>19</v>
      </c>
    </row>
    <row r="22" spans="2:2" x14ac:dyDescent="0.3">
      <c r="B22" s="1" t="s">
        <v>20</v>
      </c>
    </row>
  </sheetData>
  <pageMargins left="0.7" right="0.7" top="0.75" bottom="0.75" header="0.3" footer="0.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2:P49"/>
  <sheetViews>
    <sheetView zoomScaleNormal="100" zoomScalePageLayoutView="200" workbookViewId="0"/>
  </sheetViews>
  <sheetFormatPr defaultColWidth="8.6640625" defaultRowHeight="18.75" x14ac:dyDescent="0.3"/>
  <cols>
    <col min="1" max="1" width="2.33203125" style="1" customWidth="1"/>
    <col min="2" max="2" width="12.33203125" style="1" customWidth="1"/>
    <col min="3" max="3" width="12.109375" style="1" customWidth="1"/>
    <col min="4" max="4" width="10.33203125" style="1" bestFit="1" customWidth="1"/>
    <col min="5" max="16" width="9.33203125" style="1" customWidth="1"/>
    <col min="17" max="16384" width="8.6640625" style="1"/>
  </cols>
  <sheetData>
    <row r="2" spans="2:9" ht="23.25" x14ac:dyDescent="0.35">
      <c r="B2" s="5" t="s">
        <v>21</v>
      </c>
    </row>
    <row r="4" spans="2:9" x14ac:dyDescent="0.3">
      <c r="B4" s="36" t="s">
        <v>153</v>
      </c>
    </row>
    <row r="5" spans="2:9" x14ac:dyDescent="0.3">
      <c r="B5" s="1" t="s">
        <v>154</v>
      </c>
    </row>
    <row r="7" spans="2:9" x14ac:dyDescent="0.3">
      <c r="B7" s="75">
        <v>41400</v>
      </c>
      <c r="C7" s="16">
        <f>B7</f>
        <v>41400</v>
      </c>
    </row>
    <row r="8" spans="2:9" x14ac:dyDescent="0.3">
      <c r="B8" s="75"/>
      <c r="C8" s="16"/>
    </row>
    <row r="9" spans="2:9" x14ac:dyDescent="0.3">
      <c r="B9" s="185">
        <v>41290</v>
      </c>
      <c r="C9" s="65">
        <f>B9</f>
        <v>41290</v>
      </c>
    </row>
    <row r="12" spans="2:9" x14ac:dyDescent="0.3">
      <c r="B12" s="1" t="s">
        <v>22</v>
      </c>
    </row>
    <row r="14" spans="2:9" x14ac:dyDescent="0.3">
      <c r="B14" s="13" t="s">
        <v>23</v>
      </c>
    </row>
    <row r="16" spans="2:9" x14ac:dyDescent="0.3">
      <c r="B16" s="14" t="s">
        <v>24</v>
      </c>
      <c r="D16" s="12">
        <v>2013</v>
      </c>
      <c r="E16" s="1">
        <f>D16+1</f>
        <v>2014</v>
      </c>
      <c r="F16" s="1">
        <f>E16+1</f>
        <v>2015</v>
      </c>
      <c r="G16" s="1">
        <f>F16+1</f>
        <v>2016</v>
      </c>
      <c r="H16" s="1">
        <f>G16+1</f>
        <v>2017</v>
      </c>
      <c r="I16" s="1">
        <f>H16+1</f>
        <v>2018</v>
      </c>
    </row>
    <row r="17" spans="2:11" x14ac:dyDescent="0.3">
      <c r="B17" s="14"/>
    </row>
    <row r="18" spans="2:11" x14ac:dyDescent="0.3">
      <c r="B18" s="14" t="s">
        <v>25</v>
      </c>
      <c r="D18" s="12">
        <v>2013</v>
      </c>
      <c r="E18" s="12">
        <v>2014</v>
      </c>
      <c r="F18" s="12">
        <v>2015</v>
      </c>
      <c r="G18" s="12">
        <v>2016</v>
      </c>
      <c r="H18" s="12">
        <v>2017</v>
      </c>
      <c r="I18" s="12">
        <v>2018</v>
      </c>
    </row>
    <row r="20" spans="2:11" x14ac:dyDescent="0.3">
      <c r="B20" s="13" t="s">
        <v>26</v>
      </c>
      <c r="D20" s="12"/>
      <c r="E20" s="18"/>
    </row>
    <row r="22" spans="2:11" x14ac:dyDescent="0.3">
      <c r="B22" s="14" t="s">
        <v>24</v>
      </c>
      <c r="D22" s="17">
        <v>41275</v>
      </c>
      <c r="E22" s="94">
        <f>D22+30</f>
        <v>41305</v>
      </c>
      <c r="F22" s="94">
        <f t="shared" ref="F22:I22" si="0">E22+30</f>
        <v>41335</v>
      </c>
      <c r="G22" s="94">
        <f t="shared" si="0"/>
        <v>41365</v>
      </c>
      <c r="H22" s="94">
        <f t="shared" si="0"/>
        <v>41395</v>
      </c>
      <c r="I22" s="94">
        <f t="shared" si="0"/>
        <v>41425</v>
      </c>
      <c r="K22" s="36" t="s">
        <v>265</v>
      </c>
    </row>
    <row r="23" spans="2:11" x14ac:dyDescent="0.3">
      <c r="D23" s="119"/>
    </row>
    <row r="24" spans="2:11" x14ac:dyDescent="0.3">
      <c r="B24" s="14" t="s">
        <v>27</v>
      </c>
      <c r="D24" s="17">
        <v>41275</v>
      </c>
      <c r="E24" s="367">
        <f>EOMONTH(D24,1)</f>
        <v>41333</v>
      </c>
      <c r="F24" s="94">
        <f t="shared" ref="F24:J26" si="1">EOMONTH(E24,1)</f>
        <v>41364</v>
      </c>
      <c r="G24" s="94">
        <f t="shared" si="1"/>
        <v>41394</v>
      </c>
      <c r="H24" s="94">
        <f t="shared" si="1"/>
        <v>41425</v>
      </c>
      <c r="I24" s="94">
        <f t="shared" si="1"/>
        <v>41455</v>
      </c>
      <c r="J24" s="94">
        <f t="shared" si="1"/>
        <v>41486</v>
      </c>
      <c r="K24" s="94"/>
    </row>
    <row r="25" spans="2:11" x14ac:dyDescent="0.3">
      <c r="B25" s="14" t="s">
        <v>29</v>
      </c>
      <c r="C25" s="14"/>
      <c r="D25" s="17">
        <v>41283</v>
      </c>
      <c r="E25" s="94">
        <f>EOMONTH(D25,1)</f>
        <v>41333</v>
      </c>
      <c r="F25" s="94">
        <f t="shared" si="1"/>
        <v>41364</v>
      </c>
      <c r="G25" s="94">
        <f t="shared" si="1"/>
        <v>41394</v>
      </c>
      <c r="H25" s="94">
        <f t="shared" si="1"/>
        <v>41425</v>
      </c>
      <c r="I25" s="94">
        <f t="shared" si="1"/>
        <v>41455</v>
      </c>
      <c r="J25" s="94">
        <f t="shared" si="1"/>
        <v>41486</v>
      </c>
    </row>
    <row r="26" spans="2:11" x14ac:dyDescent="0.3">
      <c r="B26" s="14"/>
      <c r="C26" s="14"/>
      <c r="D26" s="17">
        <v>41290</v>
      </c>
      <c r="E26" s="94">
        <f>EOMONTH(D26,1)</f>
        <v>41333</v>
      </c>
      <c r="F26" s="94">
        <f t="shared" si="1"/>
        <v>41364</v>
      </c>
      <c r="G26" s="94">
        <f t="shared" si="1"/>
        <v>41394</v>
      </c>
      <c r="H26" s="94">
        <f t="shared" si="1"/>
        <v>41425</v>
      </c>
      <c r="I26" s="94">
        <f t="shared" si="1"/>
        <v>41455</v>
      </c>
      <c r="J26" s="94">
        <f t="shared" si="1"/>
        <v>41486</v>
      </c>
    </row>
    <row r="28" spans="2:11" x14ac:dyDescent="0.3">
      <c r="B28" s="14" t="s">
        <v>28</v>
      </c>
      <c r="D28" s="17">
        <v>41275</v>
      </c>
      <c r="E28" s="94">
        <f>EDATE(D28,1)</f>
        <v>41306</v>
      </c>
      <c r="F28" s="94">
        <f t="shared" ref="F28:J28" si="2">EDATE(E28,1)</f>
        <v>41334</v>
      </c>
      <c r="G28" s="94">
        <f t="shared" si="2"/>
        <v>41365</v>
      </c>
      <c r="H28" s="94">
        <f t="shared" si="2"/>
        <v>41395</v>
      </c>
      <c r="I28" s="94">
        <f t="shared" si="2"/>
        <v>41426</v>
      </c>
      <c r="J28" s="94">
        <f t="shared" si="2"/>
        <v>41456</v>
      </c>
    </row>
    <row r="29" spans="2:11" x14ac:dyDescent="0.3">
      <c r="B29" s="14" t="s">
        <v>30</v>
      </c>
      <c r="C29" s="14"/>
      <c r="D29" s="17">
        <v>41283</v>
      </c>
      <c r="E29" s="94">
        <f>EDATE(D29,1)</f>
        <v>41314</v>
      </c>
      <c r="F29" s="94">
        <f t="shared" ref="F29:J29" si="3">EDATE(E29,1)</f>
        <v>41342</v>
      </c>
      <c r="G29" s="94">
        <f t="shared" si="3"/>
        <v>41373</v>
      </c>
      <c r="H29" s="94">
        <f t="shared" si="3"/>
        <v>41403</v>
      </c>
      <c r="I29" s="94">
        <f t="shared" si="3"/>
        <v>41434</v>
      </c>
      <c r="J29" s="94">
        <f t="shared" si="3"/>
        <v>41464</v>
      </c>
    </row>
    <row r="30" spans="2:11" x14ac:dyDescent="0.3">
      <c r="D30" s="17">
        <v>41290</v>
      </c>
      <c r="E30" s="94">
        <f>EDATE(D30,1)</f>
        <v>41321</v>
      </c>
      <c r="F30" s="94">
        <f t="shared" ref="F30:J30" si="4">EDATE(E30,1)</f>
        <v>41349</v>
      </c>
      <c r="G30" s="94">
        <f t="shared" si="4"/>
        <v>41380</v>
      </c>
      <c r="H30" s="94">
        <f t="shared" si="4"/>
        <v>41410</v>
      </c>
      <c r="I30" s="94">
        <f t="shared" si="4"/>
        <v>41441</v>
      </c>
      <c r="J30" s="94">
        <f t="shared" si="4"/>
        <v>41471</v>
      </c>
    </row>
    <row r="33" spans="2:16" x14ac:dyDescent="0.3">
      <c r="B33" s="138" t="s">
        <v>211</v>
      </c>
    </row>
    <row r="35" spans="2:16" x14ac:dyDescent="0.3">
      <c r="B35" s="144"/>
      <c r="C35" s="145" t="s">
        <v>126</v>
      </c>
      <c r="D35" s="186">
        <v>41289</v>
      </c>
      <c r="E35" s="187"/>
      <c r="F35" s="187"/>
      <c r="G35" s="187"/>
      <c r="H35" s="187"/>
      <c r="I35" s="187"/>
      <c r="J35" s="187"/>
      <c r="K35" s="187"/>
      <c r="L35" s="187"/>
      <c r="M35" s="187"/>
      <c r="N35" s="187"/>
      <c r="O35" s="187"/>
      <c r="P35" s="188"/>
    </row>
    <row r="36" spans="2:16" x14ac:dyDescent="0.3">
      <c r="B36" s="148"/>
      <c r="C36" s="149"/>
      <c r="D36" s="149"/>
      <c r="E36" s="189"/>
      <c r="F36" s="149"/>
      <c r="G36" s="149"/>
      <c r="H36" s="149"/>
      <c r="I36" s="149"/>
      <c r="J36" s="149"/>
      <c r="K36" s="149"/>
      <c r="L36" s="149"/>
      <c r="M36" s="149"/>
      <c r="N36" s="149"/>
      <c r="O36" s="149"/>
      <c r="P36" s="190"/>
    </row>
    <row r="37" spans="2:16" x14ac:dyDescent="0.3">
      <c r="B37" s="183"/>
      <c r="C37" s="147" t="s">
        <v>127</v>
      </c>
      <c r="D37" s="191">
        <v>41289</v>
      </c>
      <c r="E37" s="192"/>
      <c r="F37" s="192"/>
      <c r="G37" s="192"/>
      <c r="H37" s="192"/>
      <c r="I37" s="192"/>
      <c r="J37" s="192"/>
      <c r="K37" s="192"/>
      <c r="L37" s="192"/>
      <c r="M37" s="192"/>
      <c r="N37" s="192"/>
      <c r="O37" s="192"/>
      <c r="P37" s="193"/>
    </row>
    <row r="39" spans="2:16" x14ac:dyDescent="0.3">
      <c r="E39" s="65"/>
      <c r="F39" s="65"/>
      <c r="G39" s="65"/>
      <c r="H39" s="65"/>
      <c r="I39" s="65"/>
      <c r="J39" s="65"/>
      <c r="K39" s="65"/>
      <c r="L39" s="65"/>
    </row>
    <row r="40" spans="2:16" x14ac:dyDescent="0.3">
      <c r="B40" s="158" t="s">
        <v>125</v>
      </c>
      <c r="C40" s="159"/>
      <c r="D40" s="159"/>
      <c r="E40" s="194"/>
      <c r="F40" s="194"/>
      <c r="G40" s="194"/>
      <c r="H40" s="194"/>
      <c r="I40" s="194"/>
      <c r="J40" s="194"/>
      <c r="K40" s="194"/>
      <c r="L40" s="194"/>
      <c r="M40" s="159"/>
      <c r="N40" s="159"/>
      <c r="O40" s="159"/>
      <c r="P40" s="160"/>
    </row>
    <row r="41" spans="2:16" x14ac:dyDescent="0.3">
      <c r="B41" s="164"/>
      <c r="C41" s="165"/>
      <c r="D41" s="165"/>
      <c r="E41" s="195"/>
      <c r="F41" s="195"/>
      <c r="G41" s="195"/>
      <c r="H41" s="195"/>
      <c r="I41" s="195"/>
      <c r="J41" s="195"/>
      <c r="K41" s="195"/>
      <c r="L41" s="195"/>
      <c r="M41" s="165"/>
      <c r="N41" s="165"/>
      <c r="O41" s="165"/>
      <c r="P41" s="196"/>
    </row>
    <row r="42" spans="2:16" x14ac:dyDescent="0.3">
      <c r="B42" s="164"/>
      <c r="C42" s="165" t="s">
        <v>126</v>
      </c>
      <c r="D42" s="197">
        <v>41289</v>
      </c>
      <c r="E42" s="198">
        <f t="shared" ref="E42:P42" si="5">EOMONTH(D42,3)</f>
        <v>41394</v>
      </c>
      <c r="F42" s="198">
        <f t="shared" si="5"/>
        <v>41486</v>
      </c>
      <c r="G42" s="198">
        <f t="shared" si="5"/>
        <v>41578</v>
      </c>
      <c r="H42" s="198">
        <f t="shared" si="5"/>
        <v>41670</v>
      </c>
      <c r="I42" s="198">
        <f t="shared" si="5"/>
        <v>41759</v>
      </c>
      <c r="J42" s="198">
        <f t="shared" si="5"/>
        <v>41851</v>
      </c>
      <c r="K42" s="198">
        <f t="shared" si="5"/>
        <v>41943</v>
      </c>
      <c r="L42" s="198">
        <f t="shared" si="5"/>
        <v>42035</v>
      </c>
      <c r="M42" s="198">
        <f t="shared" si="5"/>
        <v>42124</v>
      </c>
      <c r="N42" s="198">
        <f t="shared" si="5"/>
        <v>42216</v>
      </c>
      <c r="O42" s="198">
        <f t="shared" si="5"/>
        <v>42308</v>
      </c>
      <c r="P42" s="199">
        <f t="shared" si="5"/>
        <v>42400</v>
      </c>
    </row>
    <row r="43" spans="2:16" x14ac:dyDescent="0.3">
      <c r="B43" s="164"/>
      <c r="C43" s="200" t="s">
        <v>128</v>
      </c>
      <c r="D43" s="201">
        <f>D42</f>
        <v>41289</v>
      </c>
      <c r="E43" s="201">
        <f t="shared" ref="E43:P43" si="6">E42</f>
        <v>41394</v>
      </c>
      <c r="F43" s="201">
        <f t="shared" si="6"/>
        <v>41486</v>
      </c>
      <c r="G43" s="201">
        <f t="shared" si="6"/>
        <v>41578</v>
      </c>
      <c r="H43" s="201">
        <f t="shared" si="6"/>
        <v>41670</v>
      </c>
      <c r="I43" s="201">
        <f t="shared" si="6"/>
        <v>41759</v>
      </c>
      <c r="J43" s="201">
        <f t="shared" si="6"/>
        <v>41851</v>
      </c>
      <c r="K43" s="201">
        <f t="shared" si="6"/>
        <v>41943</v>
      </c>
      <c r="L43" s="201">
        <f t="shared" si="6"/>
        <v>42035</v>
      </c>
      <c r="M43" s="201">
        <f t="shared" si="6"/>
        <v>42124</v>
      </c>
      <c r="N43" s="201">
        <f t="shared" si="6"/>
        <v>42216</v>
      </c>
      <c r="O43" s="201">
        <f t="shared" si="6"/>
        <v>42308</v>
      </c>
      <c r="P43" s="202">
        <f t="shared" si="6"/>
        <v>42400</v>
      </c>
    </row>
    <row r="44" spans="2:16" x14ac:dyDescent="0.3">
      <c r="B44" s="164"/>
      <c r="C44" s="165"/>
      <c r="D44" s="165"/>
      <c r="E44" s="198"/>
      <c r="F44" s="165"/>
      <c r="G44" s="165"/>
      <c r="H44" s="165"/>
      <c r="I44" s="165"/>
      <c r="J44" s="165"/>
      <c r="K44" s="165"/>
      <c r="L44" s="165"/>
      <c r="M44" s="165"/>
      <c r="N44" s="165"/>
      <c r="O44" s="165"/>
      <c r="P44" s="196"/>
    </row>
    <row r="45" spans="2:16" x14ac:dyDescent="0.3">
      <c r="B45" s="164"/>
      <c r="C45" s="165" t="s">
        <v>127</v>
      </c>
      <c r="D45" s="197">
        <v>41289</v>
      </c>
      <c r="E45" s="198">
        <f t="shared" ref="E45:P45" si="7">EDATE(D45,3)</f>
        <v>41379</v>
      </c>
      <c r="F45" s="198">
        <f t="shared" si="7"/>
        <v>41470</v>
      </c>
      <c r="G45" s="198">
        <f t="shared" si="7"/>
        <v>41562</v>
      </c>
      <c r="H45" s="198">
        <f t="shared" si="7"/>
        <v>41654</v>
      </c>
      <c r="I45" s="198">
        <f t="shared" si="7"/>
        <v>41744</v>
      </c>
      <c r="J45" s="198">
        <f t="shared" si="7"/>
        <v>41835</v>
      </c>
      <c r="K45" s="198">
        <f t="shared" si="7"/>
        <v>41927</v>
      </c>
      <c r="L45" s="198">
        <f t="shared" si="7"/>
        <v>42019</v>
      </c>
      <c r="M45" s="198">
        <f t="shared" si="7"/>
        <v>42109</v>
      </c>
      <c r="N45" s="198">
        <f t="shared" si="7"/>
        <v>42200</v>
      </c>
      <c r="O45" s="198">
        <f t="shared" si="7"/>
        <v>42292</v>
      </c>
      <c r="P45" s="199">
        <f t="shared" si="7"/>
        <v>42384</v>
      </c>
    </row>
    <row r="46" spans="2:16" x14ac:dyDescent="0.3">
      <c r="B46" s="179"/>
      <c r="C46" s="203" t="s">
        <v>128</v>
      </c>
      <c r="D46" s="204">
        <f t="shared" ref="D46:P46" si="8">D45</f>
        <v>41289</v>
      </c>
      <c r="E46" s="204">
        <f t="shared" si="8"/>
        <v>41379</v>
      </c>
      <c r="F46" s="204">
        <f t="shared" si="8"/>
        <v>41470</v>
      </c>
      <c r="G46" s="204">
        <f t="shared" si="8"/>
        <v>41562</v>
      </c>
      <c r="H46" s="204">
        <f t="shared" si="8"/>
        <v>41654</v>
      </c>
      <c r="I46" s="204">
        <f t="shared" si="8"/>
        <v>41744</v>
      </c>
      <c r="J46" s="204">
        <f t="shared" si="8"/>
        <v>41835</v>
      </c>
      <c r="K46" s="204">
        <f t="shared" si="8"/>
        <v>41927</v>
      </c>
      <c r="L46" s="204">
        <f t="shared" si="8"/>
        <v>42019</v>
      </c>
      <c r="M46" s="204">
        <f t="shared" si="8"/>
        <v>42109</v>
      </c>
      <c r="N46" s="204">
        <f t="shared" si="8"/>
        <v>42200</v>
      </c>
      <c r="O46" s="204">
        <f t="shared" si="8"/>
        <v>42292</v>
      </c>
      <c r="P46" s="205">
        <f t="shared" si="8"/>
        <v>42384</v>
      </c>
    </row>
    <row r="47" spans="2:16" x14ac:dyDescent="0.3">
      <c r="B47" s="72"/>
      <c r="C47" s="72"/>
      <c r="D47" s="72"/>
      <c r="E47" s="72"/>
      <c r="F47" s="72"/>
      <c r="G47" s="72"/>
      <c r="H47" s="72"/>
      <c r="I47" s="72"/>
      <c r="J47" s="72"/>
      <c r="K47" s="72"/>
      <c r="L47" s="72"/>
      <c r="M47" s="72"/>
      <c r="N47" s="72"/>
      <c r="O47" s="72"/>
      <c r="P47" s="72"/>
    </row>
    <row r="48" spans="2:16" x14ac:dyDescent="0.3">
      <c r="B48" s="72"/>
      <c r="C48" s="72"/>
      <c r="D48" s="72"/>
      <c r="E48" s="72"/>
      <c r="F48" s="72"/>
      <c r="G48" s="72"/>
      <c r="H48" s="72"/>
      <c r="I48" s="72"/>
      <c r="J48" s="72"/>
      <c r="K48" s="72"/>
      <c r="L48" s="72"/>
      <c r="M48" s="72"/>
      <c r="N48" s="72"/>
      <c r="O48" s="72"/>
      <c r="P48" s="72"/>
    </row>
    <row r="49" spans="2:16" x14ac:dyDescent="0.3">
      <c r="B49" s="72"/>
      <c r="C49" s="72"/>
      <c r="D49" s="72"/>
      <c r="E49" s="72"/>
      <c r="F49" s="72"/>
      <c r="G49" s="72"/>
      <c r="H49" s="72"/>
      <c r="I49" s="72"/>
      <c r="J49" s="72"/>
      <c r="K49" s="72"/>
      <c r="L49" s="72"/>
      <c r="M49" s="72"/>
      <c r="N49" s="72"/>
      <c r="O49" s="72"/>
      <c r="P49" s="72"/>
    </row>
  </sheetData>
  <pageMargins left="0.7" right="0.7" top="0.75" bottom="0.75" header="0.3" footer="0.3"/>
  <pageSetup orientation="portrait" verticalDpi="1200"/>
  <legacyDrawing r:id="rId1"/>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S73"/>
  <sheetViews>
    <sheetView zoomScaleNormal="100" zoomScalePageLayoutView="175" workbookViewId="0"/>
  </sheetViews>
  <sheetFormatPr defaultColWidth="8.6640625" defaultRowHeight="18.75" x14ac:dyDescent="0.3"/>
  <cols>
    <col min="1" max="1" width="2" style="1" customWidth="1"/>
    <col min="2" max="2" width="10.33203125" style="1" customWidth="1"/>
    <col min="3" max="3" width="9.88671875" style="1" customWidth="1"/>
    <col min="4" max="4" width="12.5546875" style="1" customWidth="1"/>
    <col min="5" max="5" width="10.88671875" style="1" customWidth="1"/>
    <col min="6" max="6" width="9.5546875" style="1" customWidth="1"/>
    <col min="7" max="7" width="8.33203125" style="1" customWidth="1"/>
    <col min="8" max="8" width="10.21875" style="1" customWidth="1"/>
    <col min="9" max="16384" width="8.6640625" style="1"/>
  </cols>
  <sheetData>
    <row r="2" spans="2:10" ht="23.25" x14ac:dyDescent="0.35">
      <c r="B2" s="5" t="s">
        <v>31</v>
      </c>
    </row>
    <row r="4" spans="2:10" x14ac:dyDescent="0.3">
      <c r="B4" s="1" t="s">
        <v>217</v>
      </c>
    </row>
    <row r="5" spans="2:10" x14ac:dyDescent="0.3">
      <c r="B5" s="1" t="s">
        <v>260</v>
      </c>
    </row>
    <row r="6" spans="2:10" x14ac:dyDescent="0.3">
      <c r="B6" s="1" t="s">
        <v>261</v>
      </c>
    </row>
    <row r="8" spans="2:10" x14ac:dyDescent="0.3">
      <c r="B8" s="138" t="s">
        <v>214</v>
      </c>
      <c r="G8" s="64"/>
    </row>
    <row r="9" spans="2:10" x14ac:dyDescent="0.3">
      <c r="B9" s="138"/>
      <c r="G9" s="64"/>
    </row>
    <row r="10" spans="2:10" x14ac:dyDescent="0.3">
      <c r="B10" s="138" t="s">
        <v>213</v>
      </c>
      <c r="E10" s="23" t="s">
        <v>212</v>
      </c>
      <c r="G10" s="64"/>
    </row>
    <row r="11" spans="2:10" x14ac:dyDescent="0.3">
      <c r="G11" s="64"/>
    </row>
    <row r="12" spans="2:10" x14ac:dyDescent="0.3">
      <c r="B12" s="370" t="s">
        <v>258</v>
      </c>
      <c r="G12" s="64"/>
      <c r="J12" s="28" t="s">
        <v>262</v>
      </c>
    </row>
    <row r="13" spans="2:10" x14ac:dyDescent="0.3">
      <c r="D13" s="7" t="s">
        <v>215</v>
      </c>
      <c r="J13" s="371">
        <f>IF(E10="Yes",15,0)</f>
        <v>15</v>
      </c>
    </row>
    <row r="14" spans="2:10" x14ac:dyDescent="0.3">
      <c r="D14" s="7"/>
      <c r="J14" s="371"/>
    </row>
    <row r="15" spans="2:10" x14ac:dyDescent="0.3">
      <c r="B15" s="370" t="s">
        <v>259</v>
      </c>
      <c r="J15" s="28" t="s">
        <v>262</v>
      </c>
    </row>
    <row r="16" spans="2:10" x14ac:dyDescent="0.3">
      <c r="B16" s="23">
        <v>0.03</v>
      </c>
      <c r="C16" s="206">
        <v>500</v>
      </c>
      <c r="D16" s="7" t="s">
        <v>216</v>
      </c>
      <c r="J16" s="371">
        <f>IF(E10="Yes",B16*C16,0)</f>
        <v>15</v>
      </c>
    </row>
    <row r="17" spans="1:19" x14ac:dyDescent="0.3">
      <c r="D17" s="7"/>
      <c r="G17" s="64"/>
    </row>
    <row r="20" spans="1:19" x14ac:dyDescent="0.3">
      <c r="B20" s="36" t="s">
        <v>233</v>
      </c>
    </row>
    <row r="21" spans="1:19" x14ac:dyDescent="0.3">
      <c r="B21" s="1" t="s">
        <v>155</v>
      </c>
    </row>
    <row r="23" spans="1:19" s="207" customFormat="1" x14ac:dyDescent="0.3">
      <c r="B23" s="238" t="s">
        <v>218</v>
      </c>
      <c r="C23" s="239"/>
      <c r="D23" s="239"/>
      <c r="E23" s="239"/>
      <c r="F23" s="239"/>
      <c r="G23" s="240" t="s">
        <v>219</v>
      </c>
      <c r="H23" s="241" t="s">
        <v>44</v>
      </c>
    </row>
    <row r="24" spans="1:19" s="207" customFormat="1" x14ac:dyDescent="0.3">
      <c r="B24" s="208" t="s">
        <v>220</v>
      </c>
      <c r="C24" s="210"/>
      <c r="D24" s="210"/>
      <c r="E24" s="210"/>
      <c r="F24" s="210"/>
      <c r="G24" s="209"/>
      <c r="H24" s="128">
        <v>1</v>
      </c>
    </row>
    <row r="25" spans="1:19" s="207" customFormat="1" x14ac:dyDescent="0.3">
      <c r="B25" s="208" t="s">
        <v>221</v>
      </c>
      <c r="C25" s="210"/>
      <c r="D25" s="210"/>
      <c r="E25" s="210"/>
      <c r="F25" s="210"/>
      <c r="G25" s="124">
        <v>3</v>
      </c>
      <c r="H25" s="211"/>
    </row>
    <row r="26" spans="1:19" s="207" customFormat="1" x14ac:dyDescent="0.3">
      <c r="B26" s="208" t="s">
        <v>222</v>
      </c>
      <c r="C26" s="210"/>
      <c r="D26" s="210"/>
      <c r="E26" s="210"/>
      <c r="F26" s="210"/>
      <c r="G26" s="124"/>
      <c r="H26" s="213">
        <f>H24+G25</f>
        <v>4</v>
      </c>
    </row>
    <row r="27" spans="1:19" s="207" customFormat="1" x14ac:dyDescent="0.3">
      <c r="B27" s="208" t="s">
        <v>223</v>
      </c>
      <c r="C27" s="210"/>
      <c r="D27" s="210"/>
      <c r="E27" s="210"/>
      <c r="F27" s="210"/>
      <c r="G27" s="124">
        <v>4</v>
      </c>
      <c r="H27" s="213"/>
    </row>
    <row r="28" spans="1:19" s="207" customFormat="1" x14ac:dyDescent="0.3">
      <c r="B28" s="214" t="s">
        <v>224</v>
      </c>
      <c r="C28" s="210"/>
      <c r="D28" s="210"/>
      <c r="E28" s="210"/>
      <c r="F28" s="210"/>
      <c r="G28" s="124">
        <v>2</v>
      </c>
      <c r="H28" s="215"/>
    </row>
    <row r="29" spans="1:19" s="207" customFormat="1" x14ac:dyDescent="0.3">
      <c r="A29" s="216"/>
      <c r="B29" s="208" t="s">
        <v>225</v>
      </c>
      <c r="C29" s="210"/>
      <c r="D29" s="210"/>
      <c r="E29" s="210"/>
      <c r="F29" s="210"/>
      <c r="G29" s="212"/>
      <c r="H29" s="213">
        <f>H26+G27-G28</f>
        <v>6</v>
      </c>
      <c r="I29" s="210"/>
      <c r="J29" s="210"/>
    </row>
    <row r="30" spans="1:19" s="207" customFormat="1" x14ac:dyDescent="0.3">
      <c r="B30" s="208" t="s">
        <v>226</v>
      </c>
      <c r="C30" s="210"/>
      <c r="D30" s="210"/>
      <c r="E30" s="210"/>
      <c r="F30" s="210"/>
      <c r="G30" s="217"/>
      <c r="H30" s="213">
        <f>G27+H26-1</f>
        <v>7</v>
      </c>
      <c r="I30" s="210"/>
      <c r="J30" s="210"/>
    </row>
    <row r="31" spans="1:19" s="207" customFormat="1" x14ac:dyDescent="0.3">
      <c r="B31" s="218" t="s">
        <v>235</v>
      </c>
      <c r="C31" s="220"/>
      <c r="D31" s="220"/>
      <c r="E31" s="220"/>
      <c r="F31" s="220"/>
      <c r="G31" s="219"/>
      <c r="H31" s="237">
        <v>12</v>
      </c>
      <c r="I31" s="210"/>
      <c r="J31" s="210"/>
    </row>
    <row r="32" spans="1:19" s="207" customFormat="1" ht="43.5" customHeight="1" x14ac:dyDescent="0.3">
      <c r="B32" s="233" t="s">
        <v>227</v>
      </c>
      <c r="G32" s="221">
        <v>41275</v>
      </c>
      <c r="H32" s="221">
        <v>41306</v>
      </c>
      <c r="I32" s="221">
        <v>41334</v>
      </c>
      <c r="J32" s="221">
        <v>41365</v>
      </c>
      <c r="K32" s="221">
        <v>41395</v>
      </c>
      <c r="L32" s="221">
        <v>41426</v>
      </c>
      <c r="M32" s="221">
        <v>41456</v>
      </c>
      <c r="N32" s="221">
        <v>41487</v>
      </c>
      <c r="O32" s="221">
        <v>41518</v>
      </c>
      <c r="P32" s="221">
        <v>41548</v>
      </c>
      <c r="Q32" s="221">
        <v>41579</v>
      </c>
      <c r="R32" s="221">
        <v>41609</v>
      </c>
      <c r="S32" s="222"/>
    </row>
    <row r="33" spans="2:18" s="207" customFormat="1" x14ac:dyDescent="0.3">
      <c r="B33" s="233" t="s">
        <v>44</v>
      </c>
      <c r="G33" s="223">
        <f>H24</f>
        <v>1</v>
      </c>
      <c r="H33" s="224">
        <f>G33+1</f>
        <v>2</v>
      </c>
      <c r="I33" s="224">
        <f t="shared" ref="I33:R33" si="0">H33+1</f>
        <v>3</v>
      </c>
      <c r="J33" s="224">
        <f>I33+1</f>
        <v>4</v>
      </c>
      <c r="K33" s="224">
        <f t="shared" si="0"/>
        <v>5</v>
      </c>
      <c r="L33" s="224">
        <f t="shared" si="0"/>
        <v>6</v>
      </c>
      <c r="M33" s="224">
        <f t="shared" si="0"/>
        <v>7</v>
      </c>
      <c r="N33" s="224">
        <f t="shared" si="0"/>
        <v>8</v>
      </c>
      <c r="O33" s="224">
        <f t="shared" si="0"/>
        <v>9</v>
      </c>
      <c r="P33" s="224">
        <f t="shared" si="0"/>
        <v>10</v>
      </c>
      <c r="Q33" s="224">
        <f t="shared" si="0"/>
        <v>11</v>
      </c>
      <c r="R33" s="224">
        <f t="shared" si="0"/>
        <v>12</v>
      </c>
    </row>
    <row r="34" spans="2:18" s="207" customFormat="1" x14ac:dyDescent="0.3">
      <c r="B34" s="233" t="s">
        <v>228</v>
      </c>
      <c r="G34" s="224">
        <f>IF(G33&gt;$H$30,"-",IF(G33&gt;=$G$25+1,IF(G33=$G$25,1,D34+1),0))</f>
        <v>0</v>
      </c>
      <c r="H34" s="224">
        <f t="shared" ref="H34:R34" si="1">IF(H33&gt;$H$30,"-",IF(H33&gt;=$G$25+1,IF(H33=$G$25,1,G34+1),0))</f>
        <v>0</v>
      </c>
      <c r="I34" s="224">
        <f t="shared" si="1"/>
        <v>0</v>
      </c>
      <c r="J34" s="224">
        <f t="shared" si="1"/>
        <v>1</v>
      </c>
      <c r="K34" s="224">
        <f t="shared" si="1"/>
        <v>2</v>
      </c>
      <c r="L34" s="224">
        <f t="shared" si="1"/>
        <v>3</v>
      </c>
      <c r="M34" s="224">
        <f t="shared" si="1"/>
        <v>4</v>
      </c>
      <c r="N34" s="224" t="str">
        <f t="shared" si="1"/>
        <v>-</v>
      </c>
      <c r="O34" s="224" t="str">
        <f t="shared" si="1"/>
        <v>-</v>
      </c>
      <c r="P34" s="224" t="str">
        <f t="shared" si="1"/>
        <v>-</v>
      </c>
      <c r="Q34" s="224" t="str">
        <f t="shared" si="1"/>
        <v>-</v>
      </c>
      <c r="R34" s="224" t="str">
        <f t="shared" si="1"/>
        <v>-</v>
      </c>
    </row>
    <row r="35" spans="2:18" s="225" customFormat="1" ht="39" customHeight="1" x14ac:dyDescent="0.3">
      <c r="B35" s="234" t="s">
        <v>229</v>
      </c>
      <c r="G35" s="226">
        <f>IF(G33&lt;$H$26,1,IF(G33&gt;$H30,3,2))</f>
        <v>1</v>
      </c>
      <c r="H35" s="226">
        <f t="shared" ref="H35:R35" si="2">IF(H33&lt;$H$26,1,IF(H33&gt;$H30,3,2))</f>
        <v>1</v>
      </c>
      <c r="I35" s="226">
        <f t="shared" si="2"/>
        <v>1</v>
      </c>
      <c r="J35" s="226">
        <f t="shared" si="2"/>
        <v>2</v>
      </c>
      <c r="K35" s="226">
        <f t="shared" si="2"/>
        <v>2</v>
      </c>
      <c r="L35" s="226">
        <f t="shared" si="2"/>
        <v>2</v>
      </c>
      <c r="M35" s="226">
        <f t="shared" si="2"/>
        <v>2</v>
      </c>
      <c r="N35" s="226">
        <f t="shared" si="2"/>
        <v>3</v>
      </c>
      <c r="O35" s="226">
        <f t="shared" si="2"/>
        <v>3</v>
      </c>
      <c r="P35" s="226">
        <f t="shared" si="2"/>
        <v>3</v>
      </c>
      <c r="Q35" s="226">
        <f t="shared" si="2"/>
        <v>3</v>
      </c>
      <c r="R35" s="226">
        <f t="shared" si="2"/>
        <v>3</v>
      </c>
    </row>
    <row r="36" spans="2:18" s="207" customFormat="1" x14ac:dyDescent="0.3">
      <c r="B36" s="233" t="s">
        <v>230</v>
      </c>
      <c r="G36" s="224">
        <f>ROUNDUP(G33/12,0)</f>
        <v>1</v>
      </c>
      <c r="H36" s="224">
        <f t="shared" ref="H36:R36" si="3">ROUNDUP(H33/12,0)</f>
        <v>1</v>
      </c>
      <c r="I36" s="224">
        <f t="shared" si="3"/>
        <v>1</v>
      </c>
      <c r="J36" s="224">
        <f t="shared" si="3"/>
        <v>1</v>
      </c>
      <c r="K36" s="224">
        <f t="shared" si="3"/>
        <v>1</v>
      </c>
      <c r="L36" s="224">
        <f t="shared" si="3"/>
        <v>1</v>
      </c>
      <c r="M36" s="224">
        <f t="shared" si="3"/>
        <v>1</v>
      </c>
      <c r="N36" s="224">
        <f t="shared" si="3"/>
        <v>1</v>
      </c>
      <c r="O36" s="224">
        <f t="shared" si="3"/>
        <v>1</v>
      </c>
      <c r="P36" s="224">
        <f t="shared" si="3"/>
        <v>1</v>
      </c>
      <c r="Q36" s="224">
        <f t="shared" si="3"/>
        <v>1</v>
      </c>
      <c r="R36" s="224">
        <f t="shared" si="3"/>
        <v>1</v>
      </c>
    </row>
    <row r="37" spans="2:18" s="207" customFormat="1" x14ac:dyDescent="0.3">
      <c r="B37" s="227"/>
      <c r="C37" s="227"/>
      <c r="E37" s="224"/>
    </row>
    <row r="38" spans="2:18" s="207" customFormat="1" x14ac:dyDescent="0.3">
      <c r="B38" s="227"/>
      <c r="C38" s="227"/>
      <c r="E38" s="224"/>
    </row>
    <row r="39" spans="2:18" s="207" customFormat="1" x14ac:dyDescent="0.3">
      <c r="B39" s="235" t="s">
        <v>231</v>
      </c>
      <c r="F39" s="224" t="s">
        <v>43</v>
      </c>
    </row>
    <row r="40" spans="2:18" s="225" customFormat="1" ht="45.2" customHeight="1" x14ac:dyDescent="0.3">
      <c r="B40" s="234" t="s">
        <v>232</v>
      </c>
      <c r="F40" s="228">
        <v>500000</v>
      </c>
      <c r="G40" s="229">
        <f>IF(G35=2,$F$40/($G$27),0)</f>
        <v>0</v>
      </c>
      <c r="H40" s="229">
        <f t="shared" ref="H40:R40" si="4">IF(H35=2,$F$40/($G$27),0)</f>
        <v>0</v>
      </c>
      <c r="I40" s="229">
        <f t="shared" si="4"/>
        <v>0</v>
      </c>
      <c r="J40" s="229">
        <f t="shared" si="4"/>
        <v>125000</v>
      </c>
      <c r="K40" s="229">
        <f t="shared" si="4"/>
        <v>125000</v>
      </c>
      <c r="L40" s="229">
        <f t="shared" si="4"/>
        <v>125000</v>
      </c>
      <c r="M40" s="229">
        <f t="shared" si="4"/>
        <v>125000</v>
      </c>
      <c r="N40" s="229">
        <f t="shared" si="4"/>
        <v>0</v>
      </c>
      <c r="O40" s="229">
        <f t="shared" si="4"/>
        <v>0</v>
      </c>
      <c r="P40" s="229">
        <f t="shared" si="4"/>
        <v>0</v>
      </c>
      <c r="Q40" s="229">
        <f t="shared" si="4"/>
        <v>0</v>
      </c>
      <c r="R40" s="229">
        <f t="shared" si="4"/>
        <v>0</v>
      </c>
    </row>
    <row r="41" spans="2:18" s="207" customFormat="1" x14ac:dyDescent="0.3">
      <c r="B41" s="232" t="s">
        <v>234</v>
      </c>
      <c r="F41" s="227"/>
      <c r="G41" s="230"/>
      <c r="H41" s="230"/>
      <c r="I41" s="230"/>
      <c r="J41" s="230"/>
      <c r="K41" s="230"/>
      <c r="L41" s="230"/>
      <c r="M41" s="230"/>
      <c r="N41" s="230"/>
      <c r="O41" s="230"/>
      <c r="P41" s="230"/>
      <c r="Q41" s="230"/>
    </row>
    <row r="42" spans="2:18" s="207" customFormat="1" x14ac:dyDescent="0.3">
      <c r="B42" s="232"/>
      <c r="G42" s="230"/>
      <c r="H42" s="230"/>
      <c r="I42" s="230"/>
      <c r="J42" s="230"/>
      <c r="K42" s="230"/>
      <c r="L42" s="230"/>
      <c r="M42" s="230"/>
      <c r="N42" s="230"/>
      <c r="O42" s="230"/>
      <c r="P42" s="230"/>
      <c r="Q42" s="230"/>
    </row>
    <row r="43" spans="2:18" s="207" customFormat="1" x14ac:dyDescent="0.3">
      <c r="B43" s="232"/>
      <c r="C43" s="228"/>
      <c r="E43" s="230"/>
      <c r="F43" s="228">
        <v>650000</v>
      </c>
      <c r="G43" s="244"/>
      <c r="H43" s="245"/>
      <c r="I43" s="245"/>
      <c r="J43" s="245"/>
      <c r="K43" s="245"/>
      <c r="L43" s="245"/>
      <c r="M43" s="245"/>
      <c r="N43" s="245"/>
      <c r="O43" s="245"/>
      <c r="P43" s="245"/>
      <c r="Q43" s="245"/>
      <c r="R43" s="246"/>
    </row>
    <row r="44" spans="2:18" s="207" customFormat="1" x14ac:dyDescent="0.3">
      <c r="B44" s="232"/>
      <c r="C44" s="228"/>
      <c r="E44" s="230"/>
      <c r="F44" s="231"/>
      <c r="G44" s="230"/>
      <c r="H44" s="230"/>
      <c r="I44" s="230"/>
      <c r="J44" s="230"/>
      <c r="K44" s="230"/>
      <c r="L44" s="230"/>
      <c r="M44" s="230"/>
      <c r="N44" s="230"/>
      <c r="O44" s="230"/>
      <c r="P44" s="230"/>
      <c r="Q44" s="230"/>
    </row>
    <row r="45" spans="2:18" s="207" customFormat="1" x14ac:dyDescent="0.3">
      <c r="B45" s="232"/>
      <c r="C45" s="228"/>
      <c r="E45" s="230"/>
      <c r="F45" s="231"/>
      <c r="G45" s="230"/>
      <c r="H45" s="230"/>
      <c r="I45" s="230"/>
      <c r="J45" s="230"/>
      <c r="K45" s="230"/>
      <c r="L45" s="230"/>
      <c r="M45" s="230"/>
      <c r="N45" s="230"/>
      <c r="O45" s="230"/>
      <c r="P45" s="230"/>
      <c r="Q45" s="230"/>
    </row>
    <row r="46" spans="2:18" s="207" customFormat="1" x14ac:dyDescent="0.3">
      <c r="B46" s="232"/>
      <c r="C46" s="228"/>
      <c r="E46" s="230"/>
      <c r="F46" s="231"/>
      <c r="G46" s="230"/>
      <c r="H46" s="230"/>
      <c r="I46" s="230"/>
      <c r="J46" s="230"/>
      <c r="K46" s="230"/>
      <c r="L46" s="230"/>
      <c r="M46" s="230"/>
      <c r="N46" s="230"/>
      <c r="O46" s="230"/>
      <c r="P46" s="230"/>
      <c r="Q46" s="230"/>
    </row>
    <row r="47" spans="2:18" s="207" customFormat="1" x14ac:dyDescent="0.3">
      <c r="B47" s="232"/>
      <c r="C47" s="228"/>
      <c r="E47" s="230"/>
      <c r="F47" s="231"/>
      <c r="G47" s="230"/>
      <c r="H47" s="230"/>
      <c r="I47" s="230"/>
      <c r="J47" s="230"/>
      <c r="K47" s="230"/>
      <c r="L47" s="230"/>
      <c r="M47" s="230"/>
      <c r="N47" s="230"/>
      <c r="O47" s="230"/>
      <c r="P47" s="230"/>
      <c r="Q47" s="230"/>
    </row>
    <row r="49" spans="2:8" hidden="1" x14ac:dyDescent="0.3">
      <c r="B49" s="36" t="s">
        <v>38</v>
      </c>
    </row>
    <row r="50" spans="2:8" hidden="1" x14ac:dyDescent="0.3"/>
    <row r="51" spans="2:8" hidden="1" x14ac:dyDescent="0.3">
      <c r="B51" s="4">
        <v>2</v>
      </c>
      <c r="D51" s="1" t="str">
        <f>IF(B51=1,"Construction Start",IF(B51=2,"Construction In Progress",IF(B51=3, "Construction Ends","Construction Not Yet Started")))</f>
        <v>Construction In Progress</v>
      </c>
    </row>
    <row r="52" spans="2:8" hidden="1" x14ac:dyDescent="0.3"/>
    <row r="53" spans="2:8" hidden="1" x14ac:dyDescent="0.3"/>
    <row r="54" spans="2:8" hidden="1" x14ac:dyDescent="0.3">
      <c r="B54" s="36" t="s">
        <v>32</v>
      </c>
    </row>
    <row r="55" spans="2:8" hidden="1" x14ac:dyDescent="0.3"/>
    <row r="56" spans="2:8" hidden="1" x14ac:dyDescent="0.3">
      <c r="C56" s="28" t="s">
        <v>44</v>
      </c>
      <c r="D56" s="1">
        <v>1</v>
      </c>
      <c r="E56" s="1">
        <v>2</v>
      </c>
      <c r="F56" s="1">
        <v>3</v>
      </c>
      <c r="G56" s="1">
        <v>6</v>
      </c>
      <c r="H56" s="1">
        <v>8</v>
      </c>
    </row>
    <row r="57" spans="2:8" hidden="1" x14ac:dyDescent="0.3">
      <c r="C57" s="28" t="s">
        <v>156</v>
      </c>
      <c r="D57" s="1">
        <v>1</v>
      </c>
      <c r="E57" s="1">
        <v>2</v>
      </c>
      <c r="F57" s="1">
        <v>3</v>
      </c>
      <c r="G57" s="1">
        <v>3</v>
      </c>
      <c r="H57" s="1">
        <v>4</v>
      </c>
    </row>
    <row r="58" spans="2:8" hidden="1" x14ac:dyDescent="0.3">
      <c r="C58" s="28" t="s">
        <v>157</v>
      </c>
      <c r="D58" s="28" t="str">
        <f>IF(AND(D57=1,D56=1),"Ready","")</f>
        <v>Ready</v>
      </c>
      <c r="E58" s="28" t="str">
        <f>IF(AND(E57=1,E56=1),"Ready","")</f>
        <v/>
      </c>
      <c r="F58" s="28" t="str">
        <f>IF(AND(F57=1,F56=1),"Ready","")</f>
        <v/>
      </c>
      <c r="G58" s="28" t="str">
        <f>IF(AND(G57=1,G56=1),"Ready","")</f>
        <v/>
      </c>
      <c r="H58" s="28" t="str">
        <f>IF(AND(H57=1,H56=1),"Ready","")</f>
        <v/>
      </c>
    </row>
    <row r="59" spans="2:8" hidden="1" x14ac:dyDescent="0.3"/>
    <row r="60" spans="2:8" hidden="1" x14ac:dyDescent="0.3">
      <c r="B60" s="36" t="s">
        <v>33</v>
      </c>
      <c r="D60" s="4"/>
    </row>
    <row r="61" spans="2:8" hidden="1" x14ac:dyDescent="0.3"/>
    <row r="62" spans="2:8" hidden="1" x14ac:dyDescent="0.3">
      <c r="B62" s="23" t="s">
        <v>36</v>
      </c>
      <c r="D62" s="20">
        <v>500</v>
      </c>
    </row>
    <row r="63" spans="2:8" hidden="1" x14ac:dyDescent="0.3">
      <c r="B63" s="19" t="s">
        <v>34</v>
      </c>
      <c r="D63" s="20">
        <v>2500</v>
      </c>
    </row>
    <row r="64" spans="2:8" hidden="1" x14ac:dyDescent="0.3">
      <c r="B64" s="1" t="s">
        <v>35</v>
      </c>
      <c r="D64" s="21">
        <f>D62*IF(D63=0,0,1)</f>
        <v>500</v>
      </c>
    </row>
    <row r="65" spans="2:9" hidden="1" x14ac:dyDescent="0.3"/>
    <row r="66" spans="2:9" hidden="1" x14ac:dyDescent="0.3">
      <c r="B66" s="36" t="s">
        <v>37</v>
      </c>
    </row>
    <row r="67" spans="2:9" hidden="1" x14ac:dyDescent="0.3"/>
    <row r="68" spans="2:9" hidden="1" x14ac:dyDescent="0.3">
      <c r="C68" s="28" t="s">
        <v>44</v>
      </c>
      <c r="D68" s="1">
        <v>1</v>
      </c>
      <c r="E68" s="1">
        <v>1</v>
      </c>
      <c r="F68" s="1">
        <v>3</v>
      </c>
      <c r="G68" s="1">
        <v>4</v>
      </c>
      <c r="H68" s="1">
        <v>5</v>
      </c>
    </row>
    <row r="69" spans="2:9" hidden="1" x14ac:dyDescent="0.3">
      <c r="B69" s="75"/>
      <c r="C69" s="28" t="s">
        <v>156</v>
      </c>
      <c r="D69" s="1">
        <v>1</v>
      </c>
      <c r="E69" s="1">
        <v>2</v>
      </c>
      <c r="F69" s="1">
        <v>2</v>
      </c>
      <c r="G69" s="1">
        <v>2</v>
      </c>
      <c r="H69" s="1">
        <v>3</v>
      </c>
    </row>
    <row r="70" spans="2:9" hidden="1" x14ac:dyDescent="0.3">
      <c r="B70" s="75"/>
      <c r="C70" s="28" t="s">
        <v>157</v>
      </c>
      <c r="D70" s="28" t="str">
        <f>IF(OR(D69=1,D68&gt;=1),"Ready","")</f>
        <v>Ready</v>
      </c>
      <c r="E70" s="28" t="str">
        <f>IF(OR(E69=1,E68&gt;=1),"Ready","")</f>
        <v>Ready</v>
      </c>
      <c r="F70" s="28" t="str">
        <f>IF(OR(F69=1,F68&gt;=1),"Ready","")</f>
        <v>Ready</v>
      </c>
      <c r="G70" s="28" t="str">
        <f>IF(OR(G69=1,G68&gt;=1),"Ready","")</f>
        <v>Ready</v>
      </c>
      <c r="H70" s="28" t="str">
        <f>IF(OR(H69=1,H68&gt;=1),"Ready","")</f>
        <v>Ready</v>
      </c>
    </row>
    <row r="71" spans="2:9" hidden="1" x14ac:dyDescent="0.3"/>
    <row r="72" spans="2:9" x14ac:dyDescent="0.3">
      <c r="B72" s="72"/>
      <c r="C72" s="72"/>
      <c r="D72" s="72"/>
      <c r="E72" s="72"/>
      <c r="F72" s="72"/>
      <c r="G72" s="72"/>
      <c r="H72" s="72"/>
      <c r="I72" s="72"/>
    </row>
    <row r="73" spans="2:9" x14ac:dyDescent="0.3">
      <c r="B73" s="95"/>
      <c r="C73" s="72"/>
      <c r="D73" s="72"/>
      <c r="E73" s="72"/>
      <c r="F73" s="72"/>
      <c r="G73" s="72"/>
      <c r="H73" s="72"/>
      <c r="I73" s="72"/>
    </row>
  </sheetData>
  <pageMargins left="0.7" right="0.7" top="0.75" bottom="0.75" header="0.3" footer="0.3"/>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U57"/>
  <sheetViews>
    <sheetView zoomScaleNormal="100" zoomScalePageLayoutView="200" workbookViewId="0"/>
  </sheetViews>
  <sheetFormatPr defaultColWidth="8.6640625" defaultRowHeight="18.75" x14ac:dyDescent="0.3"/>
  <cols>
    <col min="1" max="1" width="4.88671875" style="1" customWidth="1"/>
    <col min="2" max="2" width="10.33203125" style="1" customWidth="1"/>
    <col min="3" max="3" width="9.88671875" style="1" customWidth="1"/>
    <col min="4" max="4" width="12.5546875" style="1" customWidth="1"/>
    <col min="5" max="5" width="8.109375" style="1" customWidth="1"/>
    <col min="6" max="8" width="9.5546875" style="1" customWidth="1"/>
    <col min="9" max="9" width="8.33203125" style="1" customWidth="1"/>
    <col min="10" max="10" width="8.109375" style="1" customWidth="1"/>
    <col min="11" max="16384" width="8.6640625" style="1"/>
  </cols>
  <sheetData>
    <row r="2" spans="1:21" ht="23.25" x14ac:dyDescent="0.35">
      <c r="B2" s="5" t="s">
        <v>263</v>
      </c>
    </row>
    <row r="4" spans="1:21" x14ac:dyDescent="0.3">
      <c r="B4" s="36" t="s">
        <v>233</v>
      </c>
    </row>
    <row r="5" spans="1:21" x14ac:dyDescent="0.3">
      <c r="B5" s="1" t="s">
        <v>155</v>
      </c>
    </row>
    <row r="7" spans="1:21" s="207" customFormat="1" x14ac:dyDescent="0.3">
      <c r="B7" s="238" t="s">
        <v>218</v>
      </c>
      <c r="C7" s="239"/>
      <c r="D7" s="239"/>
      <c r="E7" s="239"/>
      <c r="F7" s="239"/>
      <c r="G7" s="239"/>
      <c r="H7" s="239"/>
      <c r="I7" s="240" t="s">
        <v>219</v>
      </c>
      <c r="J7" s="241" t="s">
        <v>44</v>
      </c>
    </row>
    <row r="8" spans="1:21" s="207" customFormat="1" x14ac:dyDescent="0.3">
      <c r="B8" s="208" t="s">
        <v>220</v>
      </c>
      <c r="C8" s="210"/>
      <c r="D8" s="210"/>
      <c r="E8" s="210"/>
      <c r="F8" s="210"/>
      <c r="G8" s="210"/>
      <c r="H8" s="210"/>
      <c r="I8" s="209"/>
      <c r="J8" s="128">
        <v>1</v>
      </c>
    </row>
    <row r="9" spans="1:21" s="207" customFormat="1" x14ac:dyDescent="0.3">
      <c r="B9" s="208" t="s">
        <v>221</v>
      </c>
      <c r="C9" s="210"/>
      <c r="D9" s="210"/>
      <c r="E9" s="210"/>
      <c r="F9" s="210"/>
      <c r="G9" s="210"/>
      <c r="H9" s="210"/>
      <c r="I9" s="124">
        <v>3</v>
      </c>
      <c r="J9" s="211"/>
    </row>
    <row r="10" spans="1:21" s="207" customFormat="1" x14ac:dyDescent="0.3">
      <c r="B10" s="208" t="s">
        <v>222</v>
      </c>
      <c r="C10" s="210"/>
      <c r="D10" s="210"/>
      <c r="E10" s="210"/>
      <c r="F10" s="210"/>
      <c r="G10" s="210"/>
      <c r="H10" s="210"/>
      <c r="I10" s="124"/>
      <c r="J10" s="213">
        <f>J8+I9</f>
        <v>4</v>
      </c>
    </row>
    <row r="11" spans="1:21" s="207" customFormat="1" x14ac:dyDescent="0.3">
      <c r="B11" s="208" t="s">
        <v>223</v>
      </c>
      <c r="C11" s="210"/>
      <c r="D11" s="210"/>
      <c r="E11" s="210"/>
      <c r="F11" s="210"/>
      <c r="G11" s="210"/>
      <c r="H11" s="210"/>
      <c r="I11" s="124">
        <v>4</v>
      </c>
      <c r="J11" s="213"/>
    </row>
    <row r="12" spans="1:21" s="207" customFormat="1" x14ac:dyDescent="0.3">
      <c r="B12" s="214" t="s">
        <v>224</v>
      </c>
      <c r="C12" s="210"/>
      <c r="D12" s="210"/>
      <c r="E12" s="210"/>
      <c r="F12" s="210"/>
      <c r="G12" s="210"/>
      <c r="H12" s="210"/>
      <c r="I12" s="124">
        <v>2</v>
      </c>
      <c r="J12" s="215"/>
    </row>
    <row r="13" spans="1:21" s="207" customFormat="1" x14ac:dyDescent="0.3">
      <c r="A13" s="216"/>
      <c r="B13" s="208" t="s">
        <v>225</v>
      </c>
      <c r="C13" s="210"/>
      <c r="D13" s="210"/>
      <c r="E13" s="210"/>
      <c r="F13" s="210"/>
      <c r="G13" s="210"/>
      <c r="H13" s="210"/>
      <c r="I13" s="212"/>
      <c r="J13" s="213">
        <f>J10+I11-I12</f>
        <v>6</v>
      </c>
      <c r="K13" s="210"/>
      <c r="L13" s="210"/>
    </row>
    <row r="14" spans="1:21" s="207" customFormat="1" x14ac:dyDescent="0.3">
      <c r="B14" s="208" t="s">
        <v>226</v>
      </c>
      <c r="C14" s="210"/>
      <c r="D14" s="210"/>
      <c r="E14" s="210"/>
      <c r="F14" s="210"/>
      <c r="G14" s="210"/>
      <c r="H14" s="210"/>
      <c r="I14" s="217"/>
      <c r="J14" s="213">
        <f>I11+J10-1</f>
        <v>7</v>
      </c>
      <c r="K14" s="210"/>
      <c r="L14" s="210"/>
    </row>
    <row r="15" spans="1:21" s="207" customFormat="1" x14ac:dyDescent="0.3">
      <c r="B15" s="218" t="s">
        <v>235</v>
      </c>
      <c r="C15" s="220"/>
      <c r="D15" s="220"/>
      <c r="E15" s="220"/>
      <c r="F15" s="220"/>
      <c r="G15" s="220"/>
      <c r="H15" s="220"/>
      <c r="I15" s="219"/>
      <c r="J15" s="237">
        <v>12</v>
      </c>
      <c r="K15" s="210"/>
      <c r="L15" s="210"/>
    </row>
    <row r="16" spans="1:21" s="207" customFormat="1" ht="43.5" customHeight="1" x14ac:dyDescent="0.3">
      <c r="B16" s="233" t="s">
        <v>227</v>
      </c>
      <c r="I16" s="221">
        <v>41275</v>
      </c>
      <c r="J16" s="221">
        <v>41306</v>
      </c>
      <c r="K16" s="221">
        <v>41334</v>
      </c>
      <c r="L16" s="221">
        <v>41365</v>
      </c>
      <c r="M16" s="221">
        <v>41395</v>
      </c>
      <c r="N16" s="221">
        <v>41426</v>
      </c>
      <c r="O16" s="221">
        <v>41456</v>
      </c>
      <c r="P16" s="221">
        <v>41487</v>
      </c>
      <c r="Q16" s="221">
        <v>41518</v>
      </c>
      <c r="R16" s="221">
        <v>41548</v>
      </c>
      <c r="S16" s="221">
        <v>41579</v>
      </c>
      <c r="T16" s="221">
        <v>41609</v>
      </c>
      <c r="U16" s="222"/>
    </row>
    <row r="17" spans="2:20" s="207" customFormat="1" x14ac:dyDescent="0.3">
      <c r="B17" s="233" t="s">
        <v>44</v>
      </c>
      <c r="I17" s="223">
        <f>J8</f>
        <v>1</v>
      </c>
      <c r="J17" s="224">
        <f>I17+1</f>
        <v>2</v>
      </c>
      <c r="K17" s="224">
        <f t="shared" ref="K17:T17" si="0">J17+1</f>
        <v>3</v>
      </c>
      <c r="L17" s="224">
        <f>K17+1</f>
        <v>4</v>
      </c>
      <c r="M17" s="224">
        <f t="shared" si="0"/>
        <v>5</v>
      </c>
      <c r="N17" s="224">
        <f t="shared" si="0"/>
        <v>6</v>
      </c>
      <c r="O17" s="224">
        <f t="shared" si="0"/>
        <v>7</v>
      </c>
      <c r="P17" s="224">
        <f t="shared" si="0"/>
        <v>8</v>
      </c>
      <c r="Q17" s="224">
        <f t="shared" si="0"/>
        <v>9</v>
      </c>
      <c r="R17" s="224">
        <f t="shared" si="0"/>
        <v>10</v>
      </c>
      <c r="S17" s="224">
        <f t="shared" si="0"/>
        <v>11</v>
      </c>
      <c r="T17" s="224">
        <f t="shared" si="0"/>
        <v>12</v>
      </c>
    </row>
    <row r="18" spans="2:20" s="207" customFormat="1" x14ac:dyDescent="0.3">
      <c r="B18" s="233" t="s">
        <v>228</v>
      </c>
      <c r="I18" s="224">
        <f>IF(I17&gt;$J$14,"-",IF(I17&gt;=$I$9+1,IF(I17=$I$9,1,D18+1),0))</f>
        <v>0</v>
      </c>
      <c r="J18" s="224">
        <f t="shared" ref="J18:T18" si="1">IF(J17&gt;$J$14,"-",IF(J17&gt;=$I$9+1,IF(J17=$I$9,1,I18+1),0))</f>
        <v>0</v>
      </c>
      <c r="K18" s="224">
        <f t="shared" si="1"/>
        <v>0</v>
      </c>
      <c r="L18" s="224">
        <f t="shared" si="1"/>
        <v>1</v>
      </c>
      <c r="M18" s="224">
        <f t="shared" si="1"/>
        <v>2</v>
      </c>
      <c r="N18" s="224">
        <f t="shared" si="1"/>
        <v>3</v>
      </c>
      <c r="O18" s="224">
        <f t="shared" si="1"/>
        <v>4</v>
      </c>
      <c r="P18" s="224" t="str">
        <f t="shared" si="1"/>
        <v>-</v>
      </c>
      <c r="Q18" s="224" t="str">
        <f t="shared" si="1"/>
        <v>-</v>
      </c>
      <c r="R18" s="224" t="str">
        <f t="shared" si="1"/>
        <v>-</v>
      </c>
      <c r="S18" s="224" t="str">
        <f t="shared" si="1"/>
        <v>-</v>
      </c>
      <c r="T18" s="224" t="str">
        <f t="shared" si="1"/>
        <v>-</v>
      </c>
    </row>
    <row r="19" spans="2:20" s="225" customFormat="1" ht="39" customHeight="1" x14ac:dyDescent="0.3">
      <c r="B19" s="234" t="s">
        <v>229</v>
      </c>
      <c r="I19" s="226">
        <f t="shared" ref="I19:T19" si="2">IF(I17&lt;$J$10,1,IF(I17&gt;$J14,3,2))</f>
        <v>1</v>
      </c>
      <c r="J19" s="226">
        <f t="shared" si="2"/>
        <v>1</v>
      </c>
      <c r="K19" s="226">
        <f t="shared" si="2"/>
        <v>1</v>
      </c>
      <c r="L19" s="226">
        <f t="shared" si="2"/>
        <v>2</v>
      </c>
      <c r="M19" s="226">
        <f t="shared" si="2"/>
        <v>2</v>
      </c>
      <c r="N19" s="226">
        <f t="shared" si="2"/>
        <v>2</v>
      </c>
      <c r="O19" s="226">
        <f t="shared" si="2"/>
        <v>2</v>
      </c>
      <c r="P19" s="226">
        <f t="shared" si="2"/>
        <v>3</v>
      </c>
      <c r="Q19" s="226">
        <f t="shared" si="2"/>
        <v>3</v>
      </c>
      <c r="R19" s="226">
        <f t="shared" si="2"/>
        <v>3</v>
      </c>
      <c r="S19" s="226">
        <f t="shared" si="2"/>
        <v>3</v>
      </c>
      <c r="T19" s="226">
        <f t="shared" si="2"/>
        <v>3</v>
      </c>
    </row>
    <row r="20" spans="2:20" s="207" customFormat="1" x14ac:dyDescent="0.3">
      <c r="B20" s="233" t="s">
        <v>230</v>
      </c>
      <c r="I20" s="224">
        <f>ROUNDUP(I17/12,0)</f>
        <v>1</v>
      </c>
      <c r="J20" s="224">
        <f t="shared" ref="J20:T20" si="3">ROUNDUP(J17/12,0)</f>
        <v>1</v>
      </c>
      <c r="K20" s="224">
        <f t="shared" si="3"/>
        <v>1</v>
      </c>
      <c r="L20" s="224">
        <f t="shared" si="3"/>
        <v>1</v>
      </c>
      <c r="M20" s="224">
        <f t="shared" si="3"/>
        <v>1</v>
      </c>
      <c r="N20" s="224">
        <f t="shared" si="3"/>
        <v>1</v>
      </c>
      <c r="O20" s="224">
        <f t="shared" si="3"/>
        <v>1</v>
      </c>
      <c r="P20" s="224">
        <f t="shared" si="3"/>
        <v>1</v>
      </c>
      <c r="Q20" s="224">
        <f t="shared" si="3"/>
        <v>1</v>
      </c>
      <c r="R20" s="224">
        <f t="shared" si="3"/>
        <v>1</v>
      </c>
      <c r="S20" s="224">
        <f t="shared" si="3"/>
        <v>1</v>
      </c>
      <c r="T20" s="224">
        <f t="shared" si="3"/>
        <v>1</v>
      </c>
    </row>
    <row r="21" spans="2:20" s="207" customFormat="1" x14ac:dyDescent="0.3">
      <c r="B21" s="227"/>
      <c r="C21" s="227"/>
      <c r="E21" s="224"/>
    </row>
    <row r="22" spans="2:20" s="207" customFormat="1" x14ac:dyDescent="0.3">
      <c r="B22" s="227"/>
      <c r="C22" s="227"/>
      <c r="E22" s="224"/>
    </row>
    <row r="23" spans="2:20" s="207" customFormat="1" x14ac:dyDescent="0.3">
      <c r="B23" s="235" t="s">
        <v>231</v>
      </c>
      <c r="F23" s="224" t="s">
        <v>43</v>
      </c>
      <c r="G23" s="224"/>
      <c r="H23" s="224"/>
    </row>
    <row r="24" spans="2:20" s="225" customFormat="1" ht="45.2" customHeight="1" x14ac:dyDescent="0.3">
      <c r="B24" s="234" t="s">
        <v>232</v>
      </c>
      <c r="F24" s="228">
        <v>500000</v>
      </c>
      <c r="G24" s="228"/>
      <c r="H24" s="228"/>
      <c r="I24" s="229">
        <f t="shared" ref="I24:T24" si="4">IF(I19=2,$F$24/($I$11),0)</f>
        <v>0</v>
      </c>
      <c r="J24" s="229">
        <f t="shared" si="4"/>
        <v>0</v>
      </c>
      <c r="K24" s="229">
        <f t="shared" si="4"/>
        <v>0</v>
      </c>
      <c r="L24" s="229">
        <f t="shared" si="4"/>
        <v>125000</v>
      </c>
      <c r="M24" s="229">
        <f t="shared" si="4"/>
        <v>125000</v>
      </c>
      <c r="N24" s="229">
        <f t="shared" si="4"/>
        <v>125000</v>
      </c>
      <c r="O24" s="229">
        <f t="shared" si="4"/>
        <v>125000</v>
      </c>
      <c r="P24" s="229">
        <f t="shared" si="4"/>
        <v>0</v>
      </c>
      <c r="Q24" s="229">
        <f t="shared" si="4"/>
        <v>0</v>
      </c>
      <c r="R24" s="229">
        <f t="shared" si="4"/>
        <v>0</v>
      </c>
      <c r="S24" s="229">
        <f t="shared" si="4"/>
        <v>0</v>
      </c>
      <c r="T24" s="229">
        <f t="shared" si="4"/>
        <v>0</v>
      </c>
    </row>
    <row r="25" spans="2:20" s="207" customFormat="1" x14ac:dyDescent="0.3">
      <c r="B25" s="232" t="s">
        <v>234</v>
      </c>
      <c r="F25" s="227"/>
      <c r="G25" s="227"/>
      <c r="H25" s="227"/>
      <c r="I25" s="230"/>
      <c r="J25" s="230"/>
      <c r="K25" s="230"/>
      <c r="L25" s="230"/>
      <c r="M25" s="230"/>
      <c r="N25" s="230"/>
      <c r="O25" s="230"/>
      <c r="P25" s="230"/>
      <c r="Q25" s="230"/>
      <c r="R25" s="230"/>
      <c r="S25" s="230"/>
    </row>
    <row r="26" spans="2:20" s="207" customFormat="1" ht="27.75" customHeight="1" x14ac:dyDescent="0.3">
      <c r="B26" s="232"/>
      <c r="G26" s="372" t="s">
        <v>43</v>
      </c>
      <c r="H26" s="372" t="s">
        <v>264</v>
      </c>
      <c r="I26" s="230"/>
      <c r="J26" s="230"/>
      <c r="K26" s="230"/>
      <c r="L26" s="230"/>
      <c r="M26" s="230"/>
      <c r="N26" s="230"/>
      <c r="O26" s="230"/>
      <c r="P26" s="230"/>
      <c r="Q26" s="230"/>
      <c r="R26" s="230"/>
      <c r="S26" s="230"/>
    </row>
    <row r="27" spans="2:20" s="207" customFormat="1" x14ac:dyDescent="0.3">
      <c r="B27" s="232"/>
      <c r="C27" s="228"/>
      <c r="E27" s="236">
        <v>0.5</v>
      </c>
      <c r="F27" s="228">
        <v>650000</v>
      </c>
      <c r="G27" s="373">
        <f>SUM(I27:T27)</f>
        <v>650000</v>
      </c>
      <c r="H27" s="231">
        <f>F27-G27</f>
        <v>0</v>
      </c>
      <c r="I27" s="242">
        <f>IF(I19=1,0,IF(I19=2,$F$27*$E$27/$I$11,$F$27*(1-$E$27)/($J$15-$J$14)))</f>
        <v>0</v>
      </c>
      <c r="J27" s="243">
        <f t="shared" ref="J27:T27" si="5">IF(J19=1,0,IF(J19=2,$F$27*$E$27/$I$11,$F$27*(1-$E$27)/($J$15-$J$14)))</f>
        <v>0</v>
      </c>
      <c r="K27" s="243">
        <f t="shared" si="5"/>
        <v>0</v>
      </c>
      <c r="L27" s="243">
        <f t="shared" si="5"/>
        <v>81250</v>
      </c>
      <c r="M27" s="243">
        <f t="shared" si="5"/>
        <v>81250</v>
      </c>
      <c r="N27" s="243">
        <f t="shared" si="5"/>
        <v>81250</v>
      </c>
      <c r="O27" s="243">
        <f t="shared" si="5"/>
        <v>81250</v>
      </c>
      <c r="P27" s="243">
        <f t="shared" si="5"/>
        <v>65000</v>
      </c>
      <c r="Q27" s="243">
        <f t="shared" si="5"/>
        <v>65000</v>
      </c>
      <c r="R27" s="243">
        <f t="shared" si="5"/>
        <v>65000</v>
      </c>
      <c r="S27" s="243">
        <f t="shared" si="5"/>
        <v>65000</v>
      </c>
      <c r="T27" s="264">
        <f t="shared" si="5"/>
        <v>65000</v>
      </c>
    </row>
    <row r="28" spans="2:20" s="207" customFormat="1" x14ac:dyDescent="0.3">
      <c r="B28" s="232"/>
      <c r="C28" s="228"/>
      <c r="E28" s="230"/>
      <c r="F28" s="231"/>
      <c r="G28" s="231"/>
      <c r="H28" s="231"/>
      <c r="I28" s="230"/>
      <c r="J28" s="230"/>
      <c r="K28" s="230"/>
      <c r="L28" s="230"/>
      <c r="M28" s="230"/>
      <c r="N28" s="230"/>
      <c r="O28" s="230"/>
      <c r="P28" s="230"/>
      <c r="Q28" s="230"/>
      <c r="R28" s="230"/>
      <c r="S28" s="230"/>
    </row>
    <row r="29" spans="2:20" s="207" customFormat="1" x14ac:dyDescent="0.3">
      <c r="B29" s="232"/>
      <c r="C29" s="228"/>
      <c r="E29" s="265"/>
      <c r="H29" s="266"/>
      <c r="I29" s="230"/>
      <c r="J29" s="230"/>
      <c r="K29" s="230"/>
      <c r="L29" s="230"/>
      <c r="M29" s="230"/>
      <c r="N29" s="230"/>
      <c r="O29" s="230"/>
      <c r="P29" s="230"/>
      <c r="Q29" s="230"/>
      <c r="R29" s="230"/>
      <c r="S29" s="230"/>
    </row>
    <row r="30" spans="2:20" s="207" customFormat="1" x14ac:dyDescent="0.3">
      <c r="B30" s="232"/>
      <c r="C30" s="228"/>
      <c r="E30" s="230"/>
      <c r="F30" s="231"/>
      <c r="G30" s="231"/>
      <c r="H30" s="231"/>
      <c r="I30" s="230"/>
      <c r="J30" s="230"/>
      <c r="K30" s="230"/>
      <c r="L30" s="230"/>
      <c r="M30" s="230"/>
      <c r="N30" s="230"/>
      <c r="O30" s="230"/>
      <c r="P30" s="230"/>
      <c r="Q30" s="230"/>
      <c r="R30" s="230"/>
      <c r="S30" s="230"/>
    </row>
    <row r="31" spans="2:20" s="207" customFormat="1" x14ac:dyDescent="0.3">
      <c r="B31" s="232"/>
      <c r="C31" s="228"/>
      <c r="E31" s="230"/>
      <c r="F31" s="231"/>
      <c r="G31" s="231"/>
      <c r="H31" s="231"/>
      <c r="I31" s="230"/>
      <c r="J31" s="230"/>
      <c r="K31" s="230"/>
      <c r="L31" s="230"/>
      <c r="M31" s="230"/>
      <c r="N31" s="230"/>
      <c r="O31" s="230"/>
      <c r="P31" s="230"/>
      <c r="Q31" s="230"/>
      <c r="R31" s="230"/>
      <c r="S31" s="230"/>
    </row>
    <row r="33" spans="2:10" hidden="1" x14ac:dyDescent="0.3">
      <c r="B33" s="36" t="s">
        <v>38</v>
      </c>
    </row>
    <row r="34" spans="2:10" hidden="1" x14ac:dyDescent="0.3"/>
    <row r="35" spans="2:10" hidden="1" x14ac:dyDescent="0.3">
      <c r="B35" s="4">
        <v>2</v>
      </c>
      <c r="D35" s="1" t="str">
        <f>IF(B35=1,"Construction Start",IF(B35=2,"Construction In Progress",IF(B35=3, "Construction Ends","Construction Not Yet Started")))</f>
        <v>Construction In Progress</v>
      </c>
    </row>
    <row r="36" spans="2:10" hidden="1" x14ac:dyDescent="0.3"/>
    <row r="37" spans="2:10" hidden="1" x14ac:dyDescent="0.3"/>
    <row r="38" spans="2:10" hidden="1" x14ac:dyDescent="0.3">
      <c r="B38" s="36" t="s">
        <v>32</v>
      </c>
    </row>
    <row r="39" spans="2:10" hidden="1" x14ac:dyDescent="0.3"/>
    <row r="40" spans="2:10" hidden="1" x14ac:dyDescent="0.3">
      <c r="C40" s="28" t="s">
        <v>44</v>
      </c>
      <c r="D40" s="1">
        <v>1</v>
      </c>
      <c r="E40" s="1">
        <v>2</v>
      </c>
      <c r="F40" s="1">
        <v>3</v>
      </c>
      <c r="I40" s="1">
        <v>6</v>
      </c>
      <c r="J40" s="1">
        <v>8</v>
      </c>
    </row>
    <row r="41" spans="2:10" hidden="1" x14ac:dyDescent="0.3">
      <c r="C41" s="28" t="s">
        <v>156</v>
      </c>
      <c r="D41" s="1">
        <v>1</v>
      </c>
      <c r="E41" s="1">
        <v>2</v>
      </c>
      <c r="F41" s="1">
        <v>3</v>
      </c>
      <c r="I41" s="1">
        <v>3</v>
      </c>
      <c r="J41" s="1">
        <v>4</v>
      </c>
    </row>
    <row r="42" spans="2:10" hidden="1" x14ac:dyDescent="0.3">
      <c r="C42" s="28" t="s">
        <v>157</v>
      </c>
      <c r="D42" s="28" t="str">
        <f>IF(AND(D41=1,D40=1),"Ready","")</f>
        <v>Ready</v>
      </c>
      <c r="E42" s="28" t="str">
        <f>IF(AND(E41=1,E40=1),"Ready","")</f>
        <v/>
      </c>
      <c r="F42" s="28" t="str">
        <f>IF(AND(F41=1,F40=1),"Ready","")</f>
        <v/>
      </c>
      <c r="G42" s="28"/>
      <c r="H42" s="28"/>
      <c r="I42" s="28" t="str">
        <f>IF(AND(I41=1,I40=1),"Ready","")</f>
        <v/>
      </c>
      <c r="J42" s="28" t="str">
        <f>IF(AND(J41=1,J40=1),"Ready","")</f>
        <v/>
      </c>
    </row>
    <row r="43" spans="2:10" hidden="1" x14ac:dyDescent="0.3"/>
    <row r="44" spans="2:10" hidden="1" x14ac:dyDescent="0.3">
      <c r="B44" s="36" t="s">
        <v>33</v>
      </c>
      <c r="D44" s="4"/>
    </row>
    <row r="45" spans="2:10" hidden="1" x14ac:dyDescent="0.3"/>
    <row r="46" spans="2:10" hidden="1" x14ac:dyDescent="0.3">
      <c r="B46" s="23" t="s">
        <v>36</v>
      </c>
      <c r="D46" s="20">
        <v>500</v>
      </c>
    </row>
    <row r="47" spans="2:10" hidden="1" x14ac:dyDescent="0.3">
      <c r="B47" s="19" t="s">
        <v>34</v>
      </c>
      <c r="D47" s="20">
        <v>2500</v>
      </c>
    </row>
    <row r="48" spans="2:10" hidden="1" x14ac:dyDescent="0.3">
      <c r="B48" s="1" t="s">
        <v>35</v>
      </c>
      <c r="D48" s="21">
        <f>D46*IF(D47=0,0,1)</f>
        <v>500</v>
      </c>
    </row>
    <row r="49" spans="2:11" hidden="1" x14ac:dyDescent="0.3"/>
    <row r="50" spans="2:11" hidden="1" x14ac:dyDescent="0.3">
      <c r="B50" s="36" t="s">
        <v>37</v>
      </c>
    </row>
    <row r="51" spans="2:11" hidden="1" x14ac:dyDescent="0.3"/>
    <row r="52" spans="2:11" hidden="1" x14ac:dyDescent="0.3">
      <c r="C52" s="28" t="s">
        <v>44</v>
      </c>
      <c r="D52" s="1">
        <v>1</v>
      </c>
      <c r="E52" s="1">
        <v>1</v>
      </c>
      <c r="F52" s="1">
        <v>3</v>
      </c>
      <c r="I52" s="1">
        <v>4</v>
      </c>
      <c r="J52" s="1">
        <v>5</v>
      </c>
    </row>
    <row r="53" spans="2:11" hidden="1" x14ac:dyDescent="0.3">
      <c r="B53" s="75"/>
      <c r="C53" s="28" t="s">
        <v>156</v>
      </c>
      <c r="D53" s="1">
        <v>1</v>
      </c>
      <c r="E53" s="1">
        <v>2</v>
      </c>
      <c r="F53" s="1">
        <v>2</v>
      </c>
      <c r="I53" s="1">
        <v>2</v>
      </c>
      <c r="J53" s="1">
        <v>3</v>
      </c>
    </row>
    <row r="54" spans="2:11" hidden="1" x14ac:dyDescent="0.3">
      <c r="B54" s="75"/>
      <c r="C54" s="28" t="s">
        <v>157</v>
      </c>
      <c r="D54" s="28" t="str">
        <f>IF(OR(D53=1,D52&gt;=1),"Ready","")</f>
        <v>Ready</v>
      </c>
      <c r="E54" s="28" t="str">
        <f>IF(OR(E53=1,E52&gt;=1),"Ready","")</f>
        <v>Ready</v>
      </c>
      <c r="F54" s="28" t="str">
        <f>IF(OR(F53=1,F52&gt;=1),"Ready","")</f>
        <v>Ready</v>
      </c>
      <c r="G54" s="28"/>
      <c r="H54" s="28"/>
      <c r="I54" s="28" t="str">
        <f>IF(OR(I53=1,I52&gt;=1),"Ready","")</f>
        <v>Ready</v>
      </c>
      <c r="J54" s="28" t="str">
        <f>IF(OR(J53=1,J52&gt;=1),"Ready","")</f>
        <v>Ready</v>
      </c>
    </row>
    <row r="56" spans="2:11" x14ac:dyDescent="0.3">
      <c r="B56" s="72"/>
      <c r="C56" s="72"/>
      <c r="D56" s="72"/>
      <c r="E56" s="72"/>
      <c r="F56" s="72"/>
      <c r="G56" s="72"/>
      <c r="H56" s="72"/>
      <c r="I56" s="72"/>
      <c r="J56" s="72"/>
      <c r="K56" s="72"/>
    </row>
    <row r="57" spans="2:11" x14ac:dyDescent="0.3">
      <c r="B57" s="95"/>
      <c r="C57" s="72"/>
      <c r="D57" s="72"/>
      <c r="E57" s="72"/>
      <c r="F57" s="72"/>
      <c r="G57" s="72"/>
      <c r="H57" s="72"/>
      <c r="I57" s="72"/>
      <c r="J57" s="72"/>
      <c r="K57" s="72"/>
    </row>
  </sheetData>
  <pageMargins left="0.7" right="0.7" top="0.75" bottom="0.75" header="0.3" footer="0.3"/>
  <pageSetup orientation="portrait" horizontalDpi="4294967292" verticalDpi="4294967292"/>
  <legacyDrawing r:id="rId1"/>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78"/>
  <sheetViews>
    <sheetView zoomScaleNormal="100" zoomScalePageLayoutView="200" workbookViewId="0"/>
  </sheetViews>
  <sheetFormatPr defaultColWidth="8.6640625" defaultRowHeight="18.75" x14ac:dyDescent="0.3"/>
  <cols>
    <col min="1" max="1" width="3.33203125" style="1" customWidth="1"/>
    <col min="2" max="2" width="21.5546875" style="1" customWidth="1"/>
    <col min="3" max="3" width="12" style="1" customWidth="1"/>
    <col min="4" max="5" width="10.6640625" style="1" bestFit="1" customWidth="1"/>
    <col min="6" max="6" width="11.33203125" style="1" bestFit="1" customWidth="1"/>
    <col min="7" max="7" width="10.5546875" style="1" bestFit="1" customWidth="1"/>
    <col min="8" max="9" width="10.44140625" style="1" bestFit="1" customWidth="1"/>
    <col min="10" max="10" width="11.33203125" style="1" bestFit="1" customWidth="1"/>
    <col min="11" max="11" width="10.88671875" style="1" bestFit="1" customWidth="1"/>
    <col min="12" max="13" width="10.33203125" style="1" bestFit="1" customWidth="1"/>
    <col min="14" max="14" width="11.109375" style="1" bestFit="1" customWidth="1"/>
    <col min="15" max="15" width="11.6640625" style="1" customWidth="1"/>
    <col min="16" max="16384" width="8.6640625" style="1"/>
  </cols>
  <sheetData>
    <row r="2" spans="2:15" ht="23.25" x14ac:dyDescent="0.35">
      <c r="B2" s="5" t="s">
        <v>158</v>
      </c>
    </row>
    <row r="4" spans="2:15" x14ac:dyDescent="0.3">
      <c r="B4" s="1" t="s">
        <v>266</v>
      </c>
    </row>
    <row r="6" spans="2:15" x14ac:dyDescent="0.3">
      <c r="B6" s="1" t="s">
        <v>39</v>
      </c>
      <c r="C6" s="374" t="s">
        <v>43</v>
      </c>
      <c r="D6" s="71">
        <v>41334</v>
      </c>
      <c r="E6" s="71">
        <f>EDATE(D6,3)</f>
        <v>41426</v>
      </c>
      <c r="F6" s="71">
        <f t="shared" ref="F6:O6" si="0">EDATE(E6,3)</f>
        <v>41518</v>
      </c>
      <c r="G6" s="71">
        <f t="shared" si="0"/>
        <v>41609</v>
      </c>
      <c r="H6" s="71">
        <f t="shared" si="0"/>
        <v>41699</v>
      </c>
      <c r="I6" s="71">
        <f t="shared" si="0"/>
        <v>41791</v>
      </c>
      <c r="J6" s="71">
        <f t="shared" si="0"/>
        <v>41883</v>
      </c>
      <c r="K6" s="71">
        <f t="shared" si="0"/>
        <v>41974</v>
      </c>
      <c r="L6" s="71">
        <f t="shared" si="0"/>
        <v>42064</v>
      </c>
      <c r="M6" s="71">
        <f t="shared" si="0"/>
        <v>42156</v>
      </c>
      <c r="N6" s="71">
        <f t="shared" si="0"/>
        <v>42248</v>
      </c>
      <c r="O6" s="71">
        <f t="shared" si="0"/>
        <v>42339</v>
      </c>
    </row>
    <row r="7" spans="2:15" x14ac:dyDescent="0.3">
      <c r="B7" s="1" t="s">
        <v>124</v>
      </c>
      <c r="C7" s="374"/>
      <c r="D7" s="26">
        <f>DAY(D6)</f>
        <v>1</v>
      </c>
      <c r="E7" s="26">
        <f t="shared" ref="E7:K7" si="1">DAY(E6)</f>
        <v>1</v>
      </c>
      <c r="F7" s="26">
        <f t="shared" si="1"/>
        <v>1</v>
      </c>
      <c r="G7" s="26">
        <f t="shared" si="1"/>
        <v>1</v>
      </c>
      <c r="H7" s="26">
        <f t="shared" si="1"/>
        <v>1</v>
      </c>
      <c r="I7" s="26">
        <f t="shared" si="1"/>
        <v>1</v>
      </c>
      <c r="J7" s="26">
        <f t="shared" si="1"/>
        <v>1</v>
      </c>
      <c r="K7" s="26">
        <f t="shared" si="1"/>
        <v>1</v>
      </c>
      <c r="L7" s="26">
        <f t="shared" ref="L7:O7" si="2">DAY(L6)</f>
        <v>1</v>
      </c>
      <c r="M7" s="26">
        <f t="shared" si="2"/>
        <v>1</v>
      </c>
      <c r="N7" s="26">
        <f t="shared" si="2"/>
        <v>1</v>
      </c>
      <c r="O7" s="26">
        <f t="shared" si="2"/>
        <v>1</v>
      </c>
    </row>
    <row r="8" spans="2:15" x14ac:dyDescent="0.3">
      <c r="B8" s="1" t="s">
        <v>44</v>
      </c>
      <c r="C8" s="374"/>
      <c r="D8" s="26">
        <f t="shared" ref="D8:K8" si="3">MONTH(D6)</f>
        <v>3</v>
      </c>
      <c r="E8" s="26">
        <f t="shared" si="3"/>
        <v>6</v>
      </c>
      <c r="F8" s="26">
        <f t="shared" si="3"/>
        <v>9</v>
      </c>
      <c r="G8" s="26">
        <f t="shared" si="3"/>
        <v>12</v>
      </c>
      <c r="H8" s="26">
        <f t="shared" si="3"/>
        <v>3</v>
      </c>
      <c r="I8" s="26">
        <f t="shared" si="3"/>
        <v>6</v>
      </c>
      <c r="J8" s="26">
        <f t="shared" si="3"/>
        <v>9</v>
      </c>
      <c r="K8" s="26">
        <f t="shared" si="3"/>
        <v>12</v>
      </c>
      <c r="L8" s="26">
        <f t="shared" ref="L8:O8" si="4">MONTH(L6)</f>
        <v>3</v>
      </c>
      <c r="M8" s="26">
        <f t="shared" si="4"/>
        <v>6</v>
      </c>
      <c r="N8" s="26">
        <f t="shared" si="4"/>
        <v>9</v>
      </c>
      <c r="O8" s="26">
        <f t="shared" si="4"/>
        <v>12</v>
      </c>
    </row>
    <row r="9" spans="2:15" x14ac:dyDescent="0.3">
      <c r="B9" s="1" t="s">
        <v>42</v>
      </c>
      <c r="C9" s="375"/>
      <c r="D9" s="25">
        <f>YEAR(D6)</f>
        <v>2013</v>
      </c>
      <c r="E9" s="25">
        <f t="shared" ref="E9:K9" si="5">YEAR(E6)</f>
        <v>2013</v>
      </c>
      <c r="F9" s="25">
        <f t="shared" si="5"/>
        <v>2013</v>
      </c>
      <c r="G9" s="25">
        <f t="shared" si="5"/>
        <v>2013</v>
      </c>
      <c r="H9" s="25">
        <f t="shared" si="5"/>
        <v>2014</v>
      </c>
      <c r="I9" s="25">
        <f t="shared" si="5"/>
        <v>2014</v>
      </c>
      <c r="J9" s="25">
        <f t="shared" si="5"/>
        <v>2014</v>
      </c>
      <c r="K9" s="25">
        <f t="shared" si="5"/>
        <v>2014</v>
      </c>
      <c r="L9" s="25">
        <f t="shared" ref="L9:O9" si="6">YEAR(L6)</f>
        <v>2015</v>
      </c>
      <c r="M9" s="25">
        <f t="shared" si="6"/>
        <v>2015</v>
      </c>
      <c r="N9" s="25">
        <f t="shared" si="6"/>
        <v>2015</v>
      </c>
      <c r="O9" s="25">
        <f t="shared" si="6"/>
        <v>2015</v>
      </c>
    </row>
    <row r="10" spans="2:15" x14ac:dyDescent="0.3">
      <c r="B10" s="1" t="s">
        <v>40</v>
      </c>
      <c r="C10" s="376">
        <f>SUM(D10:O10)</f>
        <v>3213000</v>
      </c>
      <c r="D10" s="21">
        <v>250000</v>
      </c>
      <c r="E10" s="21">
        <v>251000</v>
      </c>
      <c r="F10" s="21">
        <v>252000</v>
      </c>
      <c r="G10" s="21">
        <v>258000</v>
      </c>
      <c r="H10" s="21">
        <v>260000</v>
      </c>
      <c r="I10" s="21">
        <v>262000</v>
      </c>
      <c r="J10" s="21">
        <v>265000</v>
      </c>
      <c r="K10" s="21">
        <v>270000</v>
      </c>
      <c r="L10" s="21">
        <v>275000</v>
      </c>
      <c r="M10" s="21">
        <v>280000</v>
      </c>
      <c r="N10" s="21">
        <v>290000</v>
      </c>
      <c r="O10" s="21">
        <v>300000</v>
      </c>
    </row>
    <row r="11" spans="2:15" x14ac:dyDescent="0.3">
      <c r="K11" s="21"/>
      <c r="L11" s="21"/>
      <c r="M11" s="21"/>
      <c r="N11" s="21"/>
      <c r="O11" s="22"/>
    </row>
    <row r="12" spans="2:15" hidden="1" x14ac:dyDescent="0.3">
      <c r="B12" s="123" t="s">
        <v>52</v>
      </c>
    </row>
    <row r="13" spans="2:15" hidden="1" x14ac:dyDescent="0.3"/>
    <row r="14" spans="2:15" hidden="1" x14ac:dyDescent="0.3">
      <c r="B14" s="64" t="s">
        <v>239</v>
      </c>
    </row>
    <row r="15" spans="2:15" hidden="1" x14ac:dyDescent="0.3">
      <c r="B15" s="64"/>
    </row>
    <row r="16" spans="2:15" ht="18.75" hidden="1" customHeight="1" x14ac:dyDescent="0.3">
      <c r="B16" s="144"/>
      <c r="C16" s="267">
        <v>2013</v>
      </c>
      <c r="D16" s="267">
        <v>2014</v>
      </c>
      <c r="E16" s="267">
        <v>2015</v>
      </c>
      <c r="F16" s="268" t="s">
        <v>43</v>
      </c>
    </row>
    <row r="17" spans="2:7" ht="18.75" hidden="1" customHeight="1" x14ac:dyDescent="0.3">
      <c r="B17" s="269" t="s">
        <v>41</v>
      </c>
      <c r="C17" s="270">
        <f>SUMIF(D9:O9,C16,D10:O10)</f>
        <v>1011000</v>
      </c>
      <c r="D17" s="270"/>
      <c r="E17" s="270"/>
      <c r="F17" s="271">
        <f>SUM(C17:E17)</f>
        <v>1011000</v>
      </c>
    </row>
    <row r="18" spans="2:7" ht="18.75" hidden="1" customHeight="1" x14ac:dyDescent="0.3"/>
    <row r="19" spans="2:7" ht="18.75" hidden="1" customHeight="1" x14ac:dyDescent="0.3">
      <c r="B19" s="272" t="s">
        <v>184</v>
      </c>
      <c r="C19" s="273">
        <v>2013</v>
      </c>
      <c r="D19" s="273">
        <v>2014</v>
      </c>
      <c r="E19" s="273">
        <v>2015</v>
      </c>
      <c r="F19" s="274" t="s">
        <v>43</v>
      </c>
      <c r="G19" s="126"/>
    </row>
    <row r="20" spans="2:7" hidden="1" x14ac:dyDescent="0.3">
      <c r="B20" s="275" t="s">
        <v>41</v>
      </c>
      <c r="C20" s="276">
        <f>SUMIF(D9:U9,C19,D10:U10)</f>
        <v>1011000</v>
      </c>
      <c r="D20" s="276">
        <f>SUMIF(D9:Q9,D19,D10:Q10)</f>
        <v>1057000</v>
      </c>
      <c r="E20" s="276">
        <f>SUMIF(D9:U9,E19,D10:U10)</f>
        <v>1145000</v>
      </c>
      <c r="F20" s="277">
        <f>SUM(C20:E20)</f>
        <v>3213000</v>
      </c>
      <c r="G20" s="83"/>
    </row>
    <row r="21" spans="2:7" hidden="1" x14ac:dyDescent="0.3"/>
    <row r="23" spans="2:7" x14ac:dyDescent="0.3">
      <c r="B23" s="123" t="s">
        <v>268</v>
      </c>
    </row>
    <row r="25" spans="2:7" x14ac:dyDescent="0.3">
      <c r="B25" s="64" t="s">
        <v>243</v>
      </c>
    </row>
    <row r="26" spans="2:7" x14ac:dyDescent="0.3">
      <c r="B26" s="64"/>
      <c r="C26" s="25"/>
    </row>
    <row r="27" spans="2:7" x14ac:dyDescent="0.3">
      <c r="B27" s="278" t="s">
        <v>240</v>
      </c>
      <c r="C27" s="279"/>
      <c r="E27" s="4"/>
    </row>
    <row r="28" spans="2:7" x14ac:dyDescent="0.3">
      <c r="B28" s="280" t="s">
        <v>240</v>
      </c>
      <c r="C28" s="281"/>
      <c r="E28" s="4"/>
    </row>
    <row r="29" spans="2:7" x14ac:dyDescent="0.3">
      <c r="B29" s="280" t="s">
        <v>185</v>
      </c>
      <c r="C29" s="281"/>
      <c r="E29" s="4"/>
    </row>
    <row r="30" spans="2:7" x14ac:dyDescent="0.3">
      <c r="B30" s="282" t="s">
        <v>242</v>
      </c>
      <c r="C30" s="283"/>
    </row>
    <row r="31" spans="2:7" x14ac:dyDescent="0.3">
      <c r="B31" s="13"/>
      <c r="C31" s="21"/>
    </row>
    <row r="32" spans="2:7" x14ac:dyDescent="0.3">
      <c r="B32" s="284" t="s">
        <v>184</v>
      </c>
      <c r="C32" s="285"/>
    </row>
    <row r="33" spans="2:3" x14ac:dyDescent="0.3">
      <c r="B33" s="286" t="s">
        <v>241</v>
      </c>
      <c r="C33" s="287">
        <v>9</v>
      </c>
    </row>
    <row r="34" spans="2:3" x14ac:dyDescent="0.3">
      <c r="B34" s="286" t="s">
        <v>241</v>
      </c>
      <c r="C34" s="287">
        <v>12</v>
      </c>
    </row>
    <row r="35" spans="2:3" x14ac:dyDescent="0.3">
      <c r="B35" s="286" t="s">
        <v>185</v>
      </c>
      <c r="C35" s="287">
        <v>2013</v>
      </c>
    </row>
    <row r="36" spans="2:3" x14ac:dyDescent="0.3">
      <c r="B36" s="288" t="s">
        <v>242</v>
      </c>
      <c r="C36" s="290">
        <f>SUMIFS(D10:O10,D8:O8,C33,D9:O9,C35)+SUMIFS(D10:O10,D8:O8,C34,D9:O9,C35)</f>
        <v>510000</v>
      </c>
    </row>
    <row r="37" spans="2:3" x14ac:dyDescent="0.3">
      <c r="B37" s="13"/>
      <c r="C37" s="21"/>
    </row>
    <row r="39" spans="2:3" x14ac:dyDescent="0.3">
      <c r="B39" s="123" t="s">
        <v>69</v>
      </c>
    </row>
    <row r="41" spans="2:3" x14ac:dyDescent="0.3">
      <c r="B41" s="1" t="s">
        <v>164</v>
      </c>
      <c r="C41" s="84" t="s">
        <v>99</v>
      </c>
    </row>
    <row r="42" spans="2:3" x14ac:dyDescent="0.3">
      <c r="B42" s="96" t="s">
        <v>159</v>
      </c>
      <c r="C42" s="98">
        <v>1000</v>
      </c>
    </row>
    <row r="43" spans="2:3" x14ac:dyDescent="0.3">
      <c r="B43" s="96" t="s">
        <v>159</v>
      </c>
      <c r="C43" s="98">
        <v>1050</v>
      </c>
    </row>
    <row r="44" spans="2:3" x14ac:dyDescent="0.3">
      <c r="B44" s="97" t="s">
        <v>160</v>
      </c>
      <c r="C44" s="98">
        <v>1125</v>
      </c>
    </row>
    <row r="45" spans="2:3" x14ac:dyDescent="0.3">
      <c r="B45" s="97" t="s">
        <v>161</v>
      </c>
      <c r="C45" s="98">
        <v>1675</v>
      </c>
    </row>
    <row r="46" spans="2:3" x14ac:dyDescent="0.3">
      <c r="B46" s="97" t="s">
        <v>162</v>
      </c>
      <c r="C46" s="98">
        <v>2000</v>
      </c>
    </row>
    <row r="47" spans="2:3" x14ac:dyDescent="0.3">
      <c r="B47" s="96" t="s">
        <v>159</v>
      </c>
      <c r="C47" s="98">
        <v>1125</v>
      </c>
    </row>
    <row r="48" spans="2:3" x14ac:dyDescent="0.3">
      <c r="B48" s="97" t="s">
        <v>163</v>
      </c>
      <c r="C48" s="98">
        <v>3000</v>
      </c>
    </row>
    <row r="49" spans="2:5" x14ac:dyDescent="0.3">
      <c r="B49" s="7"/>
    </row>
    <row r="50" spans="2:5" ht="18.75" customHeight="1" x14ac:dyDescent="0.3">
      <c r="B50" s="64" t="s">
        <v>244</v>
      </c>
    </row>
    <row r="52" spans="2:5" x14ac:dyDescent="0.3">
      <c r="D52" s="72"/>
      <c r="E52" s="72"/>
    </row>
    <row r="53" spans="2:5" x14ac:dyDescent="0.3">
      <c r="B53" s="291"/>
      <c r="C53" s="292"/>
      <c r="D53" s="21"/>
    </row>
    <row r="54" spans="2:5" x14ac:dyDescent="0.3">
      <c r="C54" s="27"/>
      <c r="D54" s="21"/>
    </row>
    <row r="55" spans="2:5" x14ac:dyDescent="0.3">
      <c r="B55" s="293" t="s">
        <v>125</v>
      </c>
      <c r="C55" s="294">
        <f>COUNTIF(B42:B48,"1/1")</f>
        <v>3</v>
      </c>
    </row>
    <row r="58" spans="2:5" x14ac:dyDescent="0.3">
      <c r="B58" s="123" t="s">
        <v>267</v>
      </c>
    </row>
    <row r="60" spans="2:5" x14ac:dyDescent="0.3">
      <c r="B60" s="36" t="s">
        <v>164</v>
      </c>
      <c r="C60" s="134" t="s">
        <v>99</v>
      </c>
    </row>
    <row r="61" spans="2:5" x14ac:dyDescent="0.3">
      <c r="B61" s="96" t="s">
        <v>159</v>
      </c>
      <c r="C61" s="98">
        <v>900</v>
      </c>
    </row>
    <row r="62" spans="2:5" x14ac:dyDescent="0.3">
      <c r="B62" s="96" t="s">
        <v>159</v>
      </c>
      <c r="C62" s="98">
        <v>1050</v>
      </c>
    </row>
    <row r="63" spans="2:5" x14ac:dyDescent="0.3">
      <c r="B63" s="97" t="s">
        <v>160</v>
      </c>
      <c r="C63" s="98">
        <v>1125</v>
      </c>
    </row>
    <row r="64" spans="2:5" x14ac:dyDescent="0.3">
      <c r="B64" s="97" t="s">
        <v>161</v>
      </c>
      <c r="C64" s="98">
        <v>1675</v>
      </c>
    </row>
    <row r="65" spans="2:7" x14ac:dyDescent="0.3">
      <c r="B65" s="97" t="s">
        <v>162</v>
      </c>
      <c r="C65" s="98">
        <v>2000</v>
      </c>
    </row>
    <row r="66" spans="2:7" x14ac:dyDescent="0.3">
      <c r="B66" s="96" t="s">
        <v>159</v>
      </c>
      <c r="C66" s="98">
        <v>1125</v>
      </c>
    </row>
    <row r="67" spans="2:7" x14ac:dyDescent="0.3">
      <c r="B67" s="97" t="s">
        <v>163</v>
      </c>
      <c r="C67" s="98">
        <v>3000</v>
      </c>
    </row>
    <row r="68" spans="2:7" x14ac:dyDescent="0.3">
      <c r="B68" s="97" t="s">
        <v>159</v>
      </c>
      <c r="C68" s="98">
        <v>1010</v>
      </c>
    </row>
    <row r="70" spans="2:7" x14ac:dyDescent="0.3">
      <c r="B70" s="295" t="s">
        <v>269</v>
      </c>
      <c r="C70" s="295"/>
      <c r="D70" s="295"/>
      <c r="E70" s="295"/>
      <c r="F70" s="295"/>
      <c r="G70" s="295"/>
    </row>
    <row r="72" spans="2:7" x14ac:dyDescent="0.3">
      <c r="B72" s="291"/>
      <c r="C72" s="292"/>
    </row>
    <row r="74" spans="2:7" x14ac:dyDescent="0.3">
      <c r="B74" s="293" t="s">
        <v>125</v>
      </c>
      <c r="C74" s="294">
        <f>COUNTIFS(B61:B68,"1/1",C61:C68,"&gt;1000")</f>
        <v>3</v>
      </c>
    </row>
    <row r="76" spans="2:7" x14ac:dyDescent="0.3">
      <c r="C76" s="377">
        <v>1000</v>
      </c>
    </row>
    <row r="78" spans="2:7" x14ac:dyDescent="0.3">
      <c r="B78" s="293" t="s">
        <v>270</v>
      </c>
      <c r="C78" s="294">
        <f>COUNTIFS(B61:B68,"1/1",C61:C68,"&gt;"&amp;C76)</f>
        <v>3</v>
      </c>
    </row>
  </sheetData>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Excel for Real Estate Bootcamp</vt:lpstr>
      <vt:lpstr>Arithmetic</vt:lpstr>
      <vt:lpstr>Statistics</vt:lpstr>
      <vt:lpstr>Relative vs Absolute References</vt:lpstr>
      <vt:lpstr>Insert and Delete Rows Columns</vt:lpstr>
      <vt:lpstr>Dates</vt:lpstr>
      <vt:lpstr>Conditional Statements</vt:lpstr>
      <vt:lpstr>Conditional Statements Solution</vt:lpstr>
      <vt:lpstr>SUMIF and COUNTIF</vt:lpstr>
      <vt:lpstr>Conditional Formatting</vt:lpstr>
      <vt:lpstr>Custom Formatting</vt:lpstr>
      <vt:lpstr>Paste Special, Transpose</vt:lpstr>
      <vt:lpstr>VLOOKUP and HLOOKUP</vt:lpstr>
      <vt:lpstr>TVM and Financial Functions</vt:lpstr>
      <vt:lpstr>Financial Functions Exercise</vt:lpstr>
      <vt:lpstr>Mortgage Payment</vt:lpstr>
      <vt:lpstr>Mortgage Payment Exercise</vt:lpstr>
      <vt:lpstr>Mortgage Payment Ex. Solution</vt:lpstr>
      <vt:lpstr>Formula Auditing</vt:lpstr>
      <vt:lpstr>Data Source</vt:lpstr>
      <vt:lpstr>Data Tables</vt:lpstr>
      <vt:lpstr>Circular References</vt:lpstr>
      <vt:lpstr>Best Practices</vt:lpstr>
      <vt:lpstr>Keyboard Shortcuts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REFM</dc:creator>
  <cp:lastModifiedBy>REFM_MacAir</cp:lastModifiedBy>
  <dcterms:created xsi:type="dcterms:W3CDTF">2010-01-14T15:09:06Z</dcterms:created>
  <dcterms:modified xsi:type="dcterms:W3CDTF">2012-03-29T15:23:24Z</dcterms:modified>
</cp:coreProperties>
</file>