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14475" yWindow="0" windowWidth="8295" windowHeight="14595" tabRatio="892"/>
  </bookViews>
  <sheets>
    <sheet name="Cover" sheetId="83" r:id="rId1"/>
    <sheet name="Office Model" sheetId="85" r:id="rId2"/>
    <sheet name="Condo Model - Units-based" sheetId="86" r:id="rId3"/>
    <sheet name="Condo Model - FAR-based" sheetId="87" r:id="rId4"/>
  </sheets>
  <definedNames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ast_Row" localSheetId="0">IF(Cover!Values_Entered,Cover!Header_Row+Cover!Number_of_Payments,Cover!Header_Row)</definedName>
    <definedName name="Last_Row" localSheetId="1">IF('Office Model'!Values_Entered,[0]!Header_Row+'Office Model'!Number_of_Payments,[0]!Header_Row)</definedName>
    <definedName name="Last_Row">IF(Values_Entered,Header_Row+Number_of_Payments,Header_Row)</definedName>
    <definedName name="Number_of_Payments" localSheetId="0">MATCH(0.01,Cover!End_Bal,-1)+1</definedName>
    <definedName name="Number_of_Payments" localSheetId="1">MATCH(0.01,[0]!End_Bal,-1)+1</definedName>
    <definedName name="Number_of_Payments">MATCH(0.01,End_Bal,-1)+1</definedName>
    <definedName name="Payment_Date" localSheetId="0">DATE(YEAR(Cover!Loan_Start),MONTH(Cover!Loan_Start)+Payment_Number,DAY(Cover!Loan_Start))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_xlnm.Print_Area" localSheetId="3">'Condo Model - FAR-based'!$B$2:$F$70</definedName>
    <definedName name="_xlnm.Print_Area" localSheetId="2">'Condo Model - Units-based'!$B$2:$F$71</definedName>
    <definedName name="_xlnm.Print_Area" localSheetId="0">Cover!$A$2:$H$15</definedName>
    <definedName name="_xlnm.Print_Area" localSheetId="1">'Office Model'!$B$2:$F$74</definedName>
    <definedName name="Print_Area_Reset" localSheetId="0">OFFSET(Cover!Full_Print,0,0,Cover!Last_Row)</definedName>
    <definedName name="Print_Area_Reset" localSheetId="1">OFFSET([0]!Full_Print,0,0,'Office Model'!Last_Row)</definedName>
    <definedName name="Print_Area_Reset">OFFSET(Full_Print,0,0,Last_Row)</definedName>
    <definedName name="Values_Entered" localSheetId="0">IF(Cover!Loan_Amount*Cover!Interest_Rate*Cover!Loan_Years*Cover!Loan_Start&gt;0,1,0)</definedName>
    <definedName name="Values_Entered" localSheetId="1">IF([0]!Loan_Amount*[0]!Interest_Rate*[0]!Loan_Years*[0]!Loan_Start&gt;0,1,0)</definedName>
    <definedName name="Values_Entered">IF(Loan_Amount*Interest_Rate*Loan_Years*Loan_Start&gt;0,1,0)</definedName>
    <definedName name="wrn.Print." localSheetId="0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localSheetId="1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Short._.Print." localSheetId="0" hidden="1">{#N/A,#N/A,FALSE,"Cover";#N/A,#N/A,FALSE,"Stack";#N/A,#N/A,FALSE,"Cost S";#N/A,#N/A,FALSE," CF";#N/A,#N/A,FALSE,"Investor"}</definedName>
    <definedName name="wrn.Short._.Print." localSheetId="1" hidden="1">{#N/A,#N/A,FALSE,"Cover";#N/A,#N/A,FALSE,"Stack";#N/A,#N/A,FALSE,"Cost S";#N/A,#N/A,FALSE," CF";#N/A,#N/A,FALSE,"Investor"}</definedName>
    <definedName name="wrn.Short._.Print." hidden="1">{#N/A,#N/A,FALSE,"Cover";#N/A,#N/A,FALSE,"Stack";#N/A,#N/A,FALSE,"Cost S";#N/A,#N/A,FALSE," CF";#N/A,#N/A,FALSE,"Investor"}</definedName>
  </definedNames>
  <calcPr calcId="145621" calcMode="autoNoTable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7" i="87" l="1"/>
  <c r="E49" i="87"/>
  <c r="C37" i="87"/>
  <c r="E10" i="87"/>
  <c r="E13" i="87"/>
  <c r="E14" i="87"/>
  <c r="E16" i="87"/>
  <c r="E19" i="87"/>
  <c r="D31" i="87"/>
  <c r="D32" i="87"/>
  <c r="E18" i="87"/>
  <c r="F37" i="87"/>
  <c r="C39" i="87"/>
  <c r="E20" i="87"/>
  <c r="D22" i="87"/>
  <c r="F39" i="87"/>
  <c r="C40" i="87"/>
  <c r="F40" i="87"/>
  <c r="F41" i="87"/>
  <c r="E42" i="87"/>
  <c r="E51" i="87"/>
  <c r="D33" i="87"/>
  <c r="E53" i="87"/>
  <c r="E54" i="87"/>
  <c r="E55" i="87"/>
  <c r="E57" i="87"/>
  <c r="E59" i="87"/>
  <c r="E62" i="87"/>
  <c r="E63" i="87"/>
  <c r="E64" i="87"/>
  <c r="E66" i="87"/>
  <c r="E68" i="87"/>
  <c r="F62" i="87"/>
  <c r="F63" i="87"/>
  <c r="F64" i="87"/>
  <c r="E60" i="87"/>
  <c r="F53" i="87"/>
  <c r="F54" i="87"/>
  <c r="F55" i="87"/>
  <c r="F57" i="87"/>
  <c r="F58" i="87"/>
  <c r="F59" i="87"/>
  <c r="C58" i="87"/>
  <c r="D53" i="87"/>
  <c r="E46" i="87"/>
  <c r="E43" i="87"/>
  <c r="E38" i="87"/>
  <c r="D38" i="87"/>
  <c r="C38" i="87"/>
  <c r="E32" i="87"/>
  <c r="F32" i="87"/>
  <c r="F31" i="87"/>
  <c r="C28" i="87"/>
  <c r="B4" i="87"/>
  <c r="D25" i="87"/>
  <c r="D26" i="87"/>
  <c r="D27" i="87"/>
  <c r="E41" i="86"/>
  <c r="C29" i="86"/>
  <c r="D11" i="86"/>
  <c r="D17" i="86"/>
  <c r="B18" i="86"/>
  <c r="D22" i="86"/>
  <c r="D23" i="86"/>
  <c r="F29" i="86"/>
  <c r="C31" i="86"/>
  <c r="D12" i="86"/>
  <c r="F31" i="86"/>
  <c r="C32" i="86"/>
  <c r="F32" i="86"/>
  <c r="F33" i="86"/>
  <c r="E34" i="86"/>
  <c r="E43" i="86"/>
  <c r="E53" i="86"/>
  <c r="E54" i="86"/>
  <c r="E55" i="86"/>
  <c r="E57" i="86"/>
  <c r="E59" i="86"/>
  <c r="E63" i="86"/>
  <c r="E64" i="86"/>
  <c r="E65" i="86"/>
  <c r="E67" i="86"/>
  <c r="E69" i="86"/>
  <c r="E68" i="86"/>
  <c r="F63" i="86"/>
  <c r="F64" i="86"/>
  <c r="F65" i="86"/>
  <c r="E60" i="86"/>
  <c r="F53" i="86"/>
  <c r="F54" i="86"/>
  <c r="F55" i="86"/>
  <c r="F57" i="86"/>
  <c r="F58" i="86"/>
  <c r="F59" i="86"/>
  <c r="C58" i="86"/>
  <c r="D53" i="86"/>
  <c r="D50" i="86"/>
  <c r="B4" i="86"/>
  <c r="E47" i="86"/>
  <c r="E48" i="86"/>
  <c r="E49" i="86"/>
  <c r="E38" i="86"/>
  <c r="D24" i="86"/>
  <c r="E35" i="86"/>
  <c r="E30" i="86"/>
  <c r="D30" i="86"/>
  <c r="C30" i="86"/>
  <c r="E23" i="86"/>
  <c r="F23" i="86"/>
  <c r="F22" i="86"/>
  <c r="F10" i="85"/>
  <c r="F12" i="85"/>
  <c r="F13" i="85"/>
  <c r="F25" i="85"/>
  <c r="F26" i="85"/>
  <c r="F27" i="85"/>
  <c r="F20" i="85"/>
  <c r="F14" i="85"/>
  <c r="F21" i="85"/>
  <c r="F22" i="85"/>
  <c r="F23" i="85"/>
  <c r="F29" i="85"/>
  <c r="F31" i="85"/>
  <c r="F42" i="85"/>
  <c r="B4" i="85"/>
  <c r="D27" i="85"/>
  <c r="F37" i="85"/>
  <c r="D60" i="85"/>
  <c r="F40" i="85"/>
  <c r="D46" i="85"/>
  <c r="F41" i="85"/>
  <c r="F43" i="85"/>
  <c r="F45" i="85"/>
  <c r="F64" i="85"/>
  <c r="F47" i="85"/>
  <c r="E42" i="85"/>
  <c r="F53" i="85"/>
  <c r="E46" i="85"/>
  <c r="F54" i="85"/>
  <c r="F55" i="85"/>
  <c r="D55" i="85"/>
  <c r="F48" i="85"/>
  <c r="E40" i="85"/>
  <c r="E43" i="85"/>
  <c r="E41" i="85"/>
  <c r="F65" i="85"/>
  <c r="F68" i="85"/>
  <c r="F69" i="85"/>
  <c r="F70" i="85"/>
  <c r="F71" i="85"/>
  <c r="E45" i="85"/>
  <c r="F50" i="85"/>
  <c r="D53" i="85"/>
  <c r="F56" i="85"/>
  <c r="F73" i="85"/>
  <c r="F72" i="85"/>
  <c r="E47" i="85"/>
</calcChain>
</file>

<file path=xl/sharedStrings.xml><?xml version="1.0" encoding="utf-8"?>
<sst xmlns="http://schemas.openxmlformats.org/spreadsheetml/2006/main" count="202" uniqueCount="122">
  <si>
    <t>Value</t>
  </si>
  <si>
    <t>Selling Costs</t>
  </si>
  <si>
    <t>Annual</t>
  </si>
  <si>
    <t>Lot Square Footage</t>
  </si>
  <si>
    <t>Less Retail Square Footage</t>
  </si>
  <si>
    <t>Rentable Office SF</t>
  </si>
  <si>
    <t>Residual Office GSF</t>
  </si>
  <si>
    <t>Total Allowable FAR</t>
  </si>
  <si>
    <t>Per GSF</t>
  </si>
  <si>
    <t>Real Estate Financial Modeling</t>
  </si>
  <si>
    <t>Construction Schedule</t>
  </si>
  <si>
    <t>% TPC</t>
  </si>
  <si>
    <t>Construction Loan Interest and Operating Deficit</t>
  </si>
  <si>
    <t>Land Cost</t>
  </si>
  <si>
    <t>Required Equity Amount</t>
  </si>
  <si>
    <t>Income Annual Inflation Factor</t>
  </si>
  <si>
    <t>Years to Stabilization</t>
  </si>
  <si>
    <t>Future Gross Capitalized Value</t>
  </si>
  <si>
    <t>Copyright © 2009 Real Estate Financial Modeling, LLC.  All rights reserved.</t>
  </si>
  <si>
    <t>Sale Proceeds, Net</t>
  </si>
  <si>
    <t>Required Parking Spots per 1,000 RSF</t>
  </si>
  <si>
    <t>Mezzanine Loan Amount</t>
  </si>
  <si>
    <t>Senior Construction Loan Amount</t>
  </si>
  <si>
    <t>Soft Cost % Hard Costs, Contingency &amp; TIs</t>
  </si>
  <si>
    <t>Average Annual Rent PSF Full Service - today's value</t>
  </si>
  <si>
    <t>Average Monthly Parking Rent per Spot - today's value</t>
  </si>
  <si>
    <t>Operating Expenses - today's value</t>
  </si>
  <si>
    <t>Real Estate Taxes - today's value</t>
  </si>
  <si>
    <t>Retail Component NNN Rent - today's value</t>
  </si>
  <si>
    <t xml:space="preserve">Asset Sale Capitalization Rate </t>
  </si>
  <si>
    <t>Pre-Construction Duration</t>
  </si>
  <si>
    <t>Post-Construction Lease-Up Duration</t>
  </si>
  <si>
    <t>Total Project Timeline</t>
  </si>
  <si>
    <t>Gross Potential Annual Operating Income - Office</t>
  </si>
  <si>
    <t>Gross Potential Annual Operating Income - Parking</t>
  </si>
  <si>
    <t>End Date</t>
  </si>
  <si>
    <t>Total Operating and Taxes</t>
  </si>
  <si>
    <t>Efficiency</t>
  </si>
  <si>
    <t>Pre-Tax Profit on Sale (excludes interim year cash flows)</t>
  </si>
  <si>
    <t>Pre-Tax Profit Margin (excludes interim year cash flows)</t>
  </si>
  <si>
    <t>Senior Construction Loan to Total Project Cost</t>
  </si>
  <si>
    <t>Total Project Cost (TPC)</t>
  </si>
  <si>
    <t>User Inputs Are In Bold Blue Type</t>
  </si>
  <si>
    <t>GetREFM.com Office/Industrial Development Back of the Envelope Analysis - FAR-Based</t>
  </si>
  <si>
    <t>For More Analysis Tools, Visit www.GetREFM.com</t>
  </si>
  <si>
    <t>Expenses, Taxes &amp; CapEx Annual Inflation</t>
  </si>
  <si>
    <t>www.GetREFM.com</t>
  </si>
  <si>
    <t>Less Annual Vacancy</t>
  </si>
  <si>
    <t>Total Annual Revenue, Net</t>
  </si>
  <si>
    <t>"Current" Stabilized Net Operating Income (NOI)</t>
  </si>
  <si>
    <t>"Current" Stabilized NOI Yield on Cost (Cap Rate)</t>
  </si>
  <si>
    <t>Future Stabilized NOI after CapEx for Valuation</t>
  </si>
  <si>
    <t>Future Stabilized Yield on Cost (Cap Rate)</t>
  </si>
  <si>
    <t>Base Building Hard Cost &amp; Contingency - today's value</t>
  </si>
  <si>
    <t>Multiple on Invested Equity (excludes interim year cash flows)</t>
  </si>
  <si>
    <t>On average, 1/2 of the total loan amount is outstanding over the entire project timeline</t>
  </si>
  <si>
    <t>The year after the year of stabilization</t>
  </si>
  <si>
    <t>Notes</t>
  </si>
  <si>
    <t>Annual Capital Expenditures Budget per Office RSF</t>
  </si>
  <si>
    <t>Property Name/Address</t>
  </si>
  <si>
    <t>123 Main</t>
  </si>
  <si>
    <t>What Can I Build? What Is Required?</t>
  </si>
  <si>
    <t>Office Tenant Improvements (TIs) and LCs - today's value</t>
  </si>
  <si>
    <t>Retail TIs and LCs - today's value</t>
  </si>
  <si>
    <t>How Long Would It Take To Build And Stabilize? / What Would It Cost To Develop?</t>
  </si>
  <si>
    <r>
      <t xml:space="preserve">&lt;&lt;&lt; This is where you modify your land value. Use </t>
    </r>
    <r>
      <rPr>
        <b/>
        <sz val="12"/>
        <rFont val="Calibri"/>
        <family val="2"/>
      </rPr>
      <t>Goal Seek</t>
    </r>
    <r>
      <rPr>
        <sz val="12"/>
        <rFont val="Calibri"/>
        <family val="2"/>
      </rPr>
      <t xml:space="preserve"> for faster results!</t>
    </r>
  </si>
  <si>
    <t>What Could I Generate In Net Operating Income?</t>
  </si>
  <si>
    <t>How Would I Fund It?</t>
  </si>
  <si>
    <t>GetREFM.com Condominium Development Back of the Envelope Analysis - Units-Based</t>
  </si>
  <si>
    <t>Project Address/Name</t>
  </si>
  <si>
    <t>123 Jones Highway; Old Ford Dealership</t>
  </si>
  <si>
    <t>Ratio</t>
  </si>
  <si>
    <t>Lot Acreage</t>
  </si>
  <si>
    <t>Maximum Allowable Residential Units</t>
  </si>
  <si>
    <t>Parking Spots - Greater of Zoning and Market</t>
  </si>
  <si>
    <t>Average Unit Size - Affordable Units</t>
  </si>
  <si>
    <t>Average Unit Size - Market Rate Units</t>
  </si>
  <si>
    <t>Required Affordable Unit Percentage</t>
  </si>
  <si>
    <t>What Could I Generate In Income?</t>
  </si>
  <si>
    <t>Duration</t>
  </si>
  <si>
    <t>Rate</t>
  </si>
  <si>
    <t>Market Rate Product Pre-Sold</t>
  </si>
  <si>
    <t>Market Rate Product Sold in Regular Sales</t>
  </si>
  <si>
    <t>Total Residential Units</t>
  </si>
  <si>
    <t>Storage Units</t>
  </si>
  <si>
    <t>Residential Component Sales Price Schedule</t>
  </si>
  <si>
    <t>Pre-Sold</t>
  </si>
  <si>
    <t>Regular Market</t>
  </si>
  <si>
    <t>Affordable</t>
  </si>
  <si>
    <t>Gross Proceeds</t>
  </si>
  <si>
    <t>Residential Units</t>
  </si>
  <si>
    <t>Parking Spaces</t>
  </si>
  <si>
    <t>Storage</t>
  </si>
  <si>
    <t>Net Proceeds</t>
  </si>
  <si>
    <t>Per Condominium Unit</t>
  </si>
  <si>
    <t>Retail Condominium Component</t>
  </si>
  <si>
    <t>Rentable SF</t>
  </si>
  <si>
    <t>Annual NNN Rent PSF</t>
  </si>
  <si>
    <t>Annual Rent</t>
  </si>
  <si>
    <t>Retail Cap Rate at Sale</t>
  </si>
  <si>
    <t>Retail Net Proceeds</t>
  </si>
  <si>
    <t>Total Net Proceeds, Residential and Retail Combined</t>
  </si>
  <si>
    <t>Pre-Construction Period (starts at Today's Date)</t>
  </si>
  <si>
    <t>Post-Construction Sales Period ("Regular" Sales)</t>
  </si>
  <si>
    <t>Total Project Timeline Through Final Unit Closing</t>
  </si>
  <si>
    <t>Average</t>
  </si>
  <si>
    <t>Base Building Hard Cost &amp; Contingency</t>
  </si>
  <si>
    <t>Retail Tenant Improvements</t>
  </si>
  <si>
    <t>Soft Costs % Hard Cost &amp; Contingency &amp; TIs</t>
  </si>
  <si>
    <t>Construction Loan Interest &amp; Operating Deficit</t>
  </si>
  <si>
    <t>Construction Loan Proceeds</t>
  </si>
  <si>
    <t>Equity Required</t>
  </si>
  <si>
    <t>Total Sources of Funds</t>
  </si>
  <si>
    <t>Pre-Tax Profit</t>
  </si>
  <si>
    <t>Profit Margin</t>
  </si>
  <si>
    <t>Multiple on Invested Equity</t>
  </si>
  <si>
    <t>GetREFM.com Condominium Development Back of the Envelope Analysis - FAR-Based</t>
  </si>
  <si>
    <t>Residual Condominium GSF</t>
  </si>
  <si>
    <t>Salable Condominium SF</t>
  </si>
  <si>
    <t>Subtotal</t>
  </si>
  <si>
    <t>Webinar Back Of The Envelope Models - Version 3.0</t>
  </si>
  <si>
    <t>Residual Land Valuation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</si>
</sst>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\ &quot;GSF&quot;"/>
    <numFmt numFmtId="167" formatCode="#,##0\ &quot;RSF&quot;"/>
    <numFmt numFmtId="168" formatCode="#,##0.0_);\(#,##0.0\);#,##0.0_);@_)"/>
    <numFmt numFmtId="169" formatCode="&quot;$&quot;_(#,##0.00_);&quot;$&quot;\(#,##0.00\);&quot;$&quot;_(0.00_);@_)"/>
    <numFmt numFmtId="170" formatCode="#,##0_)\x;\(#,##0\)\x;0_)\x;@_)_x"/>
    <numFmt numFmtId="171" formatCode="0.00_);[Red]\(0.00\)"/>
    <numFmt numFmtId="173" formatCode="#,##0\ &quot;SF&quot;"/>
    <numFmt numFmtId="174" formatCode="0.00&quot;x&quot;"/>
    <numFmt numFmtId="175" formatCode="0.0\ &quot;FAR&quot;"/>
    <numFmt numFmtId="176" formatCode="#,##0\ &quot;FAR&quot;"/>
    <numFmt numFmtId="177" formatCode="#,##0\ &quot;spots&quot;"/>
    <numFmt numFmtId="178" formatCode="0\ &quot;months&quot;"/>
    <numFmt numFmtId="179" formatCode="0.0&quot;/unit&quot;"/>
    <numFmt numFmtId="180" formatCode="0\ &quot;units/mo.&quot;"/>
    <numFmt numFmtId="181" formatCode="&quot;$&quot;#,##0.00\ &quot;PSF&quot;"/>
    <numFmt numFmtId="182" formatCode="&quot;$&quot;#,##0&quot;/unit&quot;"/>
    <numFmt numFmtId="183" formatCode="&quot;$&quot;#,##0&quot;/FAR&quot;"/>
    <numFmt numFmtId="184" formatCode="0.00\ &quot;years&quot;"/>
    <numFmt numFmtId="186" formatCode="&quot;$&quot;#,##0.00&quot;/FAR&quot;"/>
    <numFmt numFmtId="187" formatCode="0.00\ &quot;acres&quot;"/>
    <numFmt numFmtId="188" formatCode="#,##0.0\ &quot;units/acre&quot;"/>
    <numFmt numFmtId="189" formatCode="#,##0\ &quot;units&quot;"/>
    <numFmt numFmtId="190" formatCode="#,##0.0&quot;/acre&quot;"/>
    <numFmt numFmtId="191" formatCode="0.00&quot;/unit&quot;"/>
    <numFmt numFmtId="192" formatCode="0.0\ &quot;Stories&quot;"/>
    <numFmt numFmtId="193" formatCode="0%\ &quot;of units&quot;"/>
    <numFmt numFmtId="194" formatCode="&quot;Residual Market Rate Units:&quot;\ #,##0\ &quot;units&quot;"/>
    <numFmt numFmtId="195" formatCode="0%\ &quot;Discount&quot;"/>
    <numFmt numFmtId="196" formatCode="&quot;$&quot;#,##0\ &quot;PSF&quot;"/>
    <numFmt numFmtId="197" formatCode="0%\ &quot;hard cost&quot;"/>
    <numFmt numFmtId="198" formatCode="#,##0.0&quot;x&quot;"/>
    <numFmt numFmtId="199" formatCode="#,##0\ &quot;SSF&quot;"/>
    <numFmt numFmtId="200" formatCode="0%\ &quot;of SF&quot;"/>
    <numFmt numFmtId="201" formatCode="0\ &quot;Units&quot;"/>
  </numFmts>
  <fonts count="59" x14ac:knownFonts="1">
    <font>
      <sz val="10"/>
      <name val="Arial"/>
    </font>
    <font>
      <sz val="10"/>
      <name val="Arial"/>
      <family val="2"/>
    </font>
    <font>
      <sz val="14"/>
      <name val="Garamond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Helv"/>
    </font>
    <font>
      <sz val="12"/>
      <color indexed="9"/>
      <name val="Helv"/>
    </font>
    <font>
      <sz val="12"/>
      <color indexed="13"/>
      <name val="Helv"/>
    </font>
    <font>
      <sz val="12"/>
      <color indexed="17"/>
      <name val="Helv"/>
    </font>
    <font>
      <sz val="10"/>
      <name val="Arial"/>
      <family val="2"/>
    </font>
    <font>
      <i/>
      <sz val="22"/>
      <name val="Garamond"/>
      <family val="1"/>
    </font>
    <font>
      <sz val="11"/>
      <color indexed="8"/>
      <name val="Calibri"/>
      <family val="2"/>
    </font>
    <font>
      <sz val="10"/>
      <name val="Arial Narrow"/>
      <family val="2"/>
    </font>
    <font>
      <sz val="16"/>
      <name val="Garamond"/>
      <family val="1"/>
    </font>
    <font>
      <sz val="14"/>
      <color indexed="8"/>
      <name val="Garamond"/>
      <family val="1"/>
    </font>
    <font>
      <i/>
      <sz val="14"/>
      <color indexed="8"/>
      <name val="Garamond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Garamond"/>
      <family val="1"/>
    </font>
    <font>
      <sz val="9"/>
      <name val="Garamond"/>
      <family val="1"/>
    </font>
    <font>
      <u/>
      <sz val="10"/>
      <color theme="11"/>
      <name val="Arial"/>
    </font>
    <font>
      <b/>
      <sz val="12"/>
      <name val="Calibri"/>
    </font>
    <font>
      <i/>
      <sz val="12"/>
      <name val="Calibri"/>
    </font>
    <font>
      <b/>
      <sz val="12"/>
      <color rgb="FF0000FF"/>
      <name val="Calibri"/>
    </font>
    <font>
      <sz val="12"/>
      <name val="Calibri"/>
    </font>
    <font>
      <u/>
      <sz val="12"/>
      <color rgb="FF0000FF"/>
      <name val="Calibri"/>
    </font>
    <font>
      <sz val="12"/>
      <color rgb="FF0000FF"/>
      <name val="Calibri"/>
    </font>
    <font>
      <b/>
      <u/>
      <sz val="12"/>
      <color rgb="FF0000FF"/>
      <name val="Calibri"/>
    </font>
    <font>
      <sz val="10"/>
      <name val="Calibri"/>
    </font>
    <font>
      <i/>
      <u/>
      <sz val="12"/>
      <name val="Calibri"/>
    </font>
    <font>
      <b/>
      <sz val="12"/>
      <color theme="0"/>
      <name val="Calibri"/>
    </font>
    <font>
      <u/>
      <sz val="12"/>
      <name val="Calibri"/>
    </font>
    <font>
      <u/>
      <sz val="12"/>
      <color theme="10"/>
      <name val="Calibri"/>
    </font>
    <font>
      <u/>
      <sz val="10"/>
      <color theme="10"/>
      <name val="Calibri"/>
    </font>
    <font>
      <b/>
      <sz val="10"/>
      <name val="Calibri"/>
    </font>
    <font>
      <b/>
      <sz val="10"/>
      <color rgb="FF0000FF"/>
      <name val="Calibri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u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5">
    <xf numFmtId="0" fontId="0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5" fontId="6" fillId="0" borderId="1" applyFont="0" applyFill="0" applyBorder="0" applyProtection="0">
      <alignment horizontal="center"/>
      <protection locked="0"/>
    </xf>
    <xf numFmtId="38" fontId="6" fillId="0" borderId="0" applyFill="0" applyBorder="0" applyAlignment="0" applyProtection="0"/>
    <xf numFmtId="171" fontId="7" fillId="0" borderId="0" applyFill="0" applyBorder="0" applyAlignment="0" applyProtection="0">
      <alignment horizontal="right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37" fontId="8" fillId="0" borderId="1" applyNumberFormat="0" applyFont="0" applyFill="0" applyAlignment="0" applyProtection="0">
      <alignment horizontal="center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37" fontId="9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1">
    <xf numFmtId="0" fontId="0" fillId="0" borderId="0" xfId="0"/>
    <xf numFmtId="0" fontId="2" fillId="2" borderId="0" xfId="19" applyFont="1" applyFill="1"/>
    <xf numFmtId="0" fontId="2" fillId="2" borderId="2" xfId="19" applyFont="1" applyFill="1" applyBorder="1"/>
    <xf numFmtId="0" fontId="2" fillId="3" borderId="0" xfId="19" applyFont="1" applyFill="1" applyBorder="1"/>
    <xf numFmtId="0" fontId="2" fillId="2" borderId="3" xfId="19" applyFont="1" applyFill="1" applyBorder="1"/>
    <xf numFmtId="0" fontId="2" fillId="2" borderId="4" xfId="19" applyFont="1" applyFill="1" applyBorder="1"/>
    <xf numFmtId="0" fontId="2" fillId="2" borderId="5" xfId="19" applyFont="1" applyFill="1" applyBorder="1"/>
    <xf numFmtId="0" fontId="11" fillId="2" borderId="0" xfId="19" applyFont="1" applyFill="1" applyBorder="1" applyAlignment="1"/>
    <xf numFmtId="0" fontId="2" fillId="2" borderId="6" xfId="19" applyFont="1" applyFill="1" applyBorder="1"/>
    <xf numFmtId="0" fontId="2" fillId="2" borderId="7" xfId="19" applyFont="1" applyFill="1" applyBorder="1"/>
    <xf numFmtId="0" fontId="14" fillId="3" borderId="0" xfId="19" applyFont="1" applyFill="1" applyBorder="1" applyAlignment="1"/>
    <xf numFmtId="0" fontId="2" fillId="2" borderId="8" xfId="19" applyFont="1" applyFill="1" applyBorder="1"/>
    <xf numFmtId="0" fontId="2" fillId="2" borderId="9" xfId="19" applyFont="1" applyFill="1" applyBorder="1"/>
    <xf numFmtId="0" fontId="15" fillId="2" borderId="0" xfId="19" applyFont="1" applyFill="1" applyBorder="1" applyAlignment="1">
      <alignment horizontal="center"/>
    </xf>
    <xf numFmtId="0" fontId="23" fillId="3" borderId="0" xfId="0" applyFont="1" applyFill="1" applyBorder="1"/>
    <xf numFmtId="0" fontId="24" fillId="3" borderId="0" xfId="0" applyFont="1" applyFill="1" applyBorder="1"/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6" fillId="3" borderId="11" xfId="19" applyFont="1" applyFill="1" applyBorder="1"/>
    <xf numFmtId="0" fontId="26" fillId="3" borderId="12" xfId="19" applyFont="1" applyFill="1" applyBorder="1"/>
    <xf numFmtId="0" fontId="26" fillId="3" borderId="12" xfId="0" applyFont="1" applyFill="1" applyBorder="1" applyAlignment="1">
      <alignment horizontal="center"/>
    </xf>
    <xf numFmtId="173" fontId="25" fillId="3" borderId="13" xfId="0" applyNumberFormat="1" applyFont="1" applyFill="1" applyBorder="1"/>
    <xf numFmtId="0" fontId="26" fillId="3" borderId="14" xfId="19" applyFont="1" applyFill="1" applyBorder="1"/>
    <xf numFmtId="0" fontId="26" fillId="3" borderId="0" xfId="19" applyFont="1" applyFill="1" applyBorder="1"/>
    <xf numFmtId="175" fontId="25" fillId="3" borderId="0" xfId="0" applyNumberFormat="1" applyFont="1" applyFill="1" applyBorder="1"/>
    <xf numFmtId="176" fontId="26" fillId="3" borderId="15" xfId="0" applyNumberFormat="1" applyFont="1" applyFill="1" applyBorder="1"/>
    <xf numFmtId="173" fontId="25" fillId="3" borderId="15" xfId="0" applyNumberFormat="1" applyFont="1" applyFill="1" applyBorder="1" applyAlignment="1">
      <alignment horizontal="right"/>
    </xf>
    <xf numFmtId="166" fontId="26" fillId="3" borderId="15" xfId="0" applyNumberFormat="1" applyFont="1" applyFill="1" applyBorder="1" applyAlignment="1">
      <alignment horizontal="right"/>
    </xf>
    <xf numFmtId="9" fontId="25" fillId="3" borderId="0" xfId="0" applyNumberFormat="1" applyFont="1" applyFill="1" applyBorder="1" applyAlignment="1">
      <alignment horizontal="right"/>
    </xf>
    <xf numFmtId="9" fontId="26" fillId="3" borderId="0" xfId="0" applyNumberFormat="1" applyFont="1" applyFill="1" applyBorder="1" applyAlignment="1">
      <alignment horizontal="left"/>
    </xf>
    <xf numFmtId="167" fontId="26" fillId="3" borderId="15" xfId="0" applyNumberFormat="1" applyFont="1" applyFill="1" applyBorder="1" applyAlignment="1">
      <alignment horizontal="right"/>
    </xf>
    <xf numFmtId="0" fontId="26" fillId="3" borderId="16" xfId="19" applyFont="1" applyFill="1" applyBorder="1"/>
    <xf numFmtId="0" fontId="26" fillId="3" borderId="10" xfId="19" applyFont="1" applyFill="1" applyBorder="1"/>
    <xf numFmtId="2" fontId="25" fillId="3" borderId="10" xfId="19" applyNumberFormat="1" applyFont="1" applyFill="1" applyBorder="1" applyAlignment="1">
      <alignment horizontal="right"/>
    </xf>
    <xf numFmtId="179" fontId="25" fillId="3" borderId="10" xfId="19" applyNumberFormat="1" applyFont="1" applyFill="1" applyBorder="1" applyAlignment="1">
      <alignment horizontal="right"/>
    </xf>
    <xf numFmtId="177" fontId="26" fillId="3" borderId="17" xfId="0" applyNumberFormat="1" applyFont="1" applyFill="1" applyBorder="1"/>
    <xf numFmtId="0" fontId="26" fillId="3" borderId="0" xfId="19" applyFont="1" applyFill="1" applyBorder="1" applyAlignment="1">
      <alignment horizontal="center"/>
    </xf>
    <xf numFmtId="181" fontId="25" fillId="3" borderId="12" xfId="19" applyNumberFormat="1" applyFont="1" applyFill="1" applyBorder="1" applyAlignment="1">
      <alignment horizontal="right"/>
    </xf>
    <xf numFmtId="181" fontId="25" fillId="3" borderId="13" xfId="0" applyNumberFormat="1" applyFont="1" applyFill="1" applyBorder="1" applyAlignment="1">
      <alignment horizontal="right"/>
    </xf>
    <xf numFmtId="8" fontId="25" fillId="3" borderId="15" xfId="19" applyNumberFormat="1" applyFont="1" applyFill="1" applyBorder="1"/>
    <xf numFmtId="6" fontId="25" fillId="3" borderId="15" xfId="19" applyNumberFormat="1" applyFont="1" applyFill="1" applyBorder="1"/>
    <xf numFmtId="0" fontId="26" fillId="2" borderId="14" xfId="0" applyFont="1" applyFill="1" applyBorder="1"/>
    <xf numFmtId="6" fontId="26" fillId="3" borderId="15" xfId="19" applyNumberFormat="1" applyFont="1" applyFill="1" applyBorder="1"/>
    <xf numFmtId="10" fontId="25" fillId="3" borderId="0" xfId="19" applyNumberFormat="1" applyFont="1" applyFill="1" applyBorder="1" applyAlignment="1">
      <alignment horizontal="right"/>
    </xf>
    <xf numFmtId="6" fontId="27" fillId="3" borderId="15" xfId="19" applyNumberFormat="1" applyFont="1" applyFill="1" applyBorder="1"/>
    <xf numFmtId="0" fontId="26" fillId="3" borderId="15" xfId="19" applyFont="1" applyFill="1" applyBorder="1" applyAlignment="1">
      <alignment horizontal="center"/>
    </xf>
    <xf numFmtId="181" fontId="25" fillId="3" borderId="0" xfId="0" applyNumberFormat="1" applyFont="1" applyFill="1" applyBorder="1" applyAlignment="1">
      <alignment horizontal="right"/>
    </xf>
    <xf numFmtId="6" fontId="28" fillId="3" borderId="15" xfId="19" applyNumberFormat="1" applyFont="1" applyFill="1" applyBorder="1"/>
    <xf numFmtId="181" fontId="29" fillId="3" borderId="0" xfId="0" applyNumberFormat="1" applyFont="1" applyFill="1" applyBorder="1" applyAlignment="1">
      <alignment horizontal="right"/>
    </xf>
    <xf numFmtId="181" fontId="23" fillId="3" borderId="0" xfId="0" applyNumberFormat="1" applyFont="1" applyFill="1" applyBorder="1" applyAlignment="1">
      <alignment horizontal="right"/>
    </xf>
    <xf numFmtId="182" fontId="26" fillId="3" borderId="0" xfId="19" applyNumberFormat="1" applyFont="1" applyFill="1" applyBorder="1" applyAlignment="1">
      <alignment horizontal="right"/>
    </xf>
    <xf numFmtId="8" fontId="25" fillId="3" borderId="0" xfId="19" applyNumberFormat="1" applyFont="1" applyFill="1" applyBorder="1"/>
    <xf numFmtId="165" fontId="26" fillId="3" borderId="15" xfId="19" applyNumberFormat="1" applyFont="1" applyFill="1" applyBorder="1"/>
    <xf numFmtId="0" fontId="23" fillId="3" borderId="16" xfId="19" applyFont="1" applyFill="1" applyBorder="1"/>
    <xf numFmtId="0" fontId="23" fillId="3" borderId="10" xfId="19" applyFont="1" applyFill="1" applyBorder="1"/>
    <xf numFmtId="0" fontId="23" fillId="3" borderId="10" xfId="19" applyFont="1" applyFill="1" applyBorder="1" applyAlignment="1">
      <alignment horizontal="center"/>
    </xf>
    <xf numFmtId="165" fontId="23" fillId="3" borderId="17" xfId="19" applyNumberFormat="1" applyFont="1" applyFill="1" applyBorder="1"/>
    <xf numFmtId="0" fontId="26" fillId="3" borderId="12" xfId="19" applyFont="1" applyFill="1" applyBorder="1" applyAlignment="1">
      <alignment horizontal="right"/>
    </xf>
    <xf numFmtId="178" fontId="25" fillId="3" borderId="13" xfId="0" applyNumberFormat="1" applyFont="1" applyFill="1" applyBorder="1" applyAlignment="1">
      <alignment horizontal="right"/>
    </xf>
    <xf numFmtId="178" fontId="25" fillId="3" borderId="15" xfId="0" applyNumberFormat="1" applyFont="1" applyFill="1" applyBorder="1" applyAlignment="1">
      <alignment horizontal="right"/>
    </xf>
    <xf numFmtId="180" fontId="25" fillId="3" borderId="0" xfId="19" applyNumberFormat="1" applyFont="1" applyFill="1" applyBorder="1" applyAlignment="1">
      <alignment horizontal="center"/>
    </xf>
    <xf numFmtId="178" fontId="29" fillId="3" borderId="15" xfId="0" applyNumberFormat="1" applyFont="1" applyFill="1" applyBorder="1" applyAlignment="1">
      <alignment horizontal="right"/>
    </xf>
    <xf numFmtId="178" fontId="23" fillId="3" borderId="15" xfId="0" applyNumberFormat="1" applyFont="1" applyFill="1" applyBorder="1" applyAlignment="1">
      <alignment horizontal="right"/>
    </xf>
    <xf numFmtId="0" fontId="30" fillId="3" borderId="0" xfId="19" applyFont="1" applyFill="1" applyBorder="1"/>
    <xf numFmtId="0" fontId="24" fillId="3" borderId="0" xfId="19" applyFont="1" applyFill="1" applyBorder="1" applyAlignment="1">
      <alignment horizontal="center"/>
    </xf>
    <xf numFmtId="0" fontId="26" fillId="3" borderId="15" xfId="19" applyFont="1" applyFill="1" applyBorder="1"/>
    <xf numFmtId="164" fontId="24" fillId="3" borderId="0" xfId="41" applyNumberFormat="1" applyFont="1" applyFill="1" applyBorder="1" applyAlignment="1">
      <alignment horizontal="center"/>
    </xf>
    <xf numFmtId="164" fontId="24" fillId="3" borderId="0" xfId="19" applyNumberFormat="1" applyFont="1" applyFill="1" applyBorder="1" applyAlignment="1">
      <alignment horizontal="center"/>
    </xf>
    <xf numFmtId="186" fontId="26" fillId="3" borderId="0" xfId="19" applyNumberFormat="1" applyFont="1" applyFill="1" applyBorder="1" applyAlignment="1">
      <alignment horizontal="right"/>
    </xf>
    <xf numFmtId="164" fontId="31" fillId="3" borderId="0" xfId="41" applyNumberFormat="1" applyFont="1" applyFill="1" applyBorder="1" applyAlignment="1">
      <alignment horizontal="center"/>
    </xf>
    <xf numFmtId="0" fontId="23" fillId="3" borderId="14" xfId="19" applyFont="1" applyFill="1" applyBorder="1"/>
    <xf numFmtId="0" fontId="23" fillId="3" borderId="0" xfId="19" applyFont="1" applyFill="1" applyBorder="1"/>
    <xf numFmtId="0" fontId="23" fillId="3" borderId="0" xfId="19" applyFont="1" applyFill="1" applyBorder="1" applyAlignment="1">
      <alignment horizontal="center"/>
    </xf>
    <xf numFmtId="165" fontId="23" fillId="3" borderId="15" xfId="19" applyNumberFormat="1" applyFont="1" applyFill="1" applyBorder="1"/>
    <xf numFmtId="0" fontId="24" fillId="3" borderId="16" xfId="19" applyFont="1" applyFill="1" applyBorder="1" applyAlignment="1">
      <alignment horizontal="left" indent="1"/>
    </xf>
    <xf numFmtId="0" fontId="24" fillId="3" borderId="10" xfId="19" applyFont="1" applyFill="1" applyBorder="1"/>
    <xf numFmtId="0" fontId="24" fillId="3" borderId="10" xfId="19" applyFont="1" applyFill="1" applyBorder="1" applyAlignment="1">
      <alignment horizontal="center"/>
    </xf>
    <xf numFmtId="165" fontId="24" fillId="3" borderId="17" xfId="19" applyNumberFormat="1" applyFont="1" applyFill="1" applyBorder="1"/>
    <xf numFmtId="0" fontId="32" fillId="5" borderId="0" xfId="19" applyFont="1" applyFill="1" applyBorder="1"/>
    <xf numFmtId="0" fontId="32" fillId="5" borderId="0" xfId="19" applyFont="1" applyFill="1" applyBorder="1" applyAlignment="1">
      <alignment horizontal="center"/>
    </xf>
    <xf numFmtId="10" fontId="32" fillId="5" borderId="0" xfId="41" applyNumberFormat="1" applyFont="1" applyFill="1" applyBorder="1"/>
    <xf numFmtId="10" fontId="26" fillId="3" borderId="0" xfId="39" applyNumberFormat="1" applyFont="1" applyFill="1" applyBorder="1" applyAlignment="1">
      <alignment horizontal="right"/>
    </xf>
    <xf numFmtId="165" fontId="26" fillId="3" borderId="0" xfId="19" applyNumberFormat="1" applyFont="1" applyFill="1" applyBorder="1"/>
    <xf numFmtId="165" fontId="23" fillId="3" borderId="0" xfId="19" applyNumberFormat="1" applyFont="1" applyFill="1" applyBorder="1"/>
    <xf numFmtId="184" fontId="26" fillId="3" borderId="0" xfId="19" applyNumberFormat="1" applyFont="1" applyFill="1" applyBorder="1" applyAlignment="1">
      <alignment horizontal="right"/>
    </xf>
    <xf numFmtId="184" fontId="26" fillId="3" borderId="0" xfId="19" applyNumberFormat="1" applyFont="1" applyFill="1" applyBorder="1" applyAlignment="1">
      <alignment horizontal="left"/>
    </xf>
    <xf numFmtId="8" fontId="25" fillId="3" borderId="0" xfId="0" applyNumberFormat="1" applyFont="1" applyFill="1" applyBorder="1" applyAlignment="1">
      <alignment vertical="top"/>
    </xf>
    <xf numFmtId="10" fontId="23" fillId="3" borderId="0" xfId="41" applyNumberFormat="1" applyFont="1" applyFill="1" applyBorder="1"/>
    <xf numFmtId="6" fontId="26" fillId="3" borderId="0" xfId="19" applyNumberFormat="1" applyFont="1" applyFill="1" applyBorder="1"/>
    <xf numFmtId="0" fontId="26" fillId="3" borderId="0" xfId="0" applyFont="1" applyFill="1" applyBorder="1"/>
    <xf numFmtId="10" fontId="25" fillId="3" borderId="0" xfId="0" applyNumberFormat="1" applyFont="1" applyFill="1" applyBorder="1" applyAlignment="1">
      <alignment horizontal="right"/>
    </xf>
    <xf numFmtId="6" fontId="26" fillId="3" borderId="0" xfId="0" applyNumberFormat="1" applyFont="1" applyFill="1" applyBorder="1"/>
    <xf numFmtId="0" fontId="23" fillId="3" borderId="0" xfId="0" applyFont="1" applyFill="1" applyBorder="1" applyAlignment="1">
      <alignment horizontal="center"/>
    </xf>
    <xf numFmtId="6" fontId="23" fillId="3" borderId="0" xfId="0" applyNumberFormat="1" applyFont="1" applyFill="1" applyBorder="1"/>
    <xf numFmtId="174" fontId="23" fillId="3" borderId="0" xfId="0" applyNumberFormat="1" applyFont="1" applyFill="1" applyBorder="1"/>
    <xf numFmtId="0" fontId="30" fillId="3" borderId="0" xfId="0" applyFont="1" applyFill="1"/>
    <xf numFmtId="0" fontId="35" fillId="2" borderId="0" xfId="15" applyFont="1" applyFill="1" applyAlignment="1" applyProtection="1"/>
    <xf numFmtId="0" fontId="30" fillId="3" borderId="0" xfId="19" applyFont="1" applyFill="1"/>
    <xf numFmtId="0" fontId="26" fillId="3" borderId="0" xfId="0" applyFont="1" applyFill="1"/>
    <xf numFmtId="0" fontId="26" fillId="3" borderId="0" xfId="0" applyFont="1" applyFill="1" applyAlignment="1">
      <alignment horizontal="center"/>
    </xf>
    <xf numFmtId="14" fontId="26" fillId="3" borderId="0" xfId="0" applyNumberFormat="1" applyFont="1" applyFill="1" applyBorder="1" applyAlignment="1">
      <alignment horizontal="left"/>
    </xf>
    <xf numFmtId="0" fontId="26" fillId="3" borderId="0" xfId="19" applyFont="1" applyFill="1"/>
    <xf numFmtId="0" fontId="24" fillId="3" borderId="0" xfId="19" applyFont="1" applyFill="1" applyAlignment="1"/>
    <xf numFmtId="10" fontId="30" fillId="3" borderId="0" xfId="19" applyNumberFormat="1" applyFont="1" applyFill="1"/>
    <xf numFmtId="9" fontId="30" fillId="3" borderId="0" xfId="39" applyFont="1" applyFill="1" applyAlignment="1">
      <alignment horizontal="center"/>
    </xf>
    <xf numFmtId="0" fontId="30" fillId="3" borderId="0" xfId="0" applyFont="1" applyFill="1" applyAlignment="1"/>
    <xf numFmtId="10" fontId="37" fillId="3" borderId="0" xfId="19" applyNumberFormat="1" applyFont="1" applyFill="1" applyAlignment="1">
      <alignment horizontal="right"/>
    </xf>
    <xf numFmtId="165" fontId="36" fillId="3" borderId="0" xfId="19" applyNumberFormat="1" applyFont="1" applyFill="1"/>
    <xf numFmtId="0" fontId="30" fillId="3" borderId="0" xfId="19" applyFont="1" applyFill="1" applyAlignment="1">
      <alignment horizontal="center"/>
    </xf>
    <xf numFmtId="0" fontId="23" fillId="3" borderId="0" xfId="19" applyFont="1" applyFill="1" applyAlignment="1">
      <alignment horizontal="center"/>
    </xf>
    <xf numFmtId="0" fontId="20" fillId="2" borderId="0" xfId="15" applyFont="1" applyFill="1" applyAlignment="1" applyProtection="1">
      <alignment horizontal="center"/>
    </xf>
    <xf numFmtId="0" fontId="2" fillId="3" borderId="0" xfId="19" applyFont="1" applyFill="1" applyAlignment="1">
      <alignment horizontal="center"/>
    </xf>
    <xf numFmtId="0" fontId="11" fillId="2" borderId="6" xfId="19" applyFont="1" applyFill="1" applyBorder="1" applyAlignment="1">
      <alignment horizontal="center"/>
    </xf>
    <xf numFmtId="0" fontId="11" fillId="2" borderId="0" xfId="19" applyFont="1" applyFill="1" applyBorder="1" applyAlignment="1">
      <alignment horizontal="center"/>
    </xf>
    <xf numFmtId="0" fontId="11" fillId="2" borderId="7" xfId="19" applyFont="1" applyFill="1" applyBorder="1" applyAlignment="1">
      <alignment horizontal="center"/>
    </xf>
    <xf numFmtId="0" fontId="2" fillId="3" borderId="6" xfId="19" applyFont="1" applyFill="1" applyBorder="1" applyAlignment="1">
      <alignment horizontal="center"/>
    </xf>
    <xf numFmtId="0" fontId="2" fillId="3" borderId="0" xfId="19" applyFont="1" applyFill="1" applyBorder="1" applyAlignment="1">
      <alignment horizontal="center"/>
    </xf>
    <xf numFmtId="0" fontId="2" fillId="3" borderId="7" xfId="19" applyFont="1" applyFill="1" applyBorder="1" applyAlignment="1">
      <alignment horizontal="center"/>
    </xf>
    <xf numFmtId="0" fontId="16" fillId="2" borderId="0" xfId="19" applyFont="1" applyFill="1" applyBorder="1" applyAlignment="1">
      <alignment horizontal="center"/>
    </xf>
    <xf numFmtId="0" fontId="21" fillId="2" borderId="0" xfId="19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34" fillId="3" borderId="0" xfId="15" applyFont="1" applyFill="1" applyAlignment="1" applyProtection="1">
      <alignment horizontal="center"/>
    </xf>
    <xf numFmtId="0" fontId="38" fillId="5" borderId="0" xfId="19" applyFont="1" applyFill="1" applyBorder="1"/>
    <xf numFmtId="0" fontId="39" fillId="5" borderId="0" xfId="19" applyFont="1" applyFill="1" applyBorder="1"/>
    <xf numFmtId="0" fontId="39" fillId="5" borderId="0" xfId="19" applyFont="1" applyFill="1" applyBorder="1" applyAlignment="1">
      <alignment horizontal="center"/>
    </xf>
    <xf numFmtId="165" fontId="38" fillId="5" borderId="0" xfId="19" applyNumberFormat="1" applyFont="1" applyFill="1" applyBorder="1"/>
    <xf numFmtId="10" fontId="38" fillId="5" borderId="0" xfId="41" applyNumberFormat="1" applyFont="1" applyFill="1" applyBorder="1"/>
    <xf numFmtId="0" fontId="40" fillId="3" borderId="0" xfId="0" applyFont="1" applyFill="1"/>
    <xf numFmtId="165" fontId="29" fillId="6" borderId="15" xfId="19" applyNumberFormat="1" applyFont="1" applyFill="1" applyBorder="1"/>
    <xf numFmtId="0" fontId="41" fillId="3" borderId="0" xfId="0" applyFont="1" applyFill="1" applyBorder="1"/>
    <xf numFmtId="0" fontId="41" fillId="3" borderId="0" xfId="0" applyFont="1" applyFill="1" applyBorder="1" applyAlignment="1">
      <alignment horizontal="right"/>
    </xf>
    <xf numFmtId="10" fontId="26" fillId="3" borderId="12" xfId="39" applyNumberFormat="1" applyFont="1" applyFill="1" applyBorder="1" applyAlignment="1">
      <alignment horizontal="right"/>
    </xf>
    <xf numFmtId="0" fontId="26" fillId="3" borderId="12" xfId="19" applyFont="1" applyFill="1" applyBorder="1" applyAlignment="1">
      <alignment horizontal="center"/>
    </xf>
    <xf numFmtId="165" fontId="26" fillId="3" borderId="13" xfId="19" applyNumberFormat="1" applyFont="1" applyFill="1" applyBorder="1"/>
    <xf numFmtId="165" fontId="33" fillId="3" borderId="15" xfId="19" applyNumberFormat="1" applyFont="1" applyFill="1" applyBorder="1"/>
    <xf numFmtId="0" fontId="26" fillId="3" borderId="10" xfId="19" applyFont="1" applyFill="1" applyBorder="1" applyAlignment="1">
      <alignment horizontal="center"/>
    </xf>
    <xf numFmtId="9" fontId="43" fillId="3" borderId="0" xfId="39" applyFont="1" applyFill="1" applyAlignment="1">
      <alignment horizontal="center"/>
    </xf>
    <xf numFmtId="0" fontId="52" fillId="3" borderId="0" xfId="15" applyFont="1" applyFill="1" applyAlignment="1" applyProtection="1">
      <alignment horizontal="center"/>
    </xf>
    <xf numFmtId="0" fontId="42" fillId="2" borderId="0" xfId="15" applyFont="1" applyFill="1" applyAlignment="1" applyProtection="1">
      <alignment horizontal="center"/>
    </xf>
    <xf numFmtId="0" fontId="43" fillId="2" borderId="0" xfId="53" applyFont="1" applyFill="1" applyAlignment="1">
      <alignment horizontal="center"/>
    </xf>
    <xf numFmtId="0" fontId="43" fillId="3" borderId="0" xfId="53" applyFont="1" applyFill="1"/>
    <xf numFmtId="0" fontId="44" fillId="3" borderId="0" xfId="53" applyFont="1" applyFill="1" applyAlignment="1">
      <alignment horizontal="center"/>
    </xf>
    <xf numFmtId="0" fontId="48" fillId="3" borderId="0" xfId="53" applyFont="1" applyFill="1" applyAlignment="1"/>
    <xf numFmtId="0" fontId="45" fillId="3" borderId="0" xfId="53" applyFont="1" applyFill="1" applyAlignment="1">
      <alignment horizontal="center"/>
    </xf>
    <xf numFmtId="0" fontId="43" fillId="3" borderId="0" xfId="53" applyFont="1" applyFill="1" applyAlignment="1">
      <alignment horizontal="center"/>
    </xf>
    <xf numFmtId="14" fontId="47" fillId="3" borderId="0" xfId="53" applyNumberFormat="1" applyFont="1" applyFill="1" applyBorder="1" applyAlignment="1">
      <alignment horizontal="left"/>
    </xf>
    <xf numFmtId="0" fontId="48" fillId="3" borderId="0" xfId="53" applyFont="1" applyFill="1" applyBorder="1" applyAlignment="1"/>
    <xf numFmtId="0" fontId="46" fillId="3" borderId="0" xfId="53" applyFont="1" applyFill="1" applyBorder="1"/>
    <xf numFmtId="0" fontId="47" fillId="3" borderId="0" xfId="53" applyFont="1" applyFill="1" applyBorder="1" applyAlignment="1">
      <alignment horizontal="center"/>
    </xf>
    <xf numFmtId="0" fontId="43" fillId="3" borderId="0" xfId="53" applyFont="1" applyFill="1" applyAlignment="1">
      <alignment vertical="top"/>
    </xf>
    <xf numFmtId="0" fontId="47" fillId="3" borderId="0" xfId="53" applyFont="1" applyFill="1" applyBorder="1" applyAlignment="1">
      <alignment vertical="top"/>
    </xf>
    <xf numFmtId="0" fontId="48" fillId="3" borderId="0" xfId="53" applyFont="1" applyFill="1" applyBorder="1" applyAlignment="1">
      <alignment horizontal="left" vertical="top"/>
    </xf>
    <xf numFmtId="0" fontId="53" fillId="3" borderId="0" xfId="53" applyFont="1" applyFill="1" applyAlignment="1">
      <alignment vertical="top"/>
    </xf>
    <xf numFmtId="0" fontId="48" fillId="3" borderId="0" xfId="53" applyFont="1" applyFill="1" applyBorder="1" applyAlignment="1">
      <alignment horizontal="left" vertical="top"/>
    </xf>
    <xf numFmtId="0" fontId="41" fillId="3" borderId="0" xfId="53" applyFont="1" applyFill="1" applyBorder="1"/>
    <xf numFmtId="14" fontId="47" fillId="3" borderId="0" xfId="53" applyNumberFormat="1" applyFont="1" applyFill="1" applyBorder="1" applyAlignment="1"/>
    <xf numFmtId="0" fontId="43" fillId="3" borderId="0" xfId="53" applyFont="1" applyFill="1" applyBorder="1" applyAlignment="1">
      <alignment horizontal="center"/>
    </xf>
    <xf numFmtId="0" fontId="47" fillId="3" borderId="0" xfId="53" applyFont="1" applyFill="1" applyBorder="1"/>
    <xf numFmtId="0" fontId="47" fillId="3" borderId="0" xfId="53" applyFont="1" applyFill="1" applyBorder="1" applyAlignment="1">
      <alignment horizontal="right"/>
    </xf>
    <xf numFmtId="0" fontId="47" fillId="3" borderId="11" xfId="53" applyFont="1" applyFill="1" applyBorder="1"/>
    <xf numFmtId="0" fontId="47" fillId="3" borderId="12" xfId="53" applyFont="1" applyFill="1" applyBorder="1"/>
    <xf numFmtId="187" fontId="48" fillId="3" borderId="13" xfId="53" applyNumberFormat="1" applyFont="1" applyFill="1" applyBorder="1"/>
    <xf numFmtId="0" fontId="47" fillId="3" borderId="14" xfId="53" applyFont="1" applyFill="1" applyBorder="1"/>
    <xf numFmtId="188" fontId="48" fillId="3" borderId="0" xfId="53" applyNumberFormat="1" applyFont="1" applyFill="1" applyBorder="1" applyAlignment="1">
      <alignment horizontal="right"/>
    </xf>
    <xf numFmtId="189" fontId="47" fillId="3" borderId="15" xfId="53" applyNumberFormat="1" applyFont="1" applyFill="1" applyBorder="1"/>
    <xf numFmtId="190" fontId="53" fillId="3" borderId="0" xfId="53" applyNumberFormat="1" applyFont="1" applyFill="1" applyBorder="1" applyAlignment="1">
      <alignment horizontal="right"/>
    </xf>
    <xf numFmtId="191" fontId="48" fillId="3" borderId="0" xfId="53" applyNumberFormat="1" applyFont="1" applyFill="1" applyBorder="1" applyAlignment="1">
      <alignment horizontal="right"/>
    </xf>
    <xf numFmtId="177" fontId="47" fillId="3" borderId="15" xfId="53" applyNumberFormat="1" applyFont="1" applyFill="1" applyBorder="1"/>
    <xf numFmtId="179" fontId="48" fillId="3" borderId="0" xfId="53" applyNumberFormat="1" applyFont="1" applyFill="1" applyBorder="1" applyAlignment="1">
      <alignment horizontal="right"/>
    </xf>
    <xf numFmtId="179" fontId="53" fillId="3" borderId="0" xfId="53" applyNumberFormat="1" applyFont="1" applyFill="1" applyBorder="1" applyAlignment="1">
      <alignment horizontal="right"/>
    </xf>
    <xf numFmtId="192" fontId="48" fillId="3" borderId="0" xfId="53" applyNumberFormat="1" applyFont="1" applyFill="1" applyBorder="1" applyAlignment="1">
      <alignment horizontal="right"/>
    </xf>
    <xf numFmtId="192" fontId="48" fillId="3" borderId="15" xfId="53" applyNumberFormat="1" applyFont="1" applyFill="1" applyBorder="1" applyAlignment="1">
      <alignment horizontal="right"/>
    </xf>
    <xf numFmtId="173" fontId="48" fillId="3" borderId="0" xfId="53" applyNumberFormat="1" applyFont="1" applyFill="1" applyBorder="1"/>
    <xf numFmtId="0" fontId="47" fillId="3" borderId="15" xfId="53" applyFont="1" applyFill="1" applyBorder="1" applyAlignment="1">
      <alignment horizontal="right"/>
    </xf>
    <xf numFmtId="0" fontId="43" fillId="3" borderId="0" xfId="53" applyFont="1" applyFill="1" applyAlignment="1">
      <alignment horizontal="left"/>
    </xf>
    <xf numFmtId="193" fontId="48" fillId="3" borderId="0" xfId="53" applyNumberFormat="1" applyFont="1" applyFill="1" applyBorder="1" applyAlignment="1">
      <alignment horizontal="right"/>
    </xf>
    <xf numFmtId="189" fontId="47" fillId="3" borderId="15" xfId="53" applyNumberFormat="1" applyFont="1" applyFill="1" applyBorder="1" applyAlignment="1">
      <alignment horizontal="right"/>
    </xf>
    <xf numFmtId="194" fontId="46" fillId="3" borderId="16" xfId="53" applyNumberFormat="1" applyFont="1" applyFill="1" applyBorder="1" applyAlignment="1">
      <alignment horizontal="center"/>
    </xf>
    <xf numFmtId="0" fontId="47" fillId="3" borderId="10" xfId="53" applyFont="1" applyFill="1" applyBorder="1" applyAlignment="1">
      <alignment horizontal="center"/>
    </xf>
    <xf numFmtId="0" fontId="47" fillId="3" borderId="17" xfId="53" applyFont="1" applyFill="1" applyBorder="1" applyAlignment="1">
      <alignment horizontal="right"/>
    </xf>
    <xf numFmtId="194" fontId="46" fillId="3" borderId="0" xfId="53" applyNumberFormat="1" applyFont="1" applyFill="1" applyBorder="1" applyAlignment="1">
      <alignment horizontal="center"/>
    </xf>
    <xf numFmtId="0" fontId="43" fillId="3" borderId="11" xfId="53" applyFont="1" applyFill="1" applyBorder="1"/>
    <xf numFmtId="0" fontId="47" fillId="3" borderId="12" xfId="53" applyFont="1" applyFill="1" applyBorder="1" applyAlignment="1">
      <alignment horizontal="center"/>
    </xf>
    <xf numFmtId="0" fontId="47" fillId="3" borderId="12" xfId="53" applyFont="1" applyFill="1" applyBorder="1" applyAlignment="1">
      <alignment horizontal="right"/>
    </xf>
    <xf numFmtId="0" fontId="47" fillId="3" borderId="13" xfId="53" applyFont="1" applyFill="1" applyBorder="1" applyAlignment="1">
      <alignment horizontal="right" indent="2"/>
    </xf>
    <xf numFmtId="9" fontId="48" fillId="3" borderId="0" xfId="53" applyNumberFormat="1" applyFont="1" applyFill="1" applyBorder="1" applyAlignment="1">
      <alignment horizontal="right"/>
    </xf>
    <xf numFmtId="189" fontId="47" fillId="3" borderId="0" xfId="53" applyNumberFormat="1" applyFont="1" applyFill="1" applyBorder="1" applyAlignment="1">
      <alignment horizontal="right"/>
    </xf>
    <xf numFmtId="178" fontId="48" fillId="3" borderId="0" xfId="53" applyNumberFormat="1" applyFont="1" applyFill="1" applyBorder="1" applyAlignment="1">
      <alignment horizontal="right"/>
    </xf>
    <xf numFmtId="180" fontId="47" fillId="3" borderId="15" xfId="53" applyNumberFormat="1" applyFont="1" applyFill="1" applyBorder="1" applyAlignment="1">
      <alignment horizontal="right"/>
    </xf>
    <xf numFmtId="9" fontId="48" fillId="3" borderId="0" xfId="53" applyNumberFormat="1" applyFont="1" applyFill="1" applyBorder="1" applyAlignment="1">
      <alignment horizontal="center"/>
    </xf>
    <xf numFmtId="189" fontId="50" fillId="3" borderId="0" xfId="53" applyNumberFormat="1" applyFont="1" applyFill="1" applyBorder="1" applyAlignment="1">
      <alignment horizontal="right"/>
    </xf>
    <xf numFmtId="178" fontId="47" fillId="3" borderId="0" xfId="53" applyNumberFormat="1" applyFont="1" applyFill="1" applyBorder="1" applyAlignment="1">
      <alignment horizontal="right"/>
    </xf>
    <xf numFmtId="0" fontId="44" fillId="3" borderId="14" xfId="53" applyFont="1" applyFill="1" applyBorder="1"/>
    <xf numFmtId="189" fontId="44" fillId="3" borderId="0" xfId="53" applyNumberFormat="1" applyFont="1" applyFill="1" applyBorder="1" applyAlignment="1">
      <alignment horizontal="right"/>
    </xf>
    <xf numFmtId="0" fontId="44" fillId="3" borderId="14" xfId="53" applyFont="1" applyFill="1" applyBorder="1" applyAlignment="1">
      <alignment horizontal="left" indent="1"/>
    </xf>
    <xf numFmtId="189" fontId="48" fillId="3" borderId="0" xfId="53" applyNumberFormat="1" applyFont="1" applyFill="1" applyBorder="1" applyAlignment="1">
      <alignment horizontal="right"/>
    </xf>
    <xf numFmtId="0" fontId="41" fillId="3" borderId="14" xfId="53" applyFont="1" applyFill="1" applyBorder="1"/>
    <xf numFmtId="0" fontId="47" fillId="3" borderId="15" xfId="53" applyFont="1" applyFill="1" applyBorder="1" applyAlignment="1">
      <alignment horizontal="center"/>
    </xf>
    <xf numFmtId="195" fontId="48" fillId="3" borderId="0" xfId="53" applyNumberFormat="1" applyFont="1" applyFill="1" applyBorder="1" applyAlignment="1">
      <alignment horizontal="right"/>
    </xf>
    <xf numFmtId="0" fontId="54" fillId="3" borderId="14" xfId="53" applyFont="1" applyFill="1" applyBorder="1"/>
    <xf numFmtId="0" fontId="44" fillId="3" borderId="15" xfId="53" applyFont="1" applyFill="1" applyBorder="1" applyAlignment="1">
      <alignment horizontal="center"/>
    </xf>
    <xf numFmtId="14" fontId="43" fillId="3" borderId="0" xfId="53" applyNumberFormat="1" applyFont="1" applyFill="1" applyAlignment="1">
      <alignment horizontal="left"/>
    </xf>
    <xf numFmtId="0" fontId="47" fillId="4" borderId="14" xfId="53" applyFont="1" applyFill="1" applyBorder="1" applyAlignment="1">
      <alignment horizontal="left" indent="11"/>
    </xf>
    <xf numFmtId="165" fontId="47" fillId="4" borderId="0" xfId="53" applyNumberFormat="1" applyFont="1" applyFill="1" applyBorder="1" applyAlignment="1">
      <alignment horizontal="right"/>
    </xf>
    <xf numFmtId="165" fontId="48" fillId="4" borderId="0" xfId="53" applyNumberFormat="1" applyFont="1" applyFill="1" applyBorder="1" applyAlignment="1">
      <alignment horizontal="right"/>
    </xf>
    <xf numFmtId="6" fontId="47" fillId="3" borderId="15" xfId="53" applyNumberFormat="1" applyFont="1" applyFill="1" applyBorder="1" applyAlignment="1">
      <alignment horizontal="right"/>
    </xf>
    <xf numFmtId="196" fontId="46" fillId="4" borderId="0" xfId="53" applyNumberFormat="1" applyFont="1" applyFill="1" applyBorder="1" applyAlignment="1">
      <alignment horizontal="right"/>
    </xf>
    <xf numFmtId="0" fontId="47" fillId="3" borderId="14" xfId="53" applyFont="1" applyFill="1" applyBorder="1" applyAlignment="1">
      <alignment horizontal="left" indent="11"/>
    </xf>
    <xf numFmtId="165" fontId="47" fillId="3" borderId="0" xfId="53" applyNumberFormat="1" applyFont="1" applyFill="1" applyBorder="1" applyAlignment="1">
      <alignment horizontal="right"/>
    </xf>
    <xf numFmtId="165" fontId="48" fillId="3" borderId="0" xfId="53" applyNumberFormat="1" applyFont="1" applyFill="1" applyBorder="1" applyAlignment="1">
      <alignment horizontal="right"/>
    </xf>
    <xf numFmtId="10" fontId="48" fillId="3" borderId="0" xfId="53" applyNumberFormat="1" applyFont="1" applyFill="1" applyBorder="1" applyAlignment="1">
      <alignment horizontal="right"/>
    </xf>
    <xf numFmtId="0" fontId="43" fillId="3" borderId="0" xfId="53" applyFont="1" applyFill="1" applyAlignment="1">
      <alignment horizontal="right"/>
    </xf>
    <xf numFmtId="165" fontId="44" fillId="3" borderId="0" xfId="53" applyNumberFormat="1" applyFont="1" applyFill="1" applyBorder="1" applyAlignment="1">
      <alignment horizontal="right"/>
    </xf>
    <xf numFmtId="6" fontId="44" fillId="3" borderId="0" xfId="53" applyNumberFormat="1" applyFont="1" applyFill="1" applyBorder="1" applyAlignment="1">
      <alignment horizontal="right"/>
    </xf>
    <xf numFmtId="0" fontId="46" fillId="3" borderId="0" xfId="53" applyFont="1" applyFill="1" applyBorder="1" applyAlignment="1">
      <alignment horizontal="right"/>
    </xf>
    <xf numFmtId="6" fontId="46" fillId="3" borderId="0" xfId="53" applyNumberFormat="1" applyFont="1" applyFill="1" applyBorder="1" applyAlignment="1">
      <alignment horizontal="right"/>
    </xf>
    <xf numFmtId="165" fontId="48" fillId="3" borderId="15" xfId="53" applyNumberFormat="1" applyFont="1" applyFill="1" applyBorder="1" applyAlignment="1">
      <alignment horizontal="right"/>
    </xf>
    <xf numFmtId="173" fontId="48" fillId="3" borderId="0" xfId="53" applyNumberFormat="1" applyFont="1" applyFill="1" applyBorder="1" applyAlignment="1">
      <alignment horizontal="right"/>
    </xf>
    <xf numFmtId="181" fontId="48" fillId="3" borderId="0" xfId="53" applyNumberFormat="1" applyFont="1" applyFill="1" applyBorder="1" applyAlignment="1">
      <alignment horizontal="right"/>
    </xf>
    <xf numFmtId="181" fontId="47" fillId="3" borderId="0" xfId="53" applyNumberFormat="1" applyFont="1" applyFill="1" applyBorder="1" applyAlignment="1">
      <alignment horizontal="right"/>
    </xf>
    <xf numFmtId="165" fontId="47" fillId="3" borderId="0" xfId="53" applyNumberFormat="1" applyFont="1" applyFill="1" applyBorder="1"/>
    <xf numFmtId="181" fontId="48" fillId="3" borderId="15" xfId="53" applyNumberFormat="1" applyFont="1" applyFill="1" applyBorder="1" applyAlignment="1">
      <alignment horizontal="right"/>
    </xf>
    <xf numFmtId="10" fontId="48" fillId="3" borderId="0" xfId="39" applyNumberFormat="1" applyFont="1" applyFill="1" applyBorder="1" applyAlignment="1">
      <alignment horizontal="right"/>
    </xf>
    <xf numFmtId="0" fontId="47" fillId="3" borderId="15" xfId="53" applyFont="1" applyFill="1" applyBorder="1"/>
    <xf numFmtId="0" fontId="44" fillId="3" borderId="0" xfId="53" applyFont="1" applyFill="1" applyBorder="1"/>
    <xf numFmtId="165" fontId="44" fillId="3" borderId="0" xfId="53" applyNumberFormat="1" applyFont="1" applyFill="1" applyBorder="1"/>
    <xf numFmtId="0" fontId="43" fillId="3" borderId="14" xfId="53" applyFont="1" applyFill="1" applyBorder="1"/>
    <xf numFmtId="0" fontId="43" fillId="3" borderId="0" xfId="53" applyFont="1" applyFill="1" applyBorder="1"/>
    <xf numFmtId="0" fontId="43" fillId="3" borderId="15" xfId="53" applyFont="1" applyFill="1" applyBorder="1"/>
    <xf numFmtId="0" fontId="44" fillId="3" borderId="16" xfId="53" applyFont="1" applyFill="1" applyBorder="1"/>
    <xf numFmtId="9" fontId="48" fillId="3" borderId="10" xfId="53" applyNumberFormat="1" applyFont="1" applyFill="1" applyBorder="1" applyAlignment="1">
      <alignment horizontal="center"/>
    </xf>
    <xf numFmtId="0" fontId="47" fillId="3" borderId="10" xfId="53" applyFont="1" applyFill="1" applyBorder="1"/>
    <xf numFmtId="165" fontId="44" fillId="3" borderId="10" xfId="53" applyNumberFormat="1" applyFont="1" applyFill="1" applyBorder="1"/>
    <xf numFmtId="0" fontId="43" fillId="3" borderId="17" xfId="53" applyFont="1" applyFill="1" applyBorder="1"/>
    <xf numFmtId="0" fontId="41" fillId="3" borderId="11" xfId="53" applyFont="1" applyFill="1" applyBorder="1"/>
    <xf numFmtId="0" fontId="47" fillId="3" borderId="13" xfId="53" applyFont="1" applyFill="1" applyBorder="1" applyAlignment="1">
      <alignment horizontal="center"/>
    </xf>
    <xf numFmtId="14" fontId="47" fillId="3" borderId="0" xfId="53" applyNumberFormat="1" applyFont="1" applyFill="1" applyBorder="1" applyAlignment="1">
      <alignment horizontal="right"/>
    </xf>
    <xf numFmtId="180" fontId="48" fillId="3" borderId="0" xfId="53" applyNumberFormat="1" applyFont="1" applyFill="1" applyBorder="1" applyAlignment="1">
      <alignment horizontal="right"/>
    </xf>
    <xf numFmtId="178" fontId="49" fillId="3" borderId="0" xfId="53" applyNumberFormat="1" applyFont="1" applyFill="1" applyBorder="1" applyAlignment="1">
      <alignment horizontal="right"/>
    </xf>
    <xf numFmtId="178" fontId="44" fillId="3" borderId="0" xfId="53" applyNumberFormat="1" applyFont="1" applyFill="1" applyBorder="1" applyAlignment="1">
      <alignment horizontal="right"/>
    </xf>
    <xf numFmtId="0" fontId="46" fillId="3" borderId="15" xfId="53" applyFont="1" applyFill="1" applyBorder="1" applyAlignment="1">
      <alignment horizontal="left" indent="1"/>
    </xf>
    <xf numFmtId="182" fontId="48" fillId="3" borderId="0" xfId="53" applyNumberFormat="1" applyFont="1" applyFill="1" applyBorder="1" applyAlignment="1">
      <alignment horizontal="right"/>
    </xf>
    <xf numFmtId="164" fontId="46" fillId="3" borderId="15" xfId="39" applyNumberFormat="1" applyFont="1" applyFill="1" applyBorder="1" applyAlignment="1">
      <alignment horizontal="left" indent="1"/>
    </xf>
    <xf numFmtId="182" fontId="53" fillId="3" borderId="0" xfId="53" applyNumberFormat="1" applyFont="1" applyFill="1" applyAlignment="1">
      <alignment horizontal="right"/>
    </xf>
    <xf numFmtId="197" fontId="53" fillId="3" borderId="0" xfId="53" applyNumberFormat="1" applyFont="1" applyFill="1" applyAlignment="1">
      <alignment horizontal="right"/>
    </xf>
    <xf numFmtId="164" fontId="46" fillId="3" borderId="15" xfId="53" applyNumberFormat="1" applyFont="1" applyFill="1" applyBorder="1" applyAlignment="1">
      <alignment horizontal="left" indent="1"/>
    </xf>
    <xf numFmtId="10" fontId="53" fillId="3" borderId="0" xfId="53" applyNumberFormat="1" applyFont="1" applyFill="1" applyAlignment="1">
      <alignment horizontal="right"/>
    </xf>
    <xf numFmtId="0" fontId="47" fillId="3" borderId="0" xfId="53" applyFont="1" applyFill="1"/>
    <xf numFmtId="182" fontId="47" fillId="3" borderId="0" xfId="53" applyNumberFormat="1" applyFont="1" applyFill="1" applyBorder="1" applyAlignment="1">
      <alignment horizontal="right"/>
    </xf>
    <xf numFmtId="165" fontId="49" fillId="6" borderId="0" xfId="53" applyNumberFormat="1" applyFont="1" applyFill="1" applyBorder="1"/>
    <xf numFmtId="164" fontId="51" fillId="3" borderId="15" xfId="39" applyNumberFormat="1" applyFont="1" applyFill="1" applyBorder="1" applyAlignment="1">
      <alignment horizontal="left" indent="1"/>
    </xf>
    <xf numFmtId="0" fontId="40" fillId="3" borderId="0" xfId="53" applyFont="1" applyFill="1"/>
    <xf numFmtId="0" fontId="44" fillId="3" borderId="0" xfId="53" applyFont="1" applyFill="1" applyBorder="1" applyAlignment="1">
      <alignment horizontal="center"/>
    </xf>
    <xf numFmtId="0" fontId="46" fillId="3" borderId="16" xfId="53" applyFont="1" applyFill="1" applyBorder="1" applyAlignment="1">
      <alignment horizontal="left" indent="1"/>
    </xf>
    <xf numFmtId="0" fontId="46" fillId="3" borderId="10" xfId="53" applyFont="1" applyFill="1" applyBorder="1" applyAlignment="1">
      <alignment horizontal="center"/>
    </xf>
    <xf numFmtId="165" fontId="46" fillId="3" borderId="10" xfId="53" applyNumberFormat="1" applyFont="1" applyFill="1" applyBorder="1"/>
    <xf numFmtId="9" fontId="47" fillId="3" borderId="17" xfId="39" applyFont="1" applyFill="1" applyBorder="1" applyAlignment="1">
      <alignment horizontal="left" indent="1"/>
    </xf>
    <xf numFmtId="0" fontId="55" fillId="3" borderId="0" xfId="53" applyFont="1" applyFill="1" applyAlignment="1">
      <alignment horizontal="center"/>
    </xf>
    <xf numFmtId="0" fontId="46" fillId="3" borderId="0" xfId="53" applyFont="1" applyFill="1" applyBorder="1" applyAlignment="1">
      <alignment horizontal="left" indent="1"/>
    </xf>
    <xf numFmtId="0" fontId="46" fillId="3" borderId="0" xfId="53" applyFont="1" applyFill="1" applyBorder="1" applyAlignment="1">
      <alignment horizontal="center"/>
    </xf>
    <xf numFmtId="165" fontId="46" fillId="3" borderId="0" xfId="53" applyNumberFormat="1" applyFont="1" applyFill="1" applyBorder="1"/>
    <xf numFmtId="165" fontId="47" fillId="3" borderId="12" xfId="53" applyNumberFormat="1" applyFont="1" applyFill="1" applyBorder="1"/>
    <xf numFmtId="164" fontId="46" fillId="3" borderId="13" xfId="39" applyNumberFormat="1" applyFont="1" applyFill="1" applyBorder="1" applyAlignment="1">
      <alignment horizontal="left" indent="1"/>
    </xf>
    <xf numFmtId="165" fontId="50" fillId="3" borderId="0" xfId="53" applyNumberFormat="1" applyFont="1" applyFill="1" applyBorder="1"/>
    <xf numFmtId="164" fontId="46" fillId="3" borderId="17" xfId="53" applyNumberFormat="1" applyFont="1" applyFill="1" applyBorder="1" applyAlignment="1">
      <alignment horizontal="left" indent="1"/>
    </xf>
    <xf numFmtId="0" fontId="56" fillId="5" borderId="0" xfId="53" applyFont="1" applyFill="1" applyBorder="1"/>
    <xf numFmtId="0" fontId="57" fillId="5" borderId="0" xfId="53" applyFont="1" applyFill="1" applyBorder="1"/>
    <xf numFmtId="165" fontId="56" fillId="5" borderId="0" xfId="39" applyNumberFormat="1" applyFont="1" applyFill="1" applyBorder="1"/>
    <xf numFmtId="165" fontId="43" fillId="3" borderId="0" xfId="53" applyNumberFormat="1" applyFont="1" applyFill="1"/>
    <xf numFmtId="10" fontId="56" fillId="5" borderId="0" xfId="53" applyNumberFormat="1" applyFont="1" applyFill="1" applyBorder="1"/>
    <xf numFmtId="198" fontId="43" fillId="3" borderId="0" xfId="53" applyNumberFormat="1" applyFont="1" applyFill="1"/>
    <xf numFmtId="174" fontId="56" fillId="5" borderId="0" xfId="53" applyNumberFormat="1" applyFont="1" applyFill="1" applyBorder="1"/>
    <xf numFmtId="0" fontId="45" fillId="3" borderId="0" xfId="53" applyFont="1" applyFill="1"/>
    <xf numFmtId="174" fontId="45" fillId="3" borderId="0" xfId="53" applyNumberFormat="1" applyFont="1" applyFill="1"/>
    <xf numFmtId="10" fontId="43" fillId="3" borderId="0" xfId="54" applyNumberFormat="1" applyFont="1" applyFill="1" applyAlignment="1">
      <alignment horizontal="right"/>
    </xf>
    <xf numFmtId="165" fontId="58" fillId="3" borderId="0" xfId="53" applyNumberFormat="1" applyFont="1" applyFill="1"/>
    <xf numFmtId="165" fontId="45" fillId="3" borderId="0" xfId="53" applyNumberFormat="1" applyFont="1" applyFill="1"/>
    <xf numFmtId="184" fontId="43" fillId="3" borderId="0" xfId="53" applyNumberFormat="1" applyFont="1" applyFill="1" applyAlignment="1">
      <alignment horizontal="right"/>
    </xf>
    <xf numFmtId="184" fontId="53" fillId="3" borderId="0" xfId="53" applyNumberFormat="1" applyFont="1" applyFill="1" applyAlignment="1">
      <alignment horizontal="right"/>
    </xf>
    <xf numFmtId="0" fontId="55" fillId="3" borderId="0" xfId="53" applyFont="1" applyFill="1"/>
    <xf numFmtId="0" fontId="55" fillId="3" borderId="0" xfId="53" applyFont="1" applyFill="1" applyAlignment="1">
      <alignment horizontal="left" indent="1"/>
    </xf>
    <xf numFmtId="0" fontId="52" fillId="2" borderId="0" xfId="15" applyFont="1" applyFill="1" applyAlignment="1" applyProtection="1"/>
    <xf numFmtId="14" fontId="47" fillId="3" borderId="11" xfId="53" applyNumberFormat="1" applyFont="1" applyFill="1" applyBorder="1" applyAlignment="1">
      <alignment horizontal="left"/>
    </xf>
    <xf numFmtId="0" fontId="48" fillId="3" borderId="12" xfId="53" applyFont="1" applyFill="1" applyBorder="1" applyAlignment="1"/>
    <xf numFmtId="0" fontId="43" fillId="3" borderId="12" xfId="53" applyFont="1" applyFill="1" applyBorder="1" applyAlignment="1">
      <alignment horizontal="center"/>
    </xf>
    <xf numFmtId="0" fontId="48" fillId="3" borderId="13" xfId="53" applyFont="1" applyFill="1" applyBorder="1" applyAlignment="1"/>
    <xf numFmtId="0" fontId="47" fillId="3" borderId="14" xfId="53" applyFont="1" applyFill="1" applyBorder="1" applyAlignment="1">
      <alignment vertical="top"/>
    </xf>
    <xf numFmtId="0" fontId="48" fillId="3" borderId="15" xfId="53" applyFont="1" applyFill="1" applyBorder="1" applyAlignment="1">
      <alignment horizontal="left" vertical="top"/>
    </xf>
    <xf numFmtId="9" fontId="53" fillId="3" borderId="0" xfId="53" applyNumberFormat="1" applyFont="1" applyFill="1" applyBorder="1" applyAlignment="1">
      <alignment horizontal="right"/>
    </xf>
    <xf numFmtId="167" fontId="43" fillId="3" borderId="0" xfId="53" applyNumberFormat="1" applyFont="1" applyFill="1" applyBorder="1" applyAlignment="1">
      <alignment horizontal="right"/>
    </xf>
    <xf numFmtId="14" fontId="47" fillId="3" borderId="0" xfId="53" applyNumberFormat="1" applyFont="1" applyFill="1" applyBorder="1"/>
    <xf numFmtId="175" fontId="48" fillId="3" borderId="0" xfId="53" applyNumberFormat="1" applyFont="1" applyFill="1" applyBorder="1"/>
    <xf numFmtId="176" fontId="47" fillId="3" borderId="0" xfId="53" applyNumberFormat="1" applyFont="1" applyFill="1" applyBorder="1"/>
    <xf numFmtId="166" fontId="47" fillId="3" borderId="0" xfId="53" applyNumberFormat="1" applyFont="1" applyFill="1" applyBorder="1" applyAlignment="1">
      <alignment horizontal="right"/>
    </xf>
    <xf numFmtId="9" fontId="47" fillId="3" borderId="0" xfId="53" applyNumberFormat="1" applyFont="1" applyFill="1" applyBorder="1" applyAlignment="1">
      <alignment horizontal="left"/>
    </xf>
    <xf numFmtId="199" fontId="47" fillId="3" borderId="0" xfId="53" applyNumberFormat="1" applyFont="1" applyFill="1" applyBorder="1" applyAlignment="1">
      <alignment horizontal="right"/>
    </xf>
    <xf numFmtId="200" fontId="48" fillId="3" borderId="0" xfId="53" applyNumberFormat="1" applyFont="1" applyFill="1" applyBorder="1" applyAlignment="1">
      <alignment horizontal="right"/>
    </xf>
    <xf numFmtId="173" fontId="47" fillId="3" borderId="0" xfId="53" applyNumberFormat="1" applyFont="1" applyFill="1" applyBorder="1" applyAlignment="1">
      <alignment horizontal="right"/>
    </xf>
    <xf numFmtId="201" fontId="47" fillId="3" borderId="0" xfId="53" applyNumberFormat="1" applyFont="1" applyFill="1" applyBorder="1" applyAlignment="1">
      <alignment horizontal="right"/>
    </xf>
    <xf numFmtId="201" fontId="50" fillId="3" borderId="0" xfId="53" applyNumberFormat="1" applyFont="1" applyFill="1" applyBorder="1" applyAlignment="1">
      <alignment horizontal="right"/>
    </xf>
    <xf numFmtId="177" fontId="47" fillId="3" borderId="0" xfId="53" applyNumberFormat="1" applyFont="1" applyFill="1" applyBorder="1"/>
    <xf numFmtId="9" fontId="47" fillId="3" borderId="0" xfId="53" applyNumberFormat="1" applyFont="1" applyFill="1" applyBorder="1" applyAlignment="1">
      <alignment horizontal="center"/>
    </xf>
    <xf numFmtId="10" fontId="45" fillId="3" borderId="0" xfId="39" applyNumberFormat="1" applyFont="1" applyFill="1"/>
    <xf numFmtId="183" fontId="47" fillId="3" borderId="0" xfId="53" applyNumberFormat="1" applyFont="1" applyFill="1" applyBorder="1" applyAlignment="1">
      <alignment horizontal="right"/>
    </xf>
    <xf numFmtId="0" fontId="43" fillId="3" borderId="0" xfId="53" applyFont="1" applyFill="1" applyAlignment="1"/>
    <xf numFmtId="0" fontId="46" fillId="3" borderId="14" xfId="53" applyFont="1" applyFill="1" applyBorder="1" applyAlignment="1">
      <alignment horizontal="left" indent="1"/>
    </xf>
    <xf numFmtId="9" fontId="47" fillId="3" borderId="15" xfId="39" applyFont="1" applyFill="1" applyBorder="1" applyAlignment="1">
      <alignment horizontal="left" indent="1"/>
    </xf>
    <xf numFmtId="0" fontId="46" fillId="3" borderId="15" xfId="53" applyFont="1" applyFill="1" applyBorder="1" applyAlignment="1">
      <alignment horizontal="center"/>
    </xf>
    <xf numFmtId="165" fontId="44" fillId="3" borderId="0" xfId="39" applyNumberFormat="1" applyFont="1" applyFill="1" applyBorder="1"/>
    <xf numFmtId="10" fontId="44" fillId="3" borderId="0" xfId="53" applyNumberFormat="1" applyFont="1" applyFill="1" applyBorder="1"/>
    <xf numFmtId="174" fontId="44" fillId="3" borderId="10" xfId="53" applyNumberFormat="1" applyFont="1" applyFill="1" applyBorder="1"/>
    <xf numFmtId="0" fontId="47" fillId="3" borderId="17" xfId="53" applyFont="1" applyFill="1" applyBorder="1"/>
    <xf numFmtId="0" fontId="47" fillId="3" borderId="0" xfId="53" applyFont="1" applyFill="1" applyAlignment="1">
      <alignment horizontal="center"/>
    </xf>
    <xf numFmtId="165" fontId="47" fillId="3" borderId="0" xfId="53" applyNumberFormat="1" applyFont="1" applyFill="1"/>
    <xf numFmtId="0" fontId="47" fillId="3" borderId="0" xfId="53" applyFont="1" applyFill="1" applyAlignment="1">
      <alignment horizontal="center"/>
    </xf>
    <xf numFmtId="165" fontId="44" fillId="3" borderId="0" xfId="53" applyNumberFormat="1" applyFont="1" applyFill="1"/>
    <xf numFmtId="6" fontId="43" fillId="3" borderId="0" xfId="53" applyNumberFormat="1" applyFont="1" applyFill="1"/>
    <xf numFmtId="6" fontId="55" fillId="3" borderId="0" xfId="53" applyNumberFormat="1" applyFont="1" applyFill="1"/>
    <xf numFmtId="6" fontId="45" fillId="3" borderId="0" xfId="53" applyNumberFormat="1" applyFont="1" applyFill="1"/>
    <xf numFmtId="0" fontId="44" fillId="3" borderId="0" xfId="53" applyFont="1" applyFill="1" applyAlignment="1">
      <alignment horizontal="center"/>
    </xf>
  </cellXfs>
  <cellStyles count="55">
    <cellStyle name="_Comma" xfId="1"/>
    <cellStyle name="_Currency" xfId="2"/>
    <cellStyle name="_Multiple" xfId="3"/>
    <cellStyle name="Comma 10" xfId="4"/>
    <cellStyle name="Comma 12" xfId="5"/>
    <cellStyle name="Comma 2" xfId="6"/>
    <cellStyle name="Comma 2 2" xfId="7"/>
    <cellStyle name="Comma 3" xfId="8"/>
    <cellStyle name="Currency 2" xfId="9"/>
    <cellStyle name="Currency 3" xfId="10"/>
    <cellStyle name="Currency 4" xfId="11"/>
    <cellStyle name="DATE" xfId="12"/>
    <cellStyle name="Followed Hyperlink" xfId="51" builtinId="9" hidden="1"/>
    <cellStyle name="Followed Hyperlink" xfId="52" builtinId="9" hidden="1"/>
    <cellStyle name="FORMULA" xfId="13"/>
    <cellStyle name="HIDE" xfId="14"/>
    <cellStyle name="Hyperlink" xfId="15" builtinId="8"/>
    <cellStyle name="Hyperlink 2" xfId="16"/>
    <cellStyle name="LINK" xfId="17"/>
    <cellStyle name="Nor@„l_IRRSENS" xfId="18"/>
    <cellStyle name="Normal" xfId="0" builtinId="0"/>
    <cellStyle name="Normal 10" xfId="19"/>
    <cellStyle name="Normal 10 2" xfId="53"/>
    <cellStyle name="Normal 11" xfId="20"/>
    <cellStyle name="Normal 2" xfId="21"/>
    <cellStyle name="Normal 2 2" xfId="22"/>
    <cellStyle name="Normal 2_Clark Comparison (2)" xfId="23"/>
    <cellStyle name="Normal 28" xfId="24"/>
    <cellStyle name="Normal 3" xfId="25"/>
    <cellStyle name="Normal 4" xfId="26"/>
    <cellStyle name="Normal 4 2" xfId="27"/>
    <cellStyle name="Normal 4 3" xfId="28"/>
    <cellStyle name="Normal 4 4" xfId="29"/>
    <cellStyle name="Normal 4 5" xfId="30"/>
    <cellStyle name="Normal 4 6" xfId="31"/>
    <cellStyle name="Normal 4 7" xfId="32"/>
    <cellStyle name="Normal 5" xfId="33"/>
    <cellStyle name="Normal 6" xfId="34"/>
    <cellStyle name="Normal 7" xfId="35"/>
    <cellStyle name="Normal 8" xfId="36"/>
    <cellStyle name="Normal 9" xfId="37"/>
    <cellStyle name="OVERWRITE" xfId="38"/>
    <cellStyle name="Percent" xfId="39" builtinId="5"/>
    <cellStyle name="Percent 2" xfId="40"/>
    <cellStyle name="Percent 2 2" xfId="41"/>
    <cellStyle name="Percent 2 3" xfId="54"/>
    <cellStyle name="Percent 3" xfId="42"/>
    <cellStyle name="Percent 4" xfId="43"/>
    <cellStyle name="Percent 4 2" xfId="44"/>
    <cellStyle name="Percent 4 3" xfId="45"/>
    <cellStyle name="Percent 4 4" xfId="46"/>
    <cellStyle name="Percent 4 5" xfId="47"/>
    <cellStyle name="Percent 4 6" xfId="48"/>
    <cellStyle name="Percent 4 7" xfId="49"/>
    <cellStyle name="Percent 5" xfId="5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6</xdr:row>
      <xdr:rowOff>219075</xdr:rowOff>
    </xdr:from>
    <xdr:to>
      <xdr:col>5</xdr:col>
      <xdr:colOff>228598</xdr:colOff>
      <xdr:row>11</xdr:row>
      <xdr:rowOff>152400</xdr:rowOff>
    </xdr:to>
    <xdr:pic>
      <xdr:nvPicPr>
        <xdr:cNvPr id="10238028" name="Picture 1" descr="REF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1343025"/>
          <a:ext cx="15811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etrefm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trefm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etrefm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tref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6"/>
  <sheetViews>
    <sheetView tabSelected="1" zoomScale="170" zoomScaleNormal="170" zoomScalePageLayoutView="90" workbookViewId="0"/>
  </sheetViews>
  <sheetFormatPr defaultColWidth="9.140625" defaultRowHeight="18.75" x14ac:dyDescent="0.3"/>
  <cols>
    <col min="1" max="16384" width="9.140625" style="1"/>
  </cols>
  <sheetData>
    <row r="1" spans="1:8" ht="19.5" thickBot="1" x14ac:dyDescent="0.35"/>
    <row r="2" spans="1:8" ht="6.75" customHeight="1" x14ac:dyDescent="0.3">
      <c r="A2" s="3"/>
      <c r="B2" s="4"/>
      <c r="C2" s="5"/>
      <c r="D2" s="5"/>
      <c r="E2" s="5"/>
      <c r="F2" s="5"/>
      <c r="G2" s="6"/>
      <c r="H2" s="3"/>
    </row>
    <row r="3" spans="1:8" ht="28.5" x14ac:dyDescent="0.45">
      <c r="A3" s="3"/>
      <c r="B3" s="112" t="s">
        <v>9</v>
      </c>
      <c r="C3" s="113"/>
      <c r="D3" s="113"/>
      <c r="E3" s="113"/>
      <c r="F3" s="113"/>
      <c r="G3" s="114"/>
      <c r="H3" s="7"/>
    </row>
    <row r="4" spans="1:8" ht="4.5" customHeight="1" x14ac:dyDescent="0.3">
      <c r="A4" s="3"/>
      <c r="B4" s="8"/>
      <c r="C4" s="3"/>
      <c r="D4" s="3"/>
      <c r="E4" s="3"/>
      <c r="F4" s="3"/>
      <c r="G4" s="9"/>
      <c r="H4" s="3"/>
    </row>
    <row r="5" spans="1:8" ht="21" x14ac:dyDescent="0.35">
      <c r="A5" s="3"/>
      <c r="B5" s="115" t="s">
        <v>121</v>
      </c>
      <c r="C5" s="116"/>
      <c r="D5" s="116"/>
      <c r="E5" s="116"/>
      <c r="F5" s="116"/>
      <c r="G5" s="117"/>
      <c r="H5" s="10"/>
    </row>
    <row r="6" spans="1:8" ht="8.25" customHeight="1" thickBot="1" x14ac:dyDescent="0.35">
      <c r="A6" s="3"/>
      <c r="B6" s="11"/>
      <c r="C6" s="2"/>
      <c r="D6" s="2"/>
      <c r="E6" s="2"/>
      <c r="F6" s="2"/>
      <c r="G6" s="12"/>
      <c r="H6" s="3"/>
    </row>
    <row r="7" spans="1:8" x14ac:dyDescent="0.3">
      <c r="A7" s="3"/>
      <c r="B7" s="3"/>
      <c r="C7" s="3"/>
      <c r="D7" s="3"/>
      <c r="E7" s="3"/>
      <c r="F7" s="3"/>
      <c r="G7" s="3"/>
      <c r="H7" s="3"/>
    </row>
    <row r="8" spans="1:8" x14ac:dyDescent="0.3">
      <c r="C8" s="3"/>
      <c r="D8" s="3"/>
      <c r="E8" s="3"/>
      <c r="F8" s="3"/>
    </row>
    <row r="9" spans="1:8" x14ac:dyDescent="0.3">
      <c r="C9" s="3"/>
      <c r="D9" s="13"/>
      <c r="E9" s="13"/>
      <c r="F9" s="3"/>
    </row>
    <row r="10" spans="1:8" x14ac:dyDescent="0.3">
      <c r="C10" s="3"/>
      <c r="D10" s="13"/>
      <c r="E10" s="13"/>
      <c r="F10" s="3"/>
    </row>
    <row r="11" spans="1:8" ht="21" customHeight="1" x14ac:dyDescent="0.3">
      <c r="C11" s="3"/>
      <c r="D11" s="118"/>
      <c r="E11" s="118"/>
      <c r="F11" s="3"/>
    </row>
    <row r="12" spans="1:8" x14ac:dyDescent="0.3">
      <c r="C12" s="3"/>
      <c r="D12" s="3"/>
      <c r="E12" s="3"/>
      <c r="F12" s="3"/>
    </row>
    <row r="14" spans="1:8" x14ac:dyDescent="0.3">
      <c r="B14" s="119" t="s">
        <v>120</v>
      </c>
      <c r="C14" s="119"/>
      <c r="D14" s="119"/>
      <c r="E14" s="119"/>
      <c r="F14" s="119"/>
      <c r="G14" s="119"/>
    </row>
    <row r="15" spans="1:8" x14ac:dyDescent="0.3">
      <c r="B15" s="119" t="s">
        <v>18</v>
      </c>
      <c r="C15" s="119"/>
      <c r="D15" s="119"/>
      <c r="E15" s="119"/>
      <c r="F15" s="119"/>
      <c r="G15" s="119"/>
    </row>
    <row r="16" spans="1:8" x14ac:dyDescent="0.3">
      <c r="B16" s="110" t="s">
        <v>46</v>
      </c>
      <c r="C16" s="111"/>
      <c r="D16" s="111"/>
      <c r="E16" s="111"/>
      <c r="F16" s="111"/>
      <c r="G16" s="111"/>
    </row>
  </sheetData>
  <mergeCells count="6">
    <mergeCell ref="B16:G16"/>
    <mergeCell ref="B3:G3"/>
    <mergeCell ref="B5:G5"/>
    <mergeCell ref="D11:E11"/>
    <mergeCell ref="B14:G14"/>
    <mergeCell ref="B15:G15"/>
  </mergeCells>
  <hyperlinks>
    <hyperlink ref="B16" r:id="rId1"/>
  </hyperlinks>
  <printOptions horizontalCentered="1" verticalCentered="1"/>
  <pageMargins left="0.7" right="0.7" top="0.75" bottom="0.75" header="0.3" footer="0.3"/>
  <pageSetup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4"/>
  <sheetViews>
    <sheetView zoomScaleNormal="100" zoomScalePageLayoutView="150" workbookViewId="0"/>
  </sheetViews>
  <sheetFormatPr defaultColWidth="9.140625" defaultRowHeight="12.75" x14ac:dyDescent="0.2"/>
  <cols>
    <col min="1" max="1" width="2.85546875" style="97" customWidth="1"/>
    <col min="2" max="2" width="31.28515625" style="97" customWidth="1"/>
    <col min="3" max="3" width="22.5703125" style="97" customWidth="1"/>
    <col min="4" max="4" width="15.28515625" style="108" customWidth="1"/>
    <col min="5" max="5" width="12.28515625" style="108" customWidth="1"/>
    <col min="6" max="6" width="19.28515625" style="97" customWidth="1"/>
    <col min="7" max="7" width="2.7109375" style="97" customWidth="1"/>
    <col min="8" max="8" width="20.85546875" style="97" customWidth="1"/>
    <col min="9" max="16384" width="9.140625" style="97"/>
  </cols>
  <sheetData>
    <row r="1" spans="1:9" x14ac:dyDescent="0.2">
      <c r="A1" s="63"/>
      <c r="B1" s="96"/>
      <c r="C1" s="96"/>
      <c r="D1" s="96"/>
      <c r="E1" s="96"/>
      <c r="F1" s="96"/>
    </row>
    <row r="2" spans="1:9" ht="15.75" x14ac:dyDescent="0.25">
      <c r="A2" s="63"/>
      <c r="B2" s="120" t="s">
        <v>43</v>
      </c>
      <c r="C2" s="120"/>
      <c r="D2" s="120"/>
      <c r="E2" s="120"/>
      <c r="F2" s="120"/>
      <c r="H2" s="109" t="s">
        <v>57</v>
      </c>
    </row>
    <row r="3" spans="1:9" ht="7.5" customHeight="1" x14ac:dyDescent="0.25">
      <c r="B3" s="98"/>
      <c r="C3" s="98"/>
      <c r="D3" s="17"/>
      <c r="E3" s="99"/>
      <c r="F3" s="99"/>
    </row>
    <row r="4" spans="1:9" ht="15.75" x14ac:dyDescent="0.25">
      <c r="B4" s="100">
        <f ca="1">TODAY()</f>
        <v>40974</v>
      </c>
      <c r="C4" s="121" t="s">
        <v>42</v>
      </c>
      <c r="D4" s="121"/>
      <c r="E4" s="121"/>
      <c r="F4" s="121"/>
      <c r="G4" s="101"/>
      <c r="H4" s="101"/>
    </row>
    <row r="5" spans="1:9" ht="15.75" x14ac:dyDescent="0.25">
      <c r="B5" s="89" t="s">
        <v>59</v>
      </c>
      <c r="C5" s="15"/>
      <c r="D5" s="16" t="s">
        <v>60</v>
      </c>
      <c r="E5" s="17"/>
      <c r="G5" s="102"/>
      <c r="H5" s="102"/>
    </row>
    <row r="6" spans="1:9" ht="15.75" x14ac:dyDescent="0.25">
      <c r="B6" s="89"/>
      <c r="C6" s="15"/>
      <c r="D6" s="16"/>
      <c r="E6" s="17"/>
      <c r="F6" s="17"/>
      <c r="G6" s="102"/>
      <c r="H6" s="102"/>
    </row>
    <row r="7" spans="1:9" ht="15.75" x14ac:dyDescent="0.25">
      <c r="B7" s="89"/>
      <c r="C7" s="15"/>
      <c r="D7" s="16"/>
      <c r="E7" s="17"/>
      <c r="F7" s="131" t="s">
        <v>0</v>
      </c>
      <c r="G7" s="102"/>
      <c r="H7" s="102"/>
    </row>
    <row r="8" spans="1:9" ht="15.75" x14ac:dyDescent="0.25">
      <c r="B8" s="14" t="s">
        <v>61</v>
      </c>
      <c r="C8" s="15"/>
      <c r="D8" s="16"/>
      <c r="E8" s="17"/>
      <c r="F8" s="17"/>
      <c r="G8" s="102"/>
      <c r="H8" s="102"/>
    </row>
    <row r="9" spans="1:9" ht="15.75" x14ac:dyDescent="0.25">
      <c r="B9" s="18" t="s">
        <v>3</v>
      </c>
      <c r="C9" s="19"/>
      <c r="D9" s="20"/>
      <c r="E9" s="20"/>
      <c r="F9" s="21">
        <v>25000</v>
      </c>
      <c r="G9" s="101"/>
      <c r="H9" s="101"/>
    </row>
    <row r="10" spans="1:9" ht="15.75" x14ac:dyDescent="0.25">
      <c r="B10" s="22" t="s">
        <v>7</v>
      </c>
      <c r="C10" s="23"/>
      <c r="D10" s="24">
        <v>8</v>
      </c>
      <c r="E10" s="24"/>
      <c r="F10" s="25">
        <f>F9*D10</f>
        <v>200000</v>
      </c>
      <c r="G10" s="101"/>
      <c r="H10" s="101"/>
    </row>
    <row r="11" spans="1:9" ht="15.75" x14ac:dyDescent="0.25">
      <c r="B11" s="22" t="s">
        <v>4</v>
      </c>
      <c r="C11" s="23"/>
      <c r="D11" s="17"/>
      <c r="E11" s="17"/>
      <c r="F11" s="26">
        <v>12000</v>
      </c>
      <c r="G11" s="101"/>
      <c r="H11" s="101"/>
      <c r="I11" s="103"/>
    </row>
    <row r="12" spans="1:9" ht="15.75" x14ac:dyDescent="0.25">
      <c r="B12" s="22" t="s">
        <v>6</v>
      </c>
      <c r="C12" s="23"/>
      <c r="D12" s="17"/>
      <c r="E12" s="17"/>
      <c r="F12" s="27">
        <f>F10-F11</f>
        <v>188000</v>
      </c>
      <c r="G12" s="101"/>
      <c r="H12" s="101"/>
      <c r="I12" s="103"/>
    </row>
    <row r="13" spans="1:9" ht="15.75" x14ac:dyDescent="0.25">
      <c r="B13" s="22" t="s">
        <v>5</v>
      </c>
      <c r="C13" s="23"/>
      <c r="D13" s="28">
        <v>0.91</v>
      </c>
      <c r="E13" s="29" t="s">
        <v>37</v>
      </c>
      <c r="F13" s="30">
        <f>F12*D13</f>
        <v>171080</v>
      </c>
      <c r="G13" s="101"/>
      <c r="H13" s="101"/>
      <c r="I13" s="103"/>
    </row>
    <row r="14" spans="1:9" ht="15.75" x14ac:dyDescent="0.25">
      <c r="B14" s="31" t="s">
        <v>20</v>
      </c>
      <c r="C14" s="32"/>
      <c r="D14" s="33">
        <v>1.2</v>
      </c>
      <c r="E14" s="34"/>
      <c r="F14" s="35">
        <f>F13/1000*D14</f>
        <v>205.29600000000002</v>
      </c>
      <c r="G14" s="101"/>
      <c r="H14" s="101"/>
      <c r="I14" s="103"/>
    </row>
    <row r="15" spans="1:9" ht="15.75" x14ac:dyDescent="0.25">
      <c r="B15" s="23"/>
      <c r="C15" s="23"/>
      <c r="D15" s="36"/>
      <c r="E15" s="36"/>
      <c r="F15" s="23"/>
      <c r="G15" s="101"/>
      <c r="H15" s="101"/>
      <c r="I15" s="103"/>
    </row>
    <row r="16" spans="1:9" ht="15.75" x14ac:dyDescent="0.25">
      <c r="B16" s="130" t="s">
        <v>66</v>
      </c>
      <c r="C16" s="23"/>
      <c r="D16" s="36"/>
      <c r="E16" s="36"/>
      <c r="F16" s="23"/>
      <c r="G16" s="101"/>
      <c r="H16" s="101"/>
      <c r="I16" s="103"/>
    </row>
    <row r="17" spans="2:9" ht="15.75" x14ac:dyDescent="0.25">
      <c r="B17" s="18" t="s">
        <v>24</v>
      </c>
      <c r="C17" s="19"/>
      <c r="D17" s="37"/>
      <c r="E17" s="37"/>
      <c r="F17" s="38">
        <v>65</v>
      </c>
      <c r="G17" s="101"/>
      <c r="H17" s="101"/>
      <c r="I17" s="103"/>
    </row>
    <row r="18" spans="2:9" ht="15.75" x14ac:dyDescent="0.25">
      <c r="B18" s="22" t="s">
        <v>25</v>
      </c>
      <c r="C18" s="23"/>
      <c r="D18" s="36"/>
      <c r="E18" s="36"/>
      <c r="F18" s="39">
        <v>200</v>
      </c>
      <c r="G18" s="101"/>
      <c r="H18" s="101"/>
      <c r="I18" s="103"/>
    </row>
    <row r="19" spans="2:9" ht="15.75" x14ac:dyDescent="0.25">
      <c r="B19" s="22"/>
      <c r="C19" s="23"/>
      <c r="D19" s="36"/>
      <c r="E19" s="36"/>
      <c r="F19" s="40"/>
      <c r="G19" s="101"/>
      <c r="H19" s="101"/>
      <c r="I19" s="103"/>
    </row>
    <row r="20" spans="2:9" ht="15.75" x14ac:dyDescent="0.25">
      <c r="B20" s="41" t="s">
        <v>33</v>
      </c>
      <c r="C20" s="23"/>
      <c r="D20" s="36"/>
      <c r="E20" s="36"/>
      <c r="F20" s="42">
        <f>(F17*F13)</f>
        <v>11120200</v>
      </c>
      <c r="G20" s="101"/>
      <c r="H20" s="101"/>
      <c r="I20" s="103"/>
    </row>
    <row r="21" spans="2:9" ht="15.75" x14ac:dyDescent="0.25">
      <c r="B21" s="41" t="s">
        <v>34</v>
      </c>
      <c r="C21" s="23"/>
      <c r="D21" s="36"/>
      <c r="E21" s="36"/>
      <c r="F21" s="42">
        <f>F18*F14*12</f>
        <v>492710.40000000002</v>
      </c>
      <c r="G21" s="101"/>
      <c r="H21" s="101"/>
      <c r="I21" s="103"/>
    </row>
    <row r="22" spans="2:9" ht="15.75" x14ac:dyDescent="0.25">
      <c r="B22" s="22" t="s">
        <v>47</v>
      </c>
      <c r="C22" s="23"/>
      <c r="D22" s="43">
        <v>0.05</v>
      </c>
      <c r="E22" s="43"/>
      <c r="F22" s="44">
        <f>-D22*SUM(F20:F21)</f>
        <v>-580645.52</v>
      </c>
      <c r="G22" s="101"/>
      <c r="H22" s="101"/>
      <c r="I22" s="103"/>
    </row>
    <row r="23" spans="2:9" ht="15.75" x14ac:dyDescent="0.25">
      <c r="B23" s="22" t="s">
        <v>48</v>
      </c>
      <c r="C23" s="23"/>
      <c r="D23" s="36"/>
      <c r="E23" s="36"/>
      <c r="F23" s="42">
        <f>SUM(F20:F22)</f>
        <v>11032264.880000001</v>
      </c>
      <c r="G23" s="101"/>
      <c r="H23" s="101"/>
      <c r="I23" s="103"/>
    </row>
    <row r="24" spans="2:9" ht="15.75" x14ac:dyDescent="0.25">
      <c r="B24" s="22"/>
      <c r="C24" s="23"/>
      <c r="D24" s="36" t="s">
        <v>2</v>
      </c>
      <c r="E24" s="36"/>
      <c r="F24" s="45"/>
      <c r="G24" s="101"/>
      <c r="H24" s="101"/>
      <c r="I24" s="103"/>
    </row>
    <row r="25" spans="2:9" ht="15.75" x14ac:dyDescent="0.25">
      <c r="B25" s="22" t="s">
        <v>26</v>
      </c>
      <c r="C25" s="23"/>
      <c r="D25" s="46">
        <v>17</v>
      </c>
      <c r="E25" s="23"/>
      <c r="F25" s="47">
        <f>-D25*F13</f>
        <v>-2908360</v>
      </c>
      <c r="G25" s="101"/>
      <c r="H25" s="101"/>
      <c r="I25" s="103"/>
    </row>
    <row r="26" spans="2:9" ht="15.75" x14ac:dyDescent="0.25">
      <c r="B26" s="22" t="s">
        <v>27</v>
      </c>
      <c r="C26" s="23"/>
      <c r="D26" s="48">
        <v>15</v>
      </c>
      <c r="E26" s="23"/>
      <c r="F26" s="44">
        <f>-D26*F13</f>
        <v>-2566200</v>
      </c>
      <c r="G26" s="101"/>
      <c r="H26" s="101"/>
      <c r="I26" s="103"/>
    </row>
    <row r="27" spans="2:9" ht="15.75" x14ac:dyDescent="0.25">
      <c r="B27" s="22" t="s">
        <v>36</v>
      </c>
      <c r="C27" s="23"/>
      <c r="D27" s="49">
        <f>SUM(D25:D26)</f>
        <v>32</v>
      </c>
      <c r="E27" s="23"/>
      <c r="F27" s="47">
        <f>SUM(F25:F26)</f>
        <v>-5474560</v>
      </c>
      <c r="G27" s="101"/>
      <c r="H27" s="101"/>
      <c r="I27" s="103"/>
    </row>
    <row r="28" spans="2:9" ht="15.75" x14ac:dyDescent="0.25">
      <c r="B28" s="22"/>
      <c r="C28" s="23"/>
      <c r="D28" s="50"/>
      <c r="E28" s="50"/>
      <c r="F28" s="47"/>
      <c r="G28" s="101"/>
      <c r="H28" s="101"/>
      <c r="I28" s="103"/>
    </row>
    <row r="29" spans="2:9" ht="15.75" x14ac:dyDescent="0.25">
      <c r="B29" s="22" t="s">
        <v>28</v>
      </c>
      <c r="C29" s="23"/>
      <c r="D29" s="51">
        <v>35</v>
      </c>
      <c r="E29" s="23"/>
      <c r="F29" s="52">
        <f>D29*F11</f>
        <v>420000</v>
      </c>
      <c r="G29" s="101"/>
      <c r="H29" s="101"/>
      <c r="I29" s="103"/>
    </row>
    <row r="30" spans="2:9" ht="15.75" x14ac:dyDescent="0.25">
      <c r="B30" s="22"/>
      <c r="C30" s="23"/>
      <c r="D30" s="36"/>
      <c r="E30" s="36"/>
      <c r="F30" s="52"/>
      <c r="G30" s="101"/>
      <c r="H30" s="101"/>
      <c r="I30" s="103"/>
    </row>
    <row r="31" spans="2:9" ht="15.75" x14ac:dyDescent="0.25">
      <c r="B31" s="53" t="s">
        <v>49</v>
      </c>
      <c r="C31" s="54"/>
      <c r="D31" s="55"/>
      <c r="E31" s="55"/>
      <c r="F31" s="56">
        <f>F23+F27+F29</f>
        <v>5977704.8800000008</v>
      </c>
      <c r="G31" s="101"/>
      <c r="H31" s="101"/>
      <c r="I31" s="103"/>
    </row>
    <row r="32" spans="2:9" ht="15.75" x14ac:dyDescent="0.25">
      <c r="B32" s="23"/>
      <c r="C32" s="23"/>
      <c r="D32" s="36"/>
      <c r="E32" s="36"/>
      <c r="F32" s="23"/>
      <c r="G32" s="101"/>
      <c r="H32" s="101"/>
      <c r="I32" s="103"/>
    </row>
    <row r="33" spans="2:9" ht="15.75" x14ac:dyDescent="0.25">
      <c r="B33" s="130" t="s">
        <v>64</v>
      </c>
      <c r="C33" s="23"/>
      <c r="D33" s="36"/>
      <c r="E33" s="36"/>
      <c r="F33" s="23"/>
      <c r="G33" s="101"/>
      <c r="H33" s="101"/>
      <c r="I33" s="103"/>
    </row>
    <row r="34" spans="2:9" ht="15.75" x14ac:dyDescent="0.25">
      <c r="B34" s="18" t="s">
        <v>30</v>
      </c>
      <c r="C34" s="19"/>
      <c r="D34" s="57"/>
      <c r="E34" s="57"/>
      <c r="F34" s="58">
        <v>18</v>
      </c>
      <c r="G34" s="101"/>
      <c r="H34" s="101"/>
    </row>
    <row r="35" spans="2:9" ht="15.75" x14ac:dyDescent="0.25">
      <c r="B35" s="22" t="s">
        <v>10</v>
      </c>
      <c r="C35" s="23"/>
      <c r="D35" s="36"/>
      <c r="E35" s="36"/>
      <c r="F35" s="59">
        <v>24</v>
      </c>
      <c r="G35" s="101"/>
      <c r="H35" s="101"/>
    </row>
    <row r="36" spans="2:9" ht="15.75" x14ac:dyDescent="0.25">
      <c r="B36" s="22" t="s">
        <v>31</v>
      </c>
      <c r="C36" s="23"/>
      <c r="D36" s="60"/>
      <c r="E36" s="36"/>
      <c r="F36" s="61">
        <v>21</v>
      </c>
      <c r="G36" s="101"/>
      <c r="H36" s="101"/>
    </row>
    <row r="37" spans="2:9" ht="15.75" x14ac:dyDescent="0.25">
      <c r="B37" s="22" t="s">
        <v>32</v>
      </c>
      <c r="C37" s="23"/>
      <c r="D37" s="36"/>
      <c r="E37" s="36"/>
      <c r="F37" s="62">
        <f>SUM(F34:F36)</f>
        <v>63</v>
      </c>
      <c r="G37" s="101"/>
      <c r="H37" s="101"/>
    </row>
    <row r="38" spans="2:9" ht="15.75" x14ac:dyDescent="0.25">
      <c r="B38" s="22"/>
      <c r="C38" s="23"/>
      <c r="D38" s="23"/>
      <c r="E38" s="23"/>
      <c r="F38" s="65"/>
      <c r="G38" s="101"/>
      <c r="H38" s="101"/>
    </row>
    <row r="39" spans="2:9" ht="15.75" x14ac:dyDescent="0.25">
      <c r="B39" s="22"/>
      <c r="C39" s="23"/>
      <c r="D39" s="23"/>
      <c r="E39" s="64" t="s">
        <v>11</v>
      </c>
      <c r="F39" s="65"/>
      <c r="G39" s="101"/>
    </row>
    <row r="40" spans="2:9" ht="15.75" x14ac:dyDescent="0.25">
      <c r="B40" s="22" t="s">
        <v>53</v>
      </c>
      <c r="C40" s="23"/>
      <c r="D40" s="46">
        <v>225</v>
      </c>
      <c r="E40" s="66">
        <f>F40/$F$47</f>
        <v>0.45736432026455837</v>
      </c>
      <c r="F40" s="52">
        <f>D40*F10</f>
        <v>45000000</v>
      </c>
      <c r="G40" s="101"/>
    </row>
    <row r="41" spans="2:9" ht="15.75" x14ac:dyDescent="0.25">
      <c r="B41" s="22" t="s">
        <v>62</v>
      </c>
      <c r="C41" s="23"/>
      <c r="D41" s="46">
        <v>50</v>
      </c>
      <c r="E41" s="66">
        <f>F41/$F$47</f>
        <v>8.6939875456511828E-2</v>
      </c>
      <c r="F41" s="52">
        <f>D41*F13</f>
        <v>8554000</v>
      </c>
      <c r="G41" s="101"/>
    </row>
    <row r="42" spans="2:9" ht="15.75" x14ac:dyDescent="0.25">
      <c r="B42" s="22" t="s">
        <v>63</v>
      </c>
      <c r="C42" s="23"/>
      <c r="D42" s="46">
        <v>25</v>
      </c>
      <c r="E42" s="66">
        <f>F42/$F$47</f>
        <v>3.049095468430389E-3</v>
      </c>
      <c r="F42" s="52">
        <f>D42*F11</f>
        <v>300000</v>
      </c>
      <c r="G42" s="101"/>
    </row>
    <row r="43" spans="2:9" ht="15.75" x14ac:dyDescent="0.25">
      <c r="B43" s="22" t="s">
        <v>23</v>
      </c>
      <c r="C43" s="23"/>
      <c r="D43" s="43">
        <v>0.35</v>
      </c>
      <c r="E43" s="66">
        <f>F43/$F$47</f>
        <v>0.19157365191632522</v>
      </c>
      <c r="F43" s="52">
        <f>D43*(F40+F41+F42)</f>
        <v>18848900</v>
      </c>
      <c r="G43" s="101"/>
    </row>
    <row r="44" spans="2:9" ht="15.75" x14ac:dyDescent="0.25">
      <c r="B44" s="22" t="s">
        <v>40</v>
      </c>
      <c r="C44" s="23"/>
      <c r="D44" s="43">
        <v>0.65</v>
      </c>
      <c r="E44" s="67"/>
      <c r="F44" s="52"/>
      <c r="G44" s="101"/>
    </row>
    <row r="45" spans="2:9" ht="15.75" x14ac:dyDescent="0.25">
      <c r="B45" s="22" t="s">
        <v>12</v>
      </c>
      <c r="C45" s="23"/>
      <c r="D45" s="43">
        <v>0.06</v>
      </c>
      <c r="E45" s="66">
        <f>F45/$F$47</f>
        <v>0.12386376081480671</v>
      </c>
      <c r="F45" s="52">
        <f>D45*(1+(SUM(F34:F36)/12/2))*D44*SUM(F40:F43,F46)</f>
        <v>12186934.987500001</v>
      </c>
      <c r="G45" s="101"/>
      <c r="H45" s="128" t="s">
        <v>55</v>
      </c>
    </row>
    <row r="46" spans="2:9" ht="15.75" x14ac:dyDescent="0.25">
      <c r="B46" s="22" t="s">
        <v>13</v>
      </c>
      <c r="C46" s="23"/>
      <c r="D46" s="68">
        <f>F46/F10</f>
        <v>67.5</v>
      </c>
      <c r="E46" s="69">
        <f>F46/$F$47</f>
        <v>0.13720929607936752</v>
      </c>
      <c r="F46" s="129">
        <v>13500000</v>
      </c>
      <c r="G46" s="101"/>
      <c r="H46" s="128" t="s">
        <v>65</v>
      </c>
    </row>
    <row r="47" spans="2:9" ht="15.75" x14ac:dyDescent="0.25">
      <c r="B47" s="70" t="s">
        <v>41</v>
      </c>
      <c r="C47" s="71"/>
      <c r="D47" s="72"/>
      <c r="E47" s="66">
        <f>SUM(E40:E46)</f>
        <v>0.99999999999999989</v>
      </c>
      <c r="F47" s="73">
        <f>SUM(F40:F46)</f>
        <v>98389834.987499997</v>
      </c>
      <c r="G47" s="101"/>
      <c r="H47" s="95"/>
    </row>
    <row r="48" spans="2:9" ht="15.75" x14ac:dyDescent="0.25">
      <c r="B48" s="74" t="s">
        <v>8</v>
      </c>
      <c r="C48" s="75"/>
      <c r="D48" s="76"/>
      <c r="E48" s="32"/>
      <c r="F48" s="77">
        <f>F47/F10</f>
        <v>491.9491749375</v>
      </c>
      <c r="G48" s="101"/>
      <c r="H48" s="104"/>
    </row>
    <row r="49" spans="2:16" ht="15.75" x14ac:dyDescent="0.25">
      <c r="B49" s="23"/>
      <c r="C49" s="23"/>
      <c r="D49" s="36"/>
      <c r="E49" s="36"/>
      <c r="F49" s="23"/>
      <c r="G49" s="101"/>
      <c r="H49" s="95"/>
    </row>
    <row r="50" spans="2:16" ht="15.75" x14ac:dyDescent="0.25">
      <c r="B50" s="78" t="s">
        <v>50</v>
      </c>
      <c r="C50" s="78"/>
      <c r="D50" s="79"/>
      <c r="E50" s="79"/>
      <c r="F50" s="80">
        <f>F31/F47</f>
        <v>6.0755309537407418E-2</v>
      </c>
      <c r="G50" s="101"/>
      <c r="H50" s="95"/>
    </row>
    <row r="51" spans="2:16" ht="15.75" x14ac:dyDescent="0.25">
      <c r="B51" s="23"/>
      <c r="C51" s="23"/>
      <c r="D51" s="23"/>
      <c r="E51" s="23"/>
      <c r="F51" s="23"/>
      <c r="G51" s="101"/>
      <c r="H51" s="95"/>
    </row>
    <row r="52" spans="2:16" ht="15.75" x14ac:dyDescent="0.25">
      <c r="B52" s="130" t="s">
        <v>67</v>
      </c>
      <c r="C52" s="23"/>
      <c r="D52" s="23"/>
      <c r="E52" s="23"/>
      <c r="F52" s="23"/>
      <c r="G52" s="101"/>
      <c r="H52" s="95"/>
    </row>
    <row r="53" spans="2:16" ht="15.75" x14ac:dyDescent="0.25">
      <c r="B53" s="18" t="s">
        <v>22</v>
      </c>
      <c r="C53" s="19"/>
      <c r="D53" s="132">
        <f>F53/F47</f>
        <v>0.65</v>
      </c>
      <c r="E53" s="133"/>
      <c r="F53" s="134">
        <f>D44*F47</f>
        <v>63953392.741875</v>
      </c>
      <c r="G53" s="101"/>
      <c r="H53" s="105"/>
    </row>
    <row r="54" spans="2:16" ht="15.75" x14ac:dyDescent="0.25">
      <c r="B54" s="22" t="s">
        <v>21</v>
      </c>
      <c r="C54" s="23"/>
      <c r="D54" s="43">
        <v>0.2</v>
      </c>
      <c r="E54" s="36"/>
      <c r="F54" s="52">
        <f>D54*F47</f>
        <v>19677966.997499999</v>
      </c>
      <c r="G54" s="101"/>
      <c r="H54" s="105"/>
    </row>
    <row r="55" spans="2:16" ht="15.75" x14ac:dyDescent="0.25">
      <c r="B55" s="22" t="s">
        <v>14</v>
      </c>
      <c r="C55" s="23"/>
      <c r="D55" s="81">
        <f>F55/F47</f>
        <v>0.15</v>
      </c>
      <c r="E55" s="23"/>
      <c r="F55" s="135">
        <f>F47-F53-F54</f>
        <v>14758475.248124998</v>
      </c>
      <c r="G55" s="101"/>
      <c r="H55" s="95"/>
    </row>
    <row r="56" spans="2:16" ht="15.75" x14ac:dyDescent="0.25">
      <c r="B56" s="31"/>
      <c r="C56" s="32"/>
      <c r="D56" s="136"/>
      <c r="E56" s="136"/>
      <c r="F56" s="56">
        <f>SUM(F53:F55)</f>
        <v>98389834.987499997</v>
      </c>
      <c r="G56" s="101"/>
      <c r="H56" s="95"/>
    </row>
    <row r="57" spans="2:16" ht="15.75" x14ac:dyDescent="0.25">
      <c r="B57" s="23"/>
      <c r="C57" s="23"/>
      <c r="D57" s="36"/>
      <c r="E57" s="36"/>
      <c r="F57" s="83"/>
      <c r="G57" s="101"/>
      <c r="H57" s="95"/>
    </row>
    <row r="58" spans="2:16" ht="15.75" x14ac:dyDescent="0.25">
      <c r="B58" s="23" t="s">
        <v>15</v>
      </c>
      <c r="C58" s="23"/>
      <c r="D58" s="43">
        <v>0.03</v>
      </c>
      <c r="E58" s="43"/>
      <c r="F58" s="82"/>
      <c r="G58" s="101"/>
      <c r="H58" s="95"/>
    </row>
    <row r="59" spans="2:16" ht="15.75" x14ac:dyDescent="0.25">
      <c r="B59" s="23" t="s">
        <v>45</v>
      </c>
      <c r="C59" s="23"/>
      <c r="D59" s="43">
        <v>0.03</v>
      </c>
      <c r="E59" s="43"/>
      <c r="F59" s="82"/>
      <c r="G59" s="101"/>
      <c r="H59" s="95"/>
    </row>
    <row r="60" spans="2:16" ht="15.75" x14ac:dyDescent="0.25">
      <c r="B60" s="23" t="s">
        <v>16</v>
      </c>
      <c r="C60" s="23"/>
      <c r="D60" s="84">
        <f>ROUNDUP(F37/12,0)</f>
        <v>6</v>
      </c>
      <c r="E60" s="85"/>
      <c r="F60" s="82"/>
      <c r="G60" s="101"/>
      <c r="H60" s="95"/>
    </row>
    <row r="61" spans="2:16" ht="8.25" customHeight="1" x14ac:dyDescent="0.25">
      <c r="B61" s="23"/>
      <c r="C61" s="23"/>
      <c r="D61" s="36"/>
      <c r="E61" s="36"/>
      <c r="F61" s="82"/>
      <c r="G61" s="101"/>
      <c r="H61" s="95"/>
      <c r="N61" s="106"/>
      <c r="O61" s="106"/>
      <c r="P61" s="107"/>
    </row>
    <row r="62" spans="2:16" ht="15.75" x14ac:dyDescent="0.25">
      <c r="B62" s="23" t="s">
        <v>58</v>
      </c>
      <c r="C62" s="23"/>
      <c r="D62" s="86">
        <v>0.3</v>
      </c>
      <c r="E62" s="36"/>
      <c r="F62" s="23"/>
      <c r="G62" s="101"/>
      <c r="H62" s="95"/>
      <c r="I62" s="106"/>
      <c r="J62" s="107"/>
    </row>
    <row r="63" spans="2:16" ht="11.25" customHeight="1" x14ac:dyDescent="0.25">
      <c r="B63" s="23"/>
      <c r="C63" s="23"/>
      <c r="D63" s="23"/>
      <c r="E63" s="23"/>
      <c r="F63" s="23"/>
      <c r="G63" s="101"/>
      <c r="H63" s="95"/>
    </row>
    <row r="64" spans="2:16" ht="15.75" x14ac:dyDescent="0.25">
      <c r="B64" s="123" t="s">
        <v>51</v>
      </c>
      <c r="C64" s="124"/>
      <c r="D64" s="125"/>
      <c r="E64" s="125"/>
      <c r="F64" s="126">
        <f>F23*(1+D58)^(ROUNDDOWN(D60,0)+1)+(F27-(D62*F13))*(1+D59)^(ROUNDDOWN(D60,0)+1)+F29*(1+D58)^(ROUNDDOWN(D60,0)+1)</f>
        <v>7288700.9608656447</v>
      </c>
      <c r="G64" s="101"/>
      <c r="H64" s="128" t="s">
        <v>56</v>
      </c>
    </row>
    <row r="65" spans="2:8" ht="15.75" x14ac:dyDescent="0.25">
      <c r="B65" s="123" t="s">
        <v>52</v>
      </c>
      <c r="C65" s="124"/>
      <c r="D65" s="125"/>
      <c r="E65" s="125"/>
      <c r="F65" s="127">
        <f>F64/F47</f>
        <v>7.4079816901732209E-2</v>
      </c>
      <c r="G65" s="101"/>
      <c r="H65" s="101"/>
    </row>
    <row r="66" spans="2:8" ht="8.25" customHeight="1" x14ac:dyDescent="0.25">
      <c r="B66" s="71"/>
      <c r="C66" s="23"/>
      <c r="D66" s="36"/>
      <c r="E66" s="36"/>
      <c r="F66" s="83"/>
      <c r="G66" s="101"/>
      <c r="H66" s="101"/>
    </row>
    <row r="67" spans="2:8" ht="15.75" x14ac:dyDescent="0.25">
      <c r="B67" s="23" t="s">
        <v>29</v>
      </c>
      <c r="C67" s="23"/>
      <c r="D67" s="36"/>
      <c r="E67" s="36"/>
      <c r="F67" s="43">
        <v>0.06</v>
      </c>
      <c r="G67" s="101"/>
      <c r="H67" s="101"/>
    </row>
    <row r="68" spans="2:8" ht="15.75" x14ac:dyDescent="0.25">
      <c r="B68" s="23" t="s">
        <v>17</v>
      </c>
      <c r="C68" s="23"/>
      <c r="D68" s="36"/>
      <c r="E68" s="36"/>
      <c r="F68" s="88">
        <f>F64/F67</f>
        <v>121478349.34776075</v>
      </c>
      <c r="G68" s="101"/>
      <c r="H68" s="101"/>
    </row>
    <row r="69" spans="2:8" ht="15.75" x14ac:dyDescent="0.25">
      <c r="B69" s="89" t="s">
        <v>1</v>
      </c>
      <c r="C69" s="89"/>
      <c r="D69" s="90">
        <v>0.04</v>
      </c>
      <c r="E69" s="17"/>
      <c r="F69" s="91">
        <f>D69*-F68</f>
        <v>-4859133.9739104304</v>
      </c>
      <c r="G69" s="101"/>
      <c r="H69" s="101"/>
    </row>
    <row r="70" spans="2:8" ht="15.75" x14ac:dyDescent="0.25">
      <c r="B70" s="14" t="s">
        <v>19</v>
      </c>
      <c r="C70" s="14"/>
      <c r="D70" s="92"/>
      <c r="E70" s="92"/>
      <c r="F70" s="93">
        <f>F68+F69</f>
        <v>116619215.37385032</v>
      </c>
      <c r="G70" s="101"/>
      <c r="H70" s="101"/>
    </row>
    <row r="71" spans="2:8" ht="15.75" x14ac:dyDescent="0.25">
      <c r="B71" s="14" t="s">
        <v>38</v>
      </c>
      <c r="C71" s="89"/>
      <c r="D71" s="17"/>
      <c r="E71" s="17"/>
      <c r="F71" s="93">
        <f>F70-F47</f>
        <v>18229380.386350319</v>
      </c>
      <c r="G71" s="101"/>
      <c r="H71" s="101"/>
    </row>
    <row r="72" spans="2:8" ht="15.75" x14ac:dyDescent="0.25">
      <c r="B72" s="71" t="s">
        <v>39</v>
      </c>
      <c r="C72" s="23"/>
      <c r="D72" s="36"/>
      <c r="E72" s="36"/>
      <c r="F72" s="87">
        <f>F71/F47</f>
        <v>0.18527707042771524</v>
      </c>
      <c r="G72" s="101"/>
      <c r="H72" s="101"/>
    </row>
    <row r="73" spans="2:8" ht="15.75" x14ac:dyDescent="0.25">
      <c r="B73" s="14" t="s">
        <v>54</v>
      </c>
      <c r="C73" s="23"/>
      <c r="D73" s="36"/>
      <c r="E73" s="36"/>
      <c r="F73" s="94">
        <f>F71/F55+1</f>
        <v>2.2351804695181015</v>
      </c>
    </row>
    <row r="74" spans="2:8" ht="21" customHeight="1" x14ac:dyDescent="0.25">
      <c r="B74" s="122" t="s">
        <v>44</v>
      </c>
      <c r="C74" s="122"/>
      <c r="D74" s="122"/>
      <c r="E74" s="122"/>
      <c r="F74" s="122"/>
    </row>
  </sheetData>
  <mergeCells count="3">
    <mergeCell ref="B2:F2"/>
    <mergeCell ref="C4:F4"/>
    <mergeCell ref="B74:F74"/>
  </mergeCells>
  <hyperlinks>
    <hyperlink ref="B74" r:id="rId1" display="www.GetREFM.com"/>
  </hyperlinks>
  <printOptions horizontalCentered="1" verticalCentered="1"/>
  <pageMargins left="0.65" right="0.5" top="0.24" bottom="0.2" header="0.22" footer="0.17"/>
  <pageSetup scale="68" orientation="portrait" verticalDpi="1200" r:id="rId2"/>
  <ignoredErrors>
    <ignoredError sqref="F4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zoomScaleNormal="100" workbookViewId="0"/>
  </sheetViews>
  <sheetFormatPr defaultColWidth="9.140625" defaultRowHeight="12.75" x14ac:dyDescent="0.2"/>
  <cols>
    <col min="1" max="1" width="4.85546875" style="141" customWidth="1"/>
    <col min="2" max="2" width="45.140625" style="141" customWidth="1"/>
    <col min="3" max="3" width="17.140625" style="145" customWidth="1"/>
    <col min="4" max="4" width="16.28515625" style="145" customWidth="1"/>
    <col min="5" max="5" width="15.28515625" style="145" customWidth="1"/>
    <col min="6" max="6" width="16.42578125" style="145" customWidth="1"/>
    <col min="7" max="7" width="3.5703125" style="145" customWidth="1"/>
    <col min="8" max="8" width="31.85546875" style="141" customWidth="1"/>
    <col min="9" max="9" width="9.140625" style="141"/>
    <col min="10" max="10" width="2.85546875" style="141" customWidth="1"/>
    <col min="11" max="11" width="14.140625" style="141" customWidth="1"/>
    <col min="12" max="16384" width="9.140625" style="141"/>
  </cols>
  <sheetData>
    <row r="1" spans="1:8" x14ac:dyDescent="0.2">
      <c r="A1" s="139"/>
      <c r="B1" s="140"/>
      <c r="C1" s="140"/>
      <c r="D1" s="140"/>
      <c r="E1" s="140"/>
      <c r="F1" s="140"/>
      <c r="G1" s="140"/>
    </row>
    <row r="2" spans="1:8" ht="15.75" x14ac:dyDescent="0.25">
      <c r="B2" s="142" t="s">
        <v>68</v>
      </c>
      <c r="C2" s="142"/>
      <c r="D2" s="142"/>
      <c r="E2" s="142"/>
      <c r="F2" s="142"/>
      <c r="G2" s="143"/>
      <c r="H2" s="320" t="s">
        <v>57</v>
      </c>
    </row>
    <row r="3" spans="1:8" ht="3" customHeight="1" x14ac:dyDescent="0.2"/>
    <row r="4" spans="1:8" ht="15.75" x14ac:dyDescent="0.25">
      <c r="B4" s="146">
        <f ca="1">TODAY()</f>
        <v>40974</v>
      </c>
      <c r="C4" s="147" t="s">
        <v>42</v>
      </c>
      <c r="D4" s="147"/>
      <c r="E4" s="147"/>
      <c r="F4" s="147"/>
    </row>
    <row r="5" spans="1:8" ht="8.25" customHeight="1" x14ac:dyDescent="0.25">
      <c r="B5" s="148"/>
      <c r="C5" s="149"/>
      <c r="D5" s="149"/>
      <c r="E5" s="149"/>
      <c r="F5" s="149"/>
    </row>
    <row r="6" spans="1:8" s="150" customFormat="1" ht="18" customHeight="1" x14ac:dyDescent="0.2">
      <c r="B6" s="151" t="s">
        <v>69</v>
      </c>
      <c r="C6" s="152" t="s">
        <v>70</v>
      </c>
      <c r="D6" s="152"/>
      <c r="E6" s="152"/>
      <c r="F6" s="152"/>
      <c r="G6" s="153"/>
    </row>
    <row r="7" spans="1:8" s="150" customFormat="1" ht="18" customHeight="1" x14ac:dyDescent="0.2">
      <c r="B7" s="151"/>
      <c r="C7" s="154"/>
      <c r="D7" s="154"/>
      <c r="E7" s="154"/>
      <c r="F7" s="154"/>
      <c r="G7" s="153"/>
    </row>
    <row r="8" spans="1:8" ht="15.75" x14ac:dyDescent="0.25">
      <c r="B8" s="155" t="s">
        <v>61</v>
      </c>
      <c r="C8" s="156"/>
      <c r="D8" s="156"/>
      <c r="E8" s="156"/>
      <c r="F8" s="156"/>
      <c r="G8" s="157"/>
    </row>
    <row r="9" spans="1:8" ht="15.75" x14ac:dyDescent="0.25">
      <c r="B9" s="158"/>
      <c r="C9" s="159" t="s">
        <v>71</v>
      </c>
      <c r="D9" s="159" t="s">
        <v>0</v>
      </c>
      <c r="E9" s="149"/>
      <c r="F9" s="149"/>
      <c r="G9" s="157"/>
    </row>
    <row r="10" spans="1:8" ht="15.75" x14ac:dyDescent="0.25">
      <c r="B10" s="160" t="s">
        <v>72</v>
      </c>
      <c r="C10" s="161"/>
      <c r="D10" s="162">
        <v>3</v>
      </c>
      <c r="E10" s="158"/>
      <c r="F10" s="158"/>
      <c r="G10" s="157"/>
    </row>
    <row r="11" spans="1:8" ht="15.75" x14ac:dyDescent="0.25">
      <c r="B11" s="163" t="s">
        <v>73</v>
      </c>
      <c r="C11" s="164">
        <v>50</v>
      </c>
      <c r="D11" s="165">
        <f>D10*C11</f>
        <v>150</v>
      </c>
      <c r="E11" s="164"/>
      <c r="F11" s="164"/>
      <c r="G11" s="166"/>
    </row>
    <row r="12" spans="1:8" ht="15.75" x14ac:dyDescent="0.25">
      <c r="B12" s="163" t="s">
        <v>74</v>
      </c>
      <c r="C12" s="167">
        <v>1.2</v>
      </c>
      <c r="D12" s="168">
        <f>C12*D11</f>
        <v>180</v>
      </c>
      <c r="E12" s="169"/>
      <c r="F12" s="169"/>
      <c r="G12" s="170"/>
    </row>
    <row r="13" spans="1:8" ht="15.75" x14ac:dyDescent="0.25">
      <c r="B13" s="163"/>
      <c r="C13" s="171"/>
      <c r="D13" s="172"/>
      <c r="E13" s="171"/>
      <c r="F13" s="171"/>
      <c r="G13" s="170"/>
    </row>
    <row r="14" spans="1:8" ht="15.75" x14ac:dyDescent="0.25">
      <c r="B14" s="163" t="s">
        <v>75</v>
      </c>
      <c r="C14" s="173">
        <v>650</v>
      </c>
      <c r="D14" s="174"/>
      <c r="E14" s="159"/>
      <c r="F14" s="159"/>
      <c r="G14" s="175"/>
    </row>
    <row r="15" spans="1:8" ht="15.75" x14ac:dyDescent="0.25">
      <c r="B15" s="163" t="s">
        <v>76</v>
      </c>
      <c r="C15" s="173">
        <v>800</v>
      </c>
      <c r="D15" s="174"/>
      <c r="E15" s="159"/>
      <c r="F15" s="159"/>
      <c r="G15" s="175"/>
    </row>
    <row r="16" spans="1:8" ht="15.75" x14ac:dyDescent="0.25">
      <c r="B16" s="163"/>
      <c r="C16" s="159"/>
      <c r="D16" s="174"/>
      <c r="E16" s="159"/>
      <c r="F16" s="159"/>
      <c r="G16" s="175"/>
    </row>
    <row r="17" spans="2:7" ht="15.75" x14ac:dyDescent="0.25">
      <c r="B17" s="163" t="s">
        <v>77</v>
      </c>
      <c r="C17" s="176">
        <v>0.08</v>
      </c>
      <c r="D17" s="177">
        <f>ROUNDUP(C17*D11,0)</f>
        <v>12</v>
      </c>
      <c r="E17" s="149"/>
      <c r="F17" s="149"/>
      <c r="G17" s="175"/>
    </row>
    <row r="18" spans="2:7" ht="15.75" x14ac:dyDescent="0.25">
      <c r="B18" s="178">
        <f>D11-D17</f>
        <v>138</v>
      </c>
      <c r="C18" s="179"/>
      <c r="D18" s="180"/>
      <c r="E18" s="141"/>
      <c r="F18" s="141"/>
      <c r="G18" s="175"/>
    </row>
    <row r="19" spans="2:7" ht="15.75" x14ac:dyDescent="0.25">
      <c r="B19" s="181"/>
      <c r="C19" s="149"/>
      <c r="D19" s="159"/>
      <c r="E19" s="141"/>
      <c r="F19" s="141"/>
      <c r="G19" s="175"/>
    </row>
    <row r="20" spans="2:7" ht="15.75" x14ac:dyDescent="0.25">
      <c r="B20" s="155" t="s">
        <v>78</v>
      </c>
      <c r="C20" s="149"/>
      <c r="D20" s="159"/>
      <c r="E20" s="141"/>
      <c r="F20" s="141"/>
      <c r="G20" s="175"/>
    </row>
    <row r="21" spans="2:7" ht="15.75" x14ac:dyDescent="0.25">
      <c r="B21" s="182"/>
      <c r="C21" s="183"/>
      <c r="D21" s="184"/>
      <c r="E21" s="184" t="s">
        <v>79</v>
      </c>
      <c r="F21" s="185" t="s">
        <v>80</v>
      </c>
      <c r="G21" s="175"/>
    </row>
    <row r="22" spans="2:7" ht="15.75" x14ac:dyDescent="0.25">
      <c r="B22" s="163" t="s">
        <v>81</v>
      </c>
      <c r="C22" s="186">
        <v>0.1</v>
      </c>
      <c r="D22" s="187">
        <f>ROUNDUP(C22*B18,0)</f>
        <v>14</v>
      </c>
      <c r="E22" s="188">
        <v>3</v>
      </c>
      <c r="F22" s="189">
        <f>D22/E22</f>
        <v>4.666666666666667</v>
      </c>
      <c r="G22" s="175"/>
    </row>
    <row r="23" spans="2:7" ht="15.75" x14ac:dyDescent="0.25">
      <c r="B23" s="163" t="s">
        <v>82</v>
      </c>
      <c r="C23" s="190"/>
      <c r="D23" s="191">
        <f>B18-D22</f>
        <v>124</v>
      </c>
      <c r="E23" s="192">
        <f>D49</f>
        <v>15</v>
      </c>
      <c r="F23" s="189">
        <f>D23/E23</f>
        <v>8.2666666666666675</v>
      </c>
      <c r="G23" s="175"/>
    </row>
    <row r="24" spans="2:7" ht="15.75" x14ac:dyDescent="0.25">
      <c r="B24" s="193" t="s">
        <v>83</v>
      </c>
      <c r="C24" s="190"/>
      <c r="D24" s="194">
        <f>SUM(D17:D23)</f>
        <v>150</v>
      </c>
      <c r="E24" s="192"/>
      <c r="F24" s="189"/>
      <c r="G24" s="175"/>
    </row>
    <row r="25" spans="2:7" ht="15.75" x14ac:dyDescent="0.25">
      <c r="B25" s="195" t="s">
        <v>84</v>
      </c>
      <c r="C25" s="190"/>
      <c r="D25" s="196">
        <v>50</v>
      </c>
      <c r="E25" s="192"/>
      <c r="F25" s="189"/>
      <c r="G25" s="175"/>
    </row>
    <row r="26" spans="2:7" ht="15.75" x14ac:dyDescent="0.25">
      <c r="B26" s="197"/>
      <c r="C26" s="159"/>
      <c r="D26" s="158"/>
      <c r="E26" s="159"/>
      <c r="F26" s="198"/>
      <c r="G26" s="175"/>
    </row>
    <row r="27" spans="2:7" ht="15.75" x14ac:dyDescent="0.25">
      <c r="B27" s="163"/>
      <c r="C27" s="199">
        <v>0.1</v>
      </c>
      <c r="D27" s="149"/>
      <c r="E27" s="149"/>
      <c r="F27" s="198"/>
      <c r="G27" s="175"/>
    </row>
    <row r="28" spans="2:7" ht="15.75" x14ac:dyDescent="0.25">
      <c r="B28" s="200" t="s">
        <v>85</v>
      </c>
      <c r="C28" s="159" t="s">
        <v>86</v>
      </c>
      <c r="D28" s="159" t="s">
        <v>87</v>
      </c>
      <c r="E28" s="159" t="s">
        <v>88</v>
      </c>
      <c r="F28" s="201" t="s">
        <v>89</v>
      </c>
      <c r="G28" s="202"/>
    </row>
    <row r="29" spans="2:7" ht="15.75" x14ac:dyDescent="0.25">
      <c r="B29" s="203" t="s">
        <v>90</v>
      </c>
      <c r="C29" s="204">
        <f>D29*(1-C27)</f>
        <v>450000</v>
      </c>
      <c r="D29" s="205">
        <v>500000</v>
      </c>
      <c r="E29" s="205">
        <v>175000</v>
      </c>
      <c r="F29" s="206">
        <f>C29*D22+D29*D23+E29*D17</f>
        <v>70400000</v>
      </c>
      <c r="G29" s="202"/>
    </row>
    <row r="30" spans="2:7" ht="15.75" x14ac:dyDescent="0.25">
      <c r="B30" s="203"/>
      <c r="C30" s="207">
        <f>C29/C15</f>
        <v>562.5</v>
      </c>
      <c r="D30" s="207">
        <f>D29/C15</f>
        <v>625</v>
      </c>
      <c r="E30" s="207">
        <f>E29/C14</f>
        <v>269.23076923076923</v>
      </c>
      <c r="F30" s="206"/>
      <c r="G30" s="202"/>
    </row>
    <row r="31" spans="2:7" ht="15.75" x14ac:dyDescent="0.25">
      <c r="B31" s="208" t="s">
        <v>91</v>
      </c>
      <c r="C31" s="209">
        <f>D31*(1-C27)</f>
        <v>36000</v>
      </c>
      <c r="D31" s="210">
        <v>40000</v>
      </c>
      <c r="E31" s="210"/>
      <c r="F31" s="206">
        <f>C31*D12*C22+(D12*(1-C22)*D31)</f>
        <v>7128000</v>
      </c>
      <c r="G31" s="141"/>
    </row>
    <row r="32" spans="2:7" ht="15.75" x14ac:dyDescent="0.25">
      <c r="B32" s="203" t="s">
        <v>92</v>
      </c>
      <c r="C32" s="204">
        <f>D32*(1-C27)</f>
        <v>4500</v>
      </c>
      <c r="D32" s="205">
        <v>5000</v>
      </c>
      <c r="E32" s="205"/>
      <c r="F32" s="206">
        <f>C32*D25*C22+(D25*(1-C22)*D32)</f>
        <v>247500</v>
      </c>
    </row>
    <row r="33" spans="2:8" ht="15.75" x14ac:dyDescent="0.25">
      <c r="B33" s="163"/>
      <c r="C33" s="149"/>
      <c r="D33" s="159" t="s">
        <v>1</v>
      </c>
      <c r="E33" s="211">
        <v>0.04</v>
      </c>
      <c r="F33" s="206">
        <f>-E33*SUM(F29:F32)</f>
        <v>-3111020</v>
      </c>
      <c r="G33" s="212"/>
    </row>
    <row r="34" spans="2:8" ht="15.75" x14ac:dyDescent="0.25">
      <c r="B34" s="163"/>
      <c r="C34" s="210"/>
      <c r="D34" s="213" t="s">
        <v>93</v>
      </c>
      <c r="E34" s="214">
        <f>SUM(F29:F33)</f>
        <v>74664480</v>
      </c>
      <c r="F34" s="198"/>
      <c r="G34" s="212"/>
    </row>
    <row r="35" spans="2:8" ht="15.75" x14ac:dyDescent="0.25">
      <c r="B35" s="163"/>
      <c r="C35" s="210"/>
      <c r="D35" s="215" t="s">
        <v>94</v>
      </c>
      <c r="E35" s="216">
        <f>E34/D24</f>
        <v>497763.2</v>
      </c>
      <c r="F35" s="198"/>
      <c r="G35" s="212"/>
    </row>
    <row r="36" spans="2:8" ht="15.75" x14ac:dyDescent="0.25">
      <c r="B36" s="200" t="s">
        <v>95</v>
      </c>
      <c r="C36" s="149"/>
      <c r="D36" s="210"/>
      <c r="E36" s="210"/>
      <c r="F36" s="217"/>
    </row>
    <row r="37" spans="2:8" ht="15.75" x14ac:dyDescent="0.25">
      <c r="B37" s="163" t="s">
        <v>96</v>
      </c>
      <c r="C37" s="218">
        <v>12000</v>
      </c>
      <c r="D37" s="149"/>
      <c r="E37" s="158"/>
      <c r="F37" s="198"/>
    </row>
    <row r="38" spans="2:8" ht="15.75" x14ac:dyDescent="0.25">
      <c r="B38" s="163" t="s">
        <v>97</v>
      </c>
      <c r="C38" s="219">
        <v>35</v>
      </c>
      <c r="D38" s="220" t="s">
        <v>98</v>
      </c>
      <c r="E38" s="221">
        <f>C38*C37</f>
        <v>420000</v>
      </c>
      <c r="F38" s="222"/>
    </row>
    <row r="39" spans="2:8" ht="15.75" x14ac:dyDescent="0.25">
      <c r="B39" s="163" t="s">
        <v>99</v>
      </c>
      <c r="C39" s="223">
        <v>0.08</v>
      </c>
      <c r="D39" s="219"/>
      <c r="E39" s="221"/>
      <c r="F39" s="222"/>
    </row>
    <row r="40" spans="2:8" ht="15.75" x14ac:dyDescent="0.25">
      <c r="B40" s="163" t="s">
        <v>1</v>
      </c>
      <c r="C40" s="211">
        <v>0.03</v>
      </c>
      <c r="D40" s="158"/>
      <c r="E40" s="158"/>
      <c r="F40" s="224"/>
    </row>
    <row r="41" spans="2:8" ht="15.75" x14ac:dyDescent="0.25">
      <c r="B41" s="193" t="s">
        <v>100</v>
      </c>
      <c r="C41" s="190"/>
      <c r="D41" s="225"/>
      <c r="E41" s="226">
        <f>C37*C38/C39*(1-C40)</f>
        <v>5092500</v>
      </c>
      <c r="F41" s="224"/>
    </row>
    <row r="42" spans="2:8" x14ac:dyDescent="0.2">
      <c r="B42" s="227"/>
      <c r="C42" s="228"/>
      <c r="D42" s="228"/>
      <c r="E42" s="228"/>
      <c r="F42" s="229"/>
    </row>
    <row r="43" spans="2:8" ht="15.75" x14ac:dyDescent="0.25">
      <c r="B43" s="230" t="s">
        <v>101</v>
      </c>
      <c r="C43" s="231"/>
      <c r="D43" s="232"/>
      <c r="E43" s="233">
        <f>E41+E34</f>
        <v>79756980</v>
      </c>
      <c r="F43" s="234"/>
    </row>
    <row r="44" spans="2:8" ht="15.75" customHeight="1" x14ac:dyDescent="0.2">
      <c r="C44" s="141"/>
      <c r="D44" s="141"/>
      <c r="E44" s="141"/>
      <c r="F44" s="141"/>
    </row>
    <row r="45" spans="2:8" ht="15.75" x14ac:dyDescent="0.25">
      <c r="B45" s="155" t="s">
        <v>64</v>
      </c>
      <c r="C45" s="141"/>
      <c r="D45" s="141"/>
      <c r="E45" s="141"/>
      <c r="F45" s="141"/>
    </row>
    <row r="46" spans="2:8" ht="15.75" x14ac:dyDescent="0.25">
      <c r="B46" s="235"/>
      <c r="C46" s="184"/>
      <c r="D46" s="161"/>
      <c r="E46" s="184" t="s">
        <v>35</v>
      </c>
      <c r="F46" s="236"/>
      <c r="G46" s="157"/>
      <c r="H46" s="228"/>
    </row>
    <row r="47" spans="2:8" ht="15.75" x14ac:dyDescent="0.25">
      <c r="B47" s="163" t="s">
        <v>102</v>
      </c>
      <c r="C47" s="159"/>
      <c r="D47" s="188">
        <v>15</v>
      </c>
      <c r="E47" s="237">
        <f ca="1">EDATE($B$4,D47)</f>
        <v>41431</v>
      </c>
      <c r="F47" s="198"/>
      <c r="G47" s="157"/>
      <c r="H47" s="228"/>
    </row>
    <row r="48" spans="2:8" ht="15.75" x14ac:dyDescent="0.25">
      <c r="B48" s="163" t="s">
        <v>10</v>
      </c>
      <c r="C48" s="159"/>
      <c r="D48" s="188">
        <v>20</v>
      </c>
      <c r="E48" s="237">
        <f ca="1">EDATE(E47,D48)</f>
        <v>42041</v>
      </c>
      <c r="F48" s="224"/>
      <c r="G48" s="157"/>
      <c r="H48" s="228"/>
    </row>
    <row r="49" spans="2:8" ht="15.75" x14ac:dyDescent="0.25">
      <c r="B49" s="163" t="s">
        <v>103</v>
      </c>
      <c r="C49" s="238"/>
      <c r="D49" s="239">
        <v>15</v>
      </c>
      <c r="E49" s="237">
        <f ca="1">EDATE(E48,D49)</f>
        <v>42496</v>
      </c>
      <c r="F49" s="224"/>
      <c r="G49" s="157"/>
      <c r="H49" s="228"/>
    </row>
    <row r="50" spans="2:8" ht="15.75" x14ac:dyDescent="0.25">
      <c r="B50" s="163" t="s">
        <v>104</v>
      </c>
      <c r="C50" s="149"/>
      <c r="D50" s="240">
        <f>SUM(D47:D49)</f>
        <v>50</v>
      </c>
      <c r="E50" s="158"/>
      <c r="F50" s="224"/>
      <c r="G50" s="157"/>
      <c r="H50" s="228"/>
    </row>
    <row r="51" spans="2:8" ht="15.75" x14ac:dyDescent="0.25">
      <c r="B51" s="163"/>
      <c r="C51" s="149"/>
      <c r="D51" s="240"/>
      <c r="E51" s="158"/>
      <c r="F51" s="224"/>
      <c r="G51" s="157"/>
      <c r="H51" s="228"/>
    </row>
    <row r="52" spans="2:8" ht="18" customHeight="1" x14ac:dyDescent="0.25">
      <c r="B52" s="163"/>
      <c r="C52" s="158"/>
      <c r="D52" s="159" t="s">
        <v>105</v>
      </c>
      <c r="E52" s="158"/>
      <c r="F52" s="241" t="s">
        <v>11</v>
      </c>
      <c r="G52" s="141"/>
    </row>
    <row r="53" spans="2:8" ht="15.75" x14ac:dyDescent="0.25">
      <c r="B53" s="163" t="s">
        <v>106</v>
      </c>
      <c r="C53" s="242">
        <v>200000</v>
      </c>
      <c r="D53" s="220">
        <f>C53/C15</f>
        <v>250</v>
      </c>
      <c r="E53" s="221">
        <f>C53*D11</f>
        <v>30000000</v>
      </c>
      <c r="F53" s="243">
        <f>E53/$E$59</f>
        <v>0.48787117498174171</v>
      </c>
      <c r="G53" s="244"/>
    </row>
    <row r="54" spans="2:8" ht="15.75" x14ac:dyDescent="0.25">
      <c r="B54" s="163" t="s">
        <v>107</v>
      </c>
      <c r="C54" s="219">
        <v>55</v>
      </c>
      <c r="D54" s="220"/>
      <c r="E54" s="221">
        <f>C54*C37</f>
        <v>660000</v>
      </c>
      <c r="F54" s="243">
        <f>E54/$E$59</f>
        <v>1.0733165849598318E-2</v>
      </c>
      <c r="G54" s="244"/>
    </row>
    <row r="55" spans="2:8" ht="15.75" x14ac:dyDescent="0.25">
      <c r="B55" s="163" t="s">
        <v>108</v>
      </c>
      <c r="C55" s="211">
        <v>0.35</v>
      </c>
      <c r="D55" s="211"/>
      <c r="E55" s="221">
        <f>C55*(E53+E54)</f>
        <v>10731000</v>
      </c>
      <c r="F55" s="243">
        <f>E55/$E$59</f>
        <v>0.174511519290969</v>
      </c>
      <c r="G55" s="245"/>
    </row>
    <row r="56" spans="2:8" ht="15.75" x14ac:dyDescent="0.25">
      <c r="B56" s="163" t="s">
        <v>40</v>
      </c>
      <c r="C56" s="211">
        <v>0.65</v>
      </c>
      <c r="D56" s="211"/>
      <c r="E56" s="221"/>
      <c r="F56" s="246"/>
      <c r="G56" s="247"/>
    </row>
    <row r="57" spans="2:8" ht="15.75" x14ac:dyDescent="0.25">
      <c r="B57" s="163" t="s">
        <v>109</v>
      </c>
      <c r="C57" s="211">
        <v>0.06</v>
      </c>
      <c r="D57" s="211"/>
      <c r="E57" s="221">
        <f>C57*(1+(SUM(D47:D49)/12/2))*C56*SUM(E53:E55,E58)</f>
        <v>6600642.75</v>
      </c>
      <c r="F57" s="243">
        <f>E57/$E$59</f>
        <v>0.10734211113590716</v>
      </c>
      <c r="G57" s="247"/>
      <c r="H57" s="248" t="s">
        <v>55</v>
      </c>
    </row>
    <row r="58" spans="2:8" ht="15.75" x14ac:dyDescent="0.25">
      <c r="B58" s="163" t="s">
        <v>13</v>
      </c>
      <c r="C58" s="249">
        <f>E58/D11</f>
        <v>90000</v>
      </c>
      <c r="D58" s="249"/>
      <c r="E58" s="250">
        <v>13500000</v>
      </c>
      <c r="F58" s="251">
        <f>E58/$E$59</f>
        <v>0.21954202874178377</v>
      </c>
      <c r="G58" s="247"/>
      <c r="H58" s="252" t="s">
        <v>65</v>
      </c>
    </row>
    <row r="59" spans="2:8" ht="15.75" x14ac:dyDescent="0.25">
      <c r="B59" s="193" t="s">
        <v>41</v>
      </c>
      <c r="C59" s="253"/>
      <c r="D59" s="253"/>
      <c r="E59" s="226">
        <f>SUM(E53:E58)</f>
        <v>61491642.75</v>
      </c>
      <c r="F59" s="243">
        <f>SUM(F53:F58)</f>
        <v>1</v>
      </c>
      <c r="G59" s="144"/>
    </row>
    <row r="60" spans="2:8" ht="15.75" x14ac:dyDescent="0.25">
      <c r="B60" s="254" t="s">
        <v>94</v>
      </c>
      <c r="C60" s="255"/>
      <c r="D60" s="255"/>
      <c r="E60" s="256">
        <f>E59/D11</f>
        <v>409944.28499999997</v>
      </c>
      <c r="F60" s="257"/>
      <c r="G60" s="258"/>
    </row>
    <row r="61" spans="2:8" ht="15.75" x14ac:dyDescent="0.25">
      <c r="B61" s="259"/>
      <c r="C61" s="260"/>
      <c r="D61" s="260"/>
      <c r="E61" s="261"/>
      <c r="F61" s="260"/>
      <c r="G61" s="258"/>
    </row>
    <row r="62" spans="2:8" ht="15.75" x14ac:dyDescent="0.25">
      <c r="B62" s="155" t="s">
        <v>67</v>
      </c>
      <c r="C62" s="260"/>
      <c r="D62" s="260"/>
      <c r="E62" s="261"/>
      <c r="F62" s="260"/>
      <c r="G62" s="258"/>
    </row>
    <row r="63" spans="2:8" ht="15.75" x14ac:dyDescent="0.25">
      <c r="B63" s="160" t="s">
        <v>110</v>
      </c>
      <c r="C63" s="183"/>
      <c r="D63" s="183"/>
      <c r="E63" s="262">
        <f>E59*C56</f>
        <v>39969567.787500001</v>
      </c>
      <c r="F63" s="263">
        <f>E63/E65</f>
        <v>0.65</v>
      </c>
    </row>
    <row r="64" spans="2:8" ht="15.75" x14ac:dyDescent="0.25">
      <c r="B64" s="163" t="s">
        <v>111</v>
      </c>
      <c r="C64" s="149"/>
      <c r="D64" s="149"/>
      <c r="E64" s="264">
        <f>E59-E63</f>
        <v>21522074.962499999</v>
      </c>
      <c r="F64" s="251">
        <f>1-F63</f>
        <v>0.35</v>
      </c>
    </row>
    <row r="65" spans="2:11" ht="15.75" x14ac:dyDescent="0.25">
      <c r="B65" s="230" t="s">
        <v>112</v>
      </c>
      <c r="C65" s="179"/>
      <c r="D65" s="179"/>
      <c r="E65" s="233">
        <f>SUM(E63:E64)</f>
        <v>61491642.75</v>
      </c>
      <c r="F65" s="265">
        <f>SUM(F63:F64)</f>
        <v>1</v>
      </c>
    </row>
    <row r="66" spans="2:11" ht="15.75" x14ac:dyDescent="0.25">
      <c r="B66" s="225"/>
      <c r="C66" s="149"/>
      <c r="D66" s="149"/>
      <c r="E66" s="226"/>
      <c r="F66" s="149"/>
    </row>
    <row r="67" spans="2:11" ht="15.75" x14ac:dyDescent="0.25">
      <c r="B67" s="266" t="s">
        <v>113</v>
      </c>
      <c r="C67" s="267"/>
      <c r="D67" s="267"/>
      <c r="E67" s="268">
        <f>E43-E65</f>
        <v>18265337.25</v>
      </c>
      <c r="F67" s="158"/>
      <c r="G67" s="141"/>
      <c r="K67" s="269"/>
    </row>
    <row r="68" spans="2:11" ht="15.75" x14ac:dyDescent="0.25">
      <c r="B68" s="266" t="s">
        <v>114</v>
      </c>
      <c r="C68" s="267"/>
      <c r="D68" s="267"/>
      <c r="E68" s="270">
        <f>E67/SUM(F29:F32)</f>
        <v>0.23484692801717766</v>
      </c>
      <c r="F68" s="158"/>
      <c r="G68" s="141"/>
      <c r="K68" s="271"/>
    </row>
    <row r="69" spans="2:11" ht="15.75" x14ac:dyDescent="0.25">
      <c r="B69" s="266" t="s">
        <v>115</v>
      </c>
      <c r="C69" s="267"/>
      <c r="D69" s="267"/>
      <c r="E69" s="272">
        <f>E67/E64+1</f>
        <v>1.8486791948185977</v>
      </c>
      <c r="F69" s="158"/>
      <c r="G69" s="141"/>
      <c r="K69" s="271"/>
    </row>
    <row r="70" spans="2:11" x14ac:dyDescent="0.2">
      <c r="B70" s="273"/>
      <c r="C70" s="141"/>
      <c r="D70" s="141"/>
      <c r="E70" s="274"/>
      <c r="F70" s="141"/>
      <c r="G70" s="141"/>
      <c r="K70" s="271"/>
    </row>
    <row r="71" spans="2:11" ht="15.75" x14ac:dyDescent="0.25">
      <c r="B71" s="138" t="s">
        <v>44</v>
      </c>
      <c r="C71" s="138"/>
      <c r="D71" s="138"/>
      <c r="E71" s="138"/>
      <c r="F71" s="138"/>
    </row>
    <row r="72" spans="2:11" x14ac:dyDescent="0.2">
      <c r="C72" s="247"/>
      <c r="D72" s="247"/>
      <c r="E72" s="269"/>
      <c r="F72" s="247"/>
    </row>
    <row r="73" spans="2:11" x14ac:dyDescent="0.2">
      <c r="C73" s="275"/>
      <c r="D73" s="275"/>
      <c r="E73" s="276"/>
      <c r="F73" s="275"/>
      <c r="K73" s="269"/>
    </row>
    <row r="74" spans="2:11" x14ac:dyDescent="0.2">
      <c r="C74" s="141"/>
      <c r="D74" s="141"/>
      <c r="E74" s="277"/>
      <c r="F74" s="141"/>
      <c r="G74" s="141"/>
      <c r="K74" s="271"/>
    </row>
    <row r="75" spans="2:11" x14ac:dyDescent="0.2">
      <c r="C75" s="247"/>
      <c r="D75" s="247"/>
      <c r="E75" s="247"/>
      <c r="F75" s="247"/>
      <c r="G75" s="247"/>
    </row>
    <row r="76" spans="2:11" x14ac:dyDescent="0.2">
      <c r="C76" s="247"/>
      <c r="D76" s="247"/>
      <c r="E76" s="247"/>
      <c r="F76" s="247"/>
      <c r="G76" s="247"/>
    </row>
    <row r="77" spans="2:11" x14ac:dyDescent="0.2">
      <c r="C77" s="278"/>
      <c r="D77" s="278"/>
      <c r="E77" s="278"/>
      <c r="F77" s="278"/>
      <c r="G77" s="279"/>
    </row>
    <row r="78" spans="2:11" x14ac:dyDescent="0.2">
      <c r="C78" s="278"/>
      <c r="D78" s="278"/>
      <c r="E78" s="278"/>
      <c r="F78" s="278"/>
      <c r="G78" s="279"/>
    </row>
    <row r="79" spans="2:11" x14ac:dyDescent="0.2">
      <c r="C79" s="244"/>
      <c r="D79" s="244"/>
      <c r="E79" s="244"/>
      <c r="F79" s="244"/>
      <c r="G79" s="279"/>
    </row>
    <row r="81" spans="2:7" x14ac:dyDescent="0.2">
      <c r="B81" s="273"/>
    </row>
    <row r="82" spans="2:7" x14ac:dyDescent="0.2">
      <c r="B82" s="273"/>
    </row>
    <row r="83" spans="2:7" x14ac:dyDescent="0.2">
      <c r="B83" s="280"/>
    </row>
    <row r="86" spans="2:7" x14ac:dyDescent="0.2">
      <c r="B86" s="281"/>
      <c r="C86" s="258"/>
      <c r="D86" s="258"/>
      <c r="E86" s="258"/>
      <c r="F86" s="258"/>
      <c r="G86" s="258"/>
    </row>
    <row r="87" spans="2:7" x14ac:dyDescent="0.2">
      <c r="C87" s="141"/>
      <c r="D87" s="141"/>
      <c r="E87" s="141"/>
      <c r="F87" s="141"/>
      <c r="G87" s="141"/>
    </row>
    <row r="88" spans="2:7" x14ac:dyDescent="0.2">
      <c r="C88" s="247"/>
      <c r="D88" s="247"/>
      <c r="E88" s="247"/>
      <c r="F88" s="247"/>
    </row>
    <row r="90" spans="2:7" x14ac:dyDescent="0.2">
      <c r="B90" s="273"/>
      <c r="C90" s="144"/>
      <c r="D90" s="144"/>
      <c r="E90" s="144"/>
      <c r="F90" s="144"/>
      <c r="G90" s="144"/>
    </row>
    <row r="91" spans="2:7" x14ac:dyDescent="0.2">
      <c r="B91" s="273"/>
    </row>
    <row r="92" spans="2:7" x14ac:dyDescent="0.2">
      <c r="B92" s="273"/>
      <c r="C92" s="141"/>
      <c r="D92" s="141"/>
      <c r="E92" s="141"/>
      <c r="F92" s="141"/>
      <c r="G92" s="141"/>
    </row>
    <row r="93" spans="2:7" x14ac:dyDescent="0.2">
      <c r="C93" s="141"/>
      <c r="D93" s="141"/>
      <c r="E93" s="141"/>
      <c r="F93" s="141"/>
      <c r="G93" s="141"/>
    </row>
    <row r="94" spans="2:7" x14ac:dyDescent="0.2">
      <c r="C94" s="141"/>
      <c r="D94" s="141"/>
      <c r="E94" s="141"/>
      <c r="F94" s="141"/>
      <c r="G94" s="141"/>
    </row>
    <row r="96" spans="2:7" x14ac:dyDescent="0.2">
      <c r="C96" s="141"/>
      <c r="D96" s="141"/>
      <c r="E96" s="141"/>
      <c r="F96" s="141"/>
      <c r="G96" s="141"/>
    </row>
  </sheetData>
  <mergeCells count="3">
    <mergeCell ref="B2:F2"/>
    <mergeCell ref="C6:F6"/>
    <mergeCell ref="B71:F71"/>
  </mergeCells>
  <hyperlinks>
    <hyperlink ref="B71" r:id="rId1" display="www.GetREFM.com"/>
  </hyperlinks>
  <printOptions horizontalCentered="1" verticalCentered="1"/>
  <pageMargins left="0.42" right="0.36" top="0.34" bottom="0.22" header="0.3" footer="0.18"/>
  <pageSetup scale="71" orientation="portrait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zoomScaleNormal="100" workbookViewId="0"/>
  </sheetViews>
  <sheetFormatPr defaultColWidth="9.140625" defaultRowHeight="12.75" x14ac:dyDescent="0.2"/>
  <cols>
    <col min="1" max="1" width="4.85546875" style="141" customWidth="1"/>
    <col min="2" max="2" width="48.28515625" style="141" customWidth="1"/>
    <col min="3" max="3" width="16.28515625" style="141" customWidth="1"/>
    <col min="4" max="4" width="15.28515625" style="145" customWidth="1"/>
    <col min="5" max="5" width="13.5703125" style="145" customWidth="1"/>
    <col min="6" max="6" width="16.85546875" style="141" customWidth="1"/>
    <col min="7" max="7" width="2.5703125" style="141" customWidth="1"/>
    <col min="8" max="8" width="7.85546875" style="141" customWidth="1"/>
    <col min="9" max="9" width="9.140625" style="141"/>
    <col min="10" max="10" width="22.85546875" style="141" customWidth="1"/>
    <col min="11" max="11" width="17" style="141" customWidth="1"/>
    <col min="12" max="12" width="15.28515625" style="141" customWidth="1"/>
    <col min="13" max="13" width="31.85546875" style="141" customWidth="1"/>
    <col min="14" max="14" width="9.140625" style="141"/>
    <col min="15" max="15" width="2.85546875" style="141" customWidth="1"/>
    <col min="16" max="16" width="14.140625" style="141" customWidth="1"/>
    <col min="17" max="16384" width="9.140625" style="141"/>
  </cols>
  <sheetData>
    <row r="1" spans="1:12" ht="12.75" customHeight="1" x14ac:dyDescent="0.25">
      <c r="B1" s="282"/>
      <c r="C1" s="282"/>
      <c r="D1" s="282"/>
      <c r="E1" s="282"/>
      <c r="F1" s="282"/>
      <c r="G1" s="282"/>
    </row>
    <row r="2" spans="1:12" ht="15.75" x14ac:dyDescent="0.25">
      <c r="A2" s="139"/>
      <c r="B2" s="142" t="s">
        <v>116</v>
      </c>
      <c r="C2" s="142"/>
      <c r="D2" s="142"/>
      <c r="E2" s="142"/>
      <c r="F2" s="142"/>
    </row>
    <row r="3" spans="1:12" ht="2.25" customHeight="1" x14ac:dyDescent="0.2">
      <c r="C3" s="145"/>
      <c r="F3" s="145"/>
    </row>
    <row r="4" spans="1:12" ht="15.75" x14ac:dyDescent="0.25">
      <c r="B4" s="283">
        <f ca="1">TODAY()</f>
        <v>40974</v>
      </c>
      <c r="C4" s="284" t="s">
        <v>42</v>
      </c>
      <c r="D4" s="285"/>
      <c r="E4" s="284"/>
      <c r="F4" s="286"/>
    </row>
    <row r="5" spans="1:12" ht="6.4" customHeight="1" x14ac:dyDescent="0.2">
      <c r="B5" s="227"/>
      <c r="C5" s="228"/>
      <c r="D5" s="157"/>
      <c r="E5" s="157"/>
      <c r="F5" s="229"/>
    </row>
    <row r="6" spans="1:12" s="150" customFormat="1" ht="15" customHeight="1" x14ac:dyDescent="0.2">
      <c r="B6" s="287" t="s">
        <v>69</v>
      </c>
      <c r="C6" s="152" t="s">
        <v>70</v>
      </c>
      <c r="D6" s="152"/>
      <c r="E6" s="152"/>
      <c r="F6" s="288"/>
      <c r="G6" s="153"/>
    </row>
    <row r="7" spans="1:12" ht="4.9000000000000004" customHeight="1" x14ac:dyDescent="0.25">
      <c r="B7" s="163"/>
      <c r="C7" s="228"/>
      <c r="D7" s="149"/>
      <c r="E7" s="158"/>
      <c r="F7" s="224"/>
      <c r="H7" s="228"/>
      <c r="J7" s="289"/>
      <c r="K7" s="289"/>
      <c r="L7" s="290"/>
    </row>
    <row r="8" spans="1:12" ht="15.75" x14ac:dyDescent="0.25">
      <c r="B8" s="163"/>
      <c r="C8" s="291"/>
      <c r="D8" s="149"/>
      <c r="E8" s="149" t="s">
        <v>0</v>
      </c>
      <c r="F8" s="224"/>
      <c r="H8" s="228"/>
      <c r="J8" s="289"/>
      <c r="K8" s="289"/>
      <c r="L8" s="290"/>
    </row>
    <row r="9" spans="1:12" ht="15.75" x14ac:dyDescent="0.25">
      <c r="B9" s="163" t="s">
        <v>3</v>
      </c>
      <c r="C9" s="158"/>
      <c r="D9" s="149"/>
      <c r="E9" s="173">
        <v>18000</v>
      </c>
      <c r="F9" s="224"/>
      <c r="H9" s="228"/>
      <c r="J9" s="289"/>
      <c r="K9" s="289"/>
      <c r="L9" s="290"/>
    </row>
    <row r="10" spans="1:12" ht="15.75" x14ac:dyDescent="0.25">
      <c r="B10" s="163" t="s">
        <v>7</v>
      </c>
      <c r="C10" s="292">
        <v>8</v>
      </c>
      <c r="D10" s="149"/>
      <c r="E10" s="293">
        <f>E9*C10</f>
        <v>144000</v>
      </c>
      <c r="F10" s="224"/>
      <c r="H10" s="228"/>
      <c r="J10" s="289"/>
      <c r="K10" s="289"/>
      <c r="L10" s="290"/>
    </row>
    <row r="11" spans="1:12" ht="15.75" x14ac:dyDescent="0.25">
      <c r="B11" s="163"/>
      <c r="C11" s="158"/>
      <c r="D11" s="149"/>
      <c r="E11" s="158"/>
      <c r="F11" s="224"/>
      <c r="H11" s="228"/>
      <c r="J11" s="289"/>
      <c r="K11" s="289"/>
      <c r="L11" s="290"/>
    </row>
    <row r="12" spans="1:12" ht="15.75" x14ac:dyDescent="0.25">
      <c r="B12" s="163" t="s">
        <v>4</v>
      </c>
      <c r="C12" s="158"/>
      <c r="D12" s="149"/>
      <c r="E12" s="218">
        <v>12000</v>
      </c>
      <c r="F12" s="224"/>
      <c r="H12" s="228"/>
      <c r="J12" s="289"/>
      <c r="K12" s="289"/>
      <c r="L12" s="290"/>
    </row>
    <row r="13" spans="1:12" ht="15.75" x14ac:dyDescent="0.25">
      <c r="B13" s="163" t="s">
        <v>117</v>
      </c>
      <c r="C13" s="158"/>
      <c r="D13" s="149"/>
      <c r="E13" s="294">
        <f>E10-E12</f>
        <v>132000</v>
      </c>
      <c r="F13" s="224"/>
      <c r="H13" s="228"/>
      <c r="J13" s="289"/>
      <c r="K13" s="289"/>
      <c r="L13" s="290"/>
    </row>
    <row r="14" spans="1:12" ht="15.75" x14ac:dyDescent="0.25">
      <c r="B14" s="163" t="s">
        <v>118</v>
      </c>
      <c r="C14" s="186">
        <v>0.88</v>
      </c>
      <c r="D14" s="295" t="s">
        <v>37</v>
      </c>
      <c r="E14" s="296">
        <f>E13*C14</f>
        <v>116160</v>
      </c>
      <c r="F14" s="224"/>
      <c r="H14" s="228"/>
      <c r="J14" s="289"/>
      <c r="K14" s="289"/>
      <c r="L14" s="290"/>
    </row>
    <row r="15" spans="1:12" ht="15.75" x14ac:dyDescent="0.25">
      <c r="B15" s="163"/>
      <c r="C15" s="149"/>
      <c r="D15" s="149"/>
      <c r="E15" s="149"/>
      <c r="F15" s="198"/>
      <c r="H15" s="228"/>
      <c r="J15" s="289"/>
      <c r="K15" s="289"/>
      <c r="L15" s="290"/>
    </row>
    <row r="16" spans="1:12" ht="15.75" x14ac:dyDescent="0.25">
      <c r="B16" s="163" t="s">
        <v>77</v>
      </c>
      <c r="C16" s="297">
        <v>0.08</v>
      </c>
      <c r="D16" s="149"/>
      <c r="E16" s="298">
        <f>E14*C16</f>
        <v>9292.8000000000011</v>
      </c>
      <c r="F16" s="198"/>
      <c r="H16" s="228"/>
      <c r="J16" s="289"/>
      <c r="K16" s="289"/>
      <c r="L16" s="290"/>
    </row>
    <row r="17" spans="2:12" ht="15.75" x14ac:dyDescent="0.25">
      <c r="B17" s="163"/>
      <c r="C17" s="297"/>
      <c r="D17" s="149"/>
      <c r="E17" s="298"/>
      <c r="F17" s="198"/>
      <c r="H17" s="228"/>
      <c r="J17" s="289"/>
      <c r="K17" s="289"/>
      <c r="L17" s="290"/>
    </row>
    <row r="18" spans="2:12" ht="15.75" x14ac:dyDescent="0.25">
      <c r="B18" s="163" t="s">
        <v>75</v>
      </c>
      <c r="C18" s="173">
        <v>650</v>
      </c>
      <c r="D18" s="159" t="s">
        <v>119</v>
      </c>
      <c r="E18" s="299">
        <f>ROUNDUP(E16/C18,0)</f>
        <v>15</v>
      </c>
      <c r="F18" s="198"/>
      <c r="H18" s="228"/>
      <c r="J18" s="289"/>
      <c r="K18" s="289"/>
      <c r="L18" s="290"/>
    </row>
    <row r="19" spans="2:12" ht="15.75" x14ac:dyDescent="0.25">
      <c r="B19" s="163" t="s">
        <v>76</v>
      </c>
      <c r="C19" s="173">
        <v>800</v>
      </c>
      <c r="D19" s="159" t="s">
        <v>119</v>
      </c>
      <c r="E19" s="300">
        <f>ROUNDUP((E14-E16)/C19,0)</f>
        <v>134</v>
      </c>
      <c r="F19" s="224"/>
      <c r="H19" s="228"/>
      <c r="J19" s="289"/>
      <c r="K19" s="289"/>
      <c r="L19" s="290"/>
    </row>
    <row r="20" spans="2:12" ht="15.75" x14ac:dyDescent="0.25">
      <c r="B20" s="193" t="s">
        <v>83</v>
      </c>
      <c r="C20" s="173"/>
      <c r="D20" s="149"/>
      <c r="E20" s="194">
        <f>SUM(E18:E19)</f>
        <v>149</v>
      </c>
      <c r="F20" s="224"/>
      <c r="H20" s="228"/>
      <c r="J20" s="289"/>
      <c r="K20" s="289"/>
      <c r="L20" s="290"/>
    </row>
    <row r="21" spans="2:12" ht="15.75" x14ac:dyDescent="0.25">
      <c r="B21" s="163"/>
      <c r="C21" s="149"/>
      <c r="D21" s="149"/>
      <c r="E21" s="260"/>
      <c r="F21" s="198"/>
      <c r="H21" s="228"/>
      <c r="J21" s="289"/>
      <c r="K21" s="289"/>
      <c r="L21" s="290"/>
    </row>
    <row r="22" spans="2:12" ht="15.75" x14ac:dyDescent="0.25">
      <c r="B22" s="163" t="s">
        <v>74</v>
      </c>
      <c r="C22" s="167">
        <v>1.2</v>
      </c>
      <c r="D22" s="301">
        <f>C22*E20</f>
        <v>178.79999999999998</v>
      </c>
      <c r="E22" s="260"/>
      <c r="F22" s="198"/>
      <c r="H22" s="228"/>
      <c r="J22" s="289"/>
      <c r="K22" s="289"/>
      <c r="L22" s="290"/>
    </row>
    <row r="23" spans="2:12" ht="15.75" x14ac:dyDescent="0.25">
      <c r="B23" s="163"/>
      <c r="C23" s="149"/>
      <c r="D23" s="149"/>
      <c r="E23" s="260"/>
      <c r="F23" s="198"/>
      <c r="H23" s="228"/>
      <c r="J23" s="289"/>
      <c r="K23" s="289"/>
      <c r="L23" s="290"/>
    </row>
    <row r="24" spans="2:12" ht="15.75" x14ac:dyDescent="0.25">
      <c r="B24" s="163"/>
      <c r="C24" s="158"/>
      <c r="D24" s="159" t="s">
        <v>35</v>
      </c>
      <c r="E24" s="149"/>
      <c r="F24" s="198"/>
    </row>
    <row r="25" spans="2:12" ht="15.75" x14ac:dyDescent="0.25">
      <c r="B25" s="163" t="s">
        <v>102</v>
      </c>
      <c r="C25" s="188">
        <v>15</v>
      </c>
      <c r="D25" s="237">
        <f ca="1">EDATE($B$4,C25)</f>
        <v>41431</v>
      </c>
      <c r="E25" s="149"/>
      <c r="F25" s="198"/>
    </row>
    <row r="26" spans="2:12" ht="15.75" x14ac:dyDescent="0.25">
      <c r="B26" s="163" t="s">
        <v>10</v>
      </c>
      <c r="C26" s="188">
        <v>20</v>
      </c>
      <c r="D26" s="237">
        <f ca="1">EDATE(D25,C26)</f>
        <v>42041</v>
      </c>
      <c r="E26" s="149"/>
      <c r="F26" s="224"/>
    </row>
    <row r="27" spans="2:12" ht="15.75" x14ac:dyDescent="0.25">
      <c r="B27" s="163" t="s">
        <v>103</v>
      </c>
      <c r="C27" s="239">
        <v>15</v>
      </c>
      <c r="D27" s="237">
        <f ca="1">EDATE(D26,C27)</f>
        <v>42496</v>
      </c>
      <c r="E27" s="149"/>
      <c r="F27" s="224"/>
    </row>
    <row r="28" spans="2:12" ht="15.75" x14ac:dyDescent="0.25">
      <c r="B28" s="163" t="s">
        <v>32</v>
      </c>
      <c r="C28" s="240">
        <f>SUM(C25:C27)</f>
        <v>50</v>
      </c>
      <c r="D28" s="158"/>
      <c r="E28" s="149"/>
      <c r="F28" s="224"/>
    </row>
    <row r="29" spans="2:12" ht="15.75" x14ac:dyDescent="0.25">
      <c r="B29" s="163"/>
      <c r="C29" s="149"/>
      <c r="D29" s="149"/>
      <c r="E29" s="149"/>
      <c r="F29" s="198"/>
    </row>
    <row r="30" spans="2:12" ht="15.75" x14ac:dyDescent="0.25">
      <c r="B30" s="163"/>
      <c r="C30" s="302"/>
      <c r="D30" s="298"/>
      <c r="E30" s="149" t="s">
        <v>79</v>
      </c>
      <c r="F30" s="198" t="s">
        <v>80</v>
      </c>
    </row>
    <row r="31" spans="2:12" ht="15.75" x14ac:dyDescent="0.25">
      <c r="B31" s="163" t="s">
        <v>81</v>
      </c>
      <c r="C31" s="186">
        <v>0.1</v>
      </c>
      <c r="D31" s="187">
        <f>ROUNDUP(C31*E19,0)</f>
        <v>14</v>
      </c>
      <c r="E31" s="188">
        <v>3</v>
      </c>
      <c r="F31" s="189">
        <f>D31/E31</f>
        <v>4.666666666666667</v>
      </c>
    </row>
    <row r="32" spans="2:12" ht="15.75" x14ac:dyDescent="0.25">
      <c r="B32" s="163" t="s">
        <v>82</v>
      </c>
      <c r="C32" s="190"/>
      <c r="D32" s="191">
        <f>E19-D31</f>
        <v>120</v>
      </c>
      <c r="E32" s="192">
        <f>C27</f>
        <v>15</v>
      </c>
      <c r="F32" s="189">
        <f>D32/E32</f>
        <v>8</v>
      </c>
    </row>
    <row r="33" spans="2:10" ht="15.75" x14ac:dyDescent="0.25">
      <c r="B33" s="193" t="s">
        <v>83</v>
      </c>
      <c r="C33" s="190"/>
      <c r="D33" s="194">
        <f>SUM(D31:D32)+E18</f>
        <v>149</v>
      </c>
      <c r="E33" s="192"/>
      <c r="F33" s="189"/>
    </row>
    <row r="34" spans="2:10" ht="15.75" x14ac:dyDescent="0.25">
      <c r="B34" s="195" t="s">
        <v>84</v>
      </c>
      <c r="C34" s="190"/>
      <c r="D34" s="196">
        <v>50</v>
      </c>
      <c r="E34" s="192"/>
      <c r="F34" s="189"/>
    </row>
    <row r="35" spans="2:10" ht="15.75" x14ac:dyDescent="0.25">
      <c r="B35" s="163"/>
      <c r="C35" s="199">
        <v>0.1</v>
      </c>
      <c r="D35" s="149"/>
      <c r="E35" s="149"/>
      <c r="F35" s="198"/>
    </row>
    <row r="36" spans="2:10" ht="15.75" x14ac:dyDescent="0.25">
      <c r="B36" s="200" t="s">
        <v>85</v>
      </c>
      <c r="C36" s="159" t="s">
        <v>86</v>
      </c>
      <c r="D36" s="159" t="s">
        <v>87</v>
      </c>
      <c r="E36" s="159" t="s">
        <v>88</v>
      </c>
      <c r="F36" s="201" t="s">
        <v>89</v>
      </c>
    </row>
    <row r="37" spans="2:10" ht="15.75" x14ac:dyDescent="0.25">
      <c r="B37" s="203" t="s">
        <v>90</v>
      </c>
      <c r="C37" s="204">
        <f>D37*(1-C35)</f>
        <v>450000</v>
      </c>
      <c r="D37" s="205">
        <v>500000</v>
      </c>
      <c r="E37" s="205">
        <v>175000</v>
      </c>
      <c r="F37" s="206">
        <f>C37*D31+D37*D32+E37*E18</f>
        <v>68925000</v>
      </c>
    </row>
    <row r="38" spans="2:10" ht="15.75" x14ac:dyDescent="0.25">
      <c r="B38" s="203"/>
      <c r="C38" s="207">
        <f>C37/C19</f>
        <v>562.5</v>
      </c>
      <c r="D38" s="207">
        <f>D37/C19</f>
        <v>625</v>
      </c>
      <c r="E38" s="207">
        <f>E37/C18</f>
        <v>269.23076923076923</v>
      </c>
      <c r="F38" s="206"/>
    </row>
    <row r="39" spans="2:10" ht="15.75" x14ac:dyDescent="0.25">
      <c r="B39" s="208" t="s">
        <v>91</v>
      </c>
      <c r="C39" s="209">
        <f>D39*(1-C35)</f>
        <v>36000</v>
      </c>
      <c r="D39" s="210">
        <v>40000</v>
      </c>
      <c r="E39" s="210"/>
      <c r="F39" s="206">
        <f>C39*D22*C31+(D22*(1-C31)*D39)</f>
        <v>7080479.9999999991</v>
      </c>
    </row>
    <row r="40" spans="2:10" ht="15.75" x14ac:dyDescent="0.25">
      <c r="B40" s="203" t="s">
        <v>92</v>
      </c>
      <c r="C40" s="204">
        <f>D40*(1-C35)</f>
        <v>4500</v>
      </c>
      <c r="D40" s="205">
        <v>5000</v>
      </c>
      <c r="E40" s="205"/>
      <c r="F40" s="206">
        <f>C40*D34*C31+(D34*(1-C31)*D40)</f>
        <v>247500</v>
      </c>
    </row>
    <row r="41" spans="2:10" ht="15.75" x14ac:dyDescent="0.25">
      <c r="B41" s="163"/>
      <c r="C41" s="149"/>
      <c r="D41" s="159" t="s">
        <v>1</v>
      </c>
      <c r="E41" s="211">
        <v>0.04</v>
      </c>
      <c r="F41" s="206">
        <f>-E41*SUM(F37:F40)</f>
        <v>-3050119.2</v>
      </c>
    </row>
    <row r="42" spans="2:10" ht="15.75" x14ac:dyDescent="0.25">
      <c r="B42" s="163"/>
      <c r="C42" s="210"/>
      <c r="D42" s="213" t="s">
        <v>93</v>
      </c>
      <c r="E42" s="214">
        <f>SUM(F37:F41)</f>
        <v>73202860.799999997</v>
      </c>
      <c r="F42" s="198"/>
    </row>
    <row r="43" spans="2:10" ht="15.75" x14ac:dyDescent="0.25">
      <c r="B43" s="163"/>
      <c r="C43" s="210"/>
      <c r="D43" s="215" t="s">
        <v>94</v>
      </c>
      <c r="E43" s="216">
        <f>E42/D33</f>
        <v>491294.36778523488</v>
      </c>
      <c r="F43" s="198"/>
    </row>
    <row r="44" spans="2:10" ht="15.75" x14ac:dyDescent="0.25">
      <c r="B44" s="200" t="s">
        <v>95</v>
      </c>
      <c r="C44" s="149"/>
      <c r="D44" s="210"/>
      <c r="E44" s="210"/>
      <c r="F44" s="217"/>
    </row>
    <row r="45" spans="2:10" ht="15.75" x14ac:dyDescent="0.25">
      <c r="B45" s="163" t="s">
        <v>96</v>
      </c>
      <c r="C45" s="173">
        <v>12000</v>
      </c>
      <c r="D45" s="149"/>
      <c r="E45" s="158"/>
      <c r="F45" s="198"/>
    </row>
    <row r="46" spans="2:10" ht="15.75" x14ac:dyDescent="0.25">
      <c r="B46" s="163" t="s">
        <v>97</v>
      </c>
      <c r="C46" s="219">
        <v>35</v>
      </c>
      <c r="D46" s="220" t="s">
        <v>98</v>
      </c>
      <c r="E46" s="221">
        <f>C46*C45</f>
        <v>420000</v>
      </c>
      <c r="F46" s="222"/>
    </row>
    <row r="47" spans="2:10" ht="15.75" x14ac:dyDescent="0.25">
      <c r="B47" s="163" t="s">
        <v>99</v>
      </c>
      <c r="C47" s="223">
        <v>0.08</v>
      </c>
      <c r="D47" s="219"/>
      <c r="E47" s="221"/>
      <c r="F47" s="222"/>
    </row>
    <row r="48" spans="2:10" ht="15.75" x14ac:dyDescent="0.25">
      <c r="B48" s="163" t="s">
        <v>1</v>
      </c>
      <c r="C48" s="211">
        <v>0.03</v>
      </c>
      <c r="D48" s="158"/>
      <c r="E48" s="158"/>
      <c r="F48" s="224"/>
      <c r="I48" s="144"/>
      <c r="J48" s="303"/>
    </row>
    <row r="49" spans="2:16" ht="15.75" x14ac:dyDescent="0.25">
      <c r="B49" s="193" t="s">
        <v>100</v>
      </c>
      <c r="C49" s="190"/>
      <c r="D49" s="158"/>
      <c r="E49" s="226">
        <f>C45*C46/C47*(1-C48)</f>
        <v>5092500</v>
      </c>
      <c r="F49" s="224"/>
    </row>
    <row r="50" spans="2:16" ht="15.75" x14ac:dyDescent="0.25">
      <c r="B50" s="163"/>
      <c r="C50" s="190"/>
      <c r="D50" s="158"/>
      <c r="E50" s="221"/>
      <c r="F50" s="224"/>
    </row>
    <row r="51" spans="2:16" ht="15.75" x14ac:dyDescent="0.25">
      <c r="B51" s="193" t="s">
        <v>101</v>
      </c>
      <c r="C51" s="190"/>
      <c r="D51" s="158"/>
      <c r="E51" s="226">
        <f>E49+E42</f>
        <v>78295360.799999997</v>
      </c>
      <c r="F51" s="224"/>
    </row>
    <row r="52" spans="2:16" ht="15.75" x14ac:dyDescent="0.25">
      <c r="B52" s="163"/>
      <c r="C52" s="158"/>
      <c r="D52" s="149" t="s">
        <v>105</v>
      </c>
      <c r="E52" s="158"/>
      <c r="F52" s="241" t="s">
        <v>11</v>
      </c>
    </row>
    <row r="53" spans="2:16" ht="15.75" x14ac:dyDescent="0.25">
      <c r="B53" s="163" t="s">
        <v>106</v>
      </c>
      <c r="C53" s="242">
        <v>200000</v>
      </c>
      <c r="D53" s="220">
        <f>C53/C19</f>
        <v>250</v>
      </c>
      <c r="E53" s="221">
        <f>C53*D33</f>
        <v>29800000</v>
      </c>
      <c r="F53" s="243">
        <f>E53/$E$59</f>
        <v>0.48701424521978665</v>
      </c>
    </row>
    <row r="54" spans="2:16" ht="15.75" x14ac:dyDescent="0.25">
      <c r="B54" s="163" t="s">
        <v>107</v>
      </c>
      <c r="C54" s="219">
        <v>55</v>
      </c>
      <c r="D54" s="220"/>
      <c r="E54" s="221">
        <f>C54*C45</f>
        <v>660000</v>
      </c>
      <c r="F54" s="243">
        <f>E54/$E$59</f>
        <v>1.0786221538424805E-2</v>
      </c>
    </row>
    <row r="55" spans="2:16" ht="15.75" x14ac:dyDescent="0.25">
      <c r="B55" s="163" t="s">
        <v>108</v>
      </c>
      <c r="C55" s="211">
        <v>0.35</v>
      </c>
      <c r="D55" s="211"/>
      <c r="E55" s="221">
        <f>C55*(E53+E54)</f>
        <v>10661000</v>
      </c>
      <c r="F55" s="243">
        <f>E55/$E$59</f>
        <v>0.174230163365374</v>
      </c>
      <c r="H55" s="137"/>
    </row>
    <row r="56" spans="2:16" ht="15.75" x14ac:dyDescent="0.25">
      <c r="B56" s="163" t="s">
        <v>40</v>
      </c>
      <c r="C56" s="211">
        <v>0.65</v>
      </c>
      <c r="D56" s="211"/>
      <c r="E56" s="221"/>
      <c r="F56" s="246"/>
    </row>
    <row r="57" spans="2:16" ht="15.75" x14ac:dyDescent="0.25">
      <c r="B57" s="163" t="s">
        <v>12</v>
      </c>
      <c r="C57" s="211">
        <v>0.06</v>
      </c>
      <c r="D57" s="211"/>
      <c r="E57" s="221">
        <f>C57*(1+(SUM(C25:C27)/12/2))*C56*SUM(E53:E55,E58)</f>
        <v>6568175.25</v>
      </c>
      <c r="F57" s="243">
        <f>E57/$E$59</f>
        <v>0.10734211113590716</v>
      </c>
      <c r="H57" s="248" t="s">
        <v>55</v>
      </c>
      <c r="P57" s="269"/>
    </row>
    <row r="58" spans="2:16" ht="15.75" x14ac:dyDescent="0.25">
      <c r="B58" s="163" t="s">
        <v>13</v>
      </c>
      <c r="C58" s="304">
        <f>E58/E10</f>
        <v>93.75</v>
      </c>
      <c r="D58" s="249"/>
      <c r="E58" s="250">
        <v>13500000</v>
      </c>
      <c r="F58" s="251">
        <f>E58/$E$59</f>
        <v>0.22062725874050737</v>
      </c>
      <c r="H58" s="252" t="s">
        <v>65</v>
      </c>
      <c r="P58" s="271"/>
    </row>
    <row r="59" spans="2:16" ht="15.75" x14ac:dyDescent="0.25">
      <c r="B59" s="193" t="s">
        <v>41</v>
      </c>
      <c r="C59" s="253"/>
      <c r="D59" s="253"/>
      <c r="E59" s="226">
        <f>SUM(E53:E58)</f>
        <v>61189175.25</v>
      </c>
      <c r="F59" s="243">
        <f>SUM(F53:F58)</f>
        <v>1</v>
      </c>
      <c r="H59" s="305"/>
      <c r="I59" s="305"/>
      <c r="J59" s="305"/>
      <c r="K59" s="305"/>
      <c r="L59" s="305"/>
    </row>
    <row r="60" spans="2:16" ht="15.75" x14ac:dyDescent="0.25">
      <c r="B60" s="306" t="s">
        <v>94</v>
      </c>
      <c r="C60" s="260"/>
      <c r="D60" s="260"/>
      <c r="E60" s="261">
        <f>E59/E20</f>
        <v>410665.60570469801</v>
      </c>
      <c r="F60" s="307"/>
      <c r="H60" s="305"/>
      <c r="I60" s="305"/>
      <c r="J60" s="305"/>
      <c r="K60" s="305"/>
      <c r="L60" s="305"/>
    </row>
    <row r="61" spans="2:16" ht="15.75" x14ac:dyDescent="0.25">
      <c r="B61" s="306"/>
      <c r="C61" s="260"/>
      <c r="D61" s="260"/>
      <c r="E61" s="261"/>
      <c r="F61" s="308"/>
      <c r="P61" s="269"/>
    </row>
    <row r="62" spans="2:16" ht="15.75" x14ac:dyDescent="0.25">
      <c r="B62" s="163" t="s">
        <v>110</v>
      </c>
      <c r="C62" s="149"/>
      <c r="D62" s="149"/>
      <c r="E62" s="221">
        <f>E59*C56</f>
        <v>39772963.912500001</v>
      </c>
      <c r="F62" s="243">
        <f>E62/E64</f>
        <v>0.65</v>
      </c>
      <c r="P62" s="271"/>
    </row>
    <row r="63" spans="2:16" ht="15.75" x14ac:dyDescent="0.25">
      <c r="B63" s="163" t="s">
        <v>111</v>
      </c>
      <c r="C63" s="149"/>
      <c r="D63" s="149"/>
      <c r="E63" s="264">
        <f>E59-E62</f>
        <v>21416211.337499999</v>
      </c>
      <c r="F63" s="251">
        <f>1-F62</f>
        <v>0.35</v>
      </c>
    </row>
    <row r="64" spans="2:16" ht="15.75" x14ac:dyDescent="0.25">
      <c r="B64" s="193" t="s">
        <v>112</v>
      </c>
      <c r="C64" s="149"/>
      <c r="D64" s="149"/>
      <c r="E64" s="226">
        <f>SUM(E62:E63)</f>
        <v>61189175.25</v>
      </c>
      <c r="F64" s="246">
        <f>SUM(F62:F63)</f>
        <v>1</v>
      </c>
    </row>
    <row r="65" spans="2:10" ht="15.75" x14ac:dyDescent="0.25">
      <c r="B65" s="193"/>
      <c r="C65" s="149"/>
      <c r="D65" s="149"/>
      <c r="E65" s="226"/>
      <c r="F65" s="198"/>
    </row>
    <row r="66" spans="2:10" ht="15.75" x14ac:dyDescent="0.25">
      <c r="B66" s="193" t="s">
        <v>113</v>
      </c>
      <c r="C66" s="158"/>
      <c r="D66" s="158"/>
      <c r="E66" s="309">
        <f>E51-E64</f>
        <v>17106185.549999997</v>
      </c>
      <c r="F66" s="224"/>
    </row>
    <row r="67" spans="2:10" ht="15.75" x14ac:dyDescent="0.25">
      <c r="B67" s="193" t="s">
        <v>114</v>
      </c>
      <c r="C67" s="158"/>
      <c r="D67" s="158"/>
      <c r="E67" s="310">
        <f>E66/SUM(F37:F40)</f>
        <v>0.22433464960975946</v>
      </c>
      <c r="F67" s="224"/>
    </row>
    <row r="68" spans="2:10" ht="15.75" x14ac:dyDescent="0.25">
      <c r="B68" s="230" t="s">
        <v>115</v>
      </c>
      <c r="C68" s="232"/>
      <c r="D68" s="232"/>
      <c r="E68" s="311">
        <f>E66/E63+1</f>
        <v>1.7987493810376673</v>
      </c>
      <c r="F68" s="312"/>
    </row>
    <row r="69" spans="2:10" ht="4.5" customHeight="1" x14ac:dyDescent="0.25">
      <c r="B69" s="248"/>
      <c r="C69" s="248"/>
      <c r="D69" s="313"/>
      <c r="E69" s="313"/>
      <c r="F69" s="314"/>
    </row>
    <row r="70" spans="2:10" ht="15.75" x14ac:dyDescent="0.25">
      <c r="B70" s="138" t="s">
        <v>44</v>
      </c>
      <c r="C70" s="315"/>
      <c r="D70" s="315"/>
      <c r="E70" s="315"/>
      <c r="F70" s="316"/>
      <c r="H70" s="273"/>
      <c r="I70" s="247"/>
      <c r="J70" s="277"/>
    </row>
    <row r="71" spans="2:10" x14ac:dyDescent="0.2">
      <c r="B71" s="273"/>
      <c r="F71" s="303"/>
    </row>
    <row r="72" spans="2:10" x14ac:dyDescent="0.2">
      <c r="B72" s="273"/>
      <c r="F72" s="277"/>
    </row>
    <row r="73" spans="2:10" x14ac:dyDescent="0.2">
      <c r="F73" s="247"/>
    </row>
    <row r="74" spans="2:10" x14ac:dyDescent="0.2">
      <c r="F74" s="317"/>
    </row>
    <row r="75" spans="2:10" x14ac:dyDescent="0.2">
      <c r="B75" s="281"/>
      <c r="C75" s="280"/>
      <c r="D75" s="258"/>
      <c r="E75" s="258"/>
      <c r="F75" s="318"/>
    </row>
    <row r="76" spans="2:10" x14ac:dyDescent="0.2">
      <c r="D76" s="141"/>
      <c r="E76" s="141"/>
    </row>
    <row r="77" spans="2:10" x14ac:dyDescent="0.2">
      <c r="D77" s="247"/>
      <c r="F77" s="317"/>
    </row>
    <row r="79" spans="2:10" x14ac:dyDescent="0.2">
      <c r="B79" s="273"/>
      <c r="C79" s="273"/>
      <c r="D79" s="144"/>
      <c r="E79" s="144"/>
      <c r="F79" s="319"/>
    </row>
    <row r="80" spans="2:10" x14ac:dyDescent="0.2">
      <c r="B80" s="273"/>
      <c r="F80" s="319"/>
    </row>
    <row r="81" spans="2:6" x14ac:dyDescent="0.2">
      <c r="B81" s="273"/>
      <c r="D81" s="141"/>
      <c r="E81" s="141"/>
      <c r="F81" s="303"/>
    </row>
    <row r="82" spans="2:6" x14ac:dyDescent="0.2">
      <c r="D82" s="141"/>
      <c r="E82" s="141"/>
    </row>
    <row r="83" spans="2:6" x14ac:dyDescent="0.2">
      <c r="D83" s="141"/>
      <c r="E83" s="141"/>
    </row>
    <row r="85" spans="2:6" x14ac:dyDescent="0.2">
      <c r="D85" s="141"/>
      <c r="E85" s="141"/>
    </row>
  </sheetData>
  <mergeCells count="3">
    <mergeCell ref="B2:F2"/>
    <mergeCell ref="C6:F6"/>
    <mergeCell ref="B70:E70"/>
  </mergeCells>
  <hyperlinks>
    <hyperlink ref="B70" r:id="rId1" display="www.GetREFM.com"/>
  </hyperlinks>
  <printOptions horizontalCentered="1" verticalCentered="1"/>
  <pageMargins left="0.33" right="0.31" top="0.32" bottom="0.21" header="0.3" footer="0.2"/>
  <pageSetup scale="74" orientation="portrait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</vt:lpstr>
      <vt:lpstr>Office Model</vt:lpstr>
      <vt:lpstr>Condo Model - Units-based</vt:lpstr>
      <vt:lpstr>Condo Model - FAR-based</vt:lpstr>
      <vt:lpstr>'Condo Model - FAR-based'!Print_Area</vt:lpstr>
      <vt:lpstr>'Condo Model - Units-based'!Print_Area</vt:lpstr>
      <vt:lpstr>Cover!Print_Area</vt:lpstr>
      <vt:lpstr>'Office Model'!Print_Area</vt:lpstr>
    </vt:vector>
  </TitlesOfParts>
  <Company>The Clarett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bkirsch</dc:creator>
  <cp:lastModifiedBy>REFM</cp:lastModifiedBy>
  <cp:lastPrinted>2012-03-06T16:35:48Z</cp:lastPrinted>
  <dcterms:created xsi:type="dcterms:W3CDTF">2008-12-11T20:05:53Z</dcterms:created>
  <dcterms:modified xsi:type="dcterms:W3CDTF">2012-03-06T16:36:02Z</dcterms:modified>
</cp:coreProperties>
</file>